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drawings/drawing13.xml" ContentType="application/vnd.openxmlformats-officedocument.drawing+xml"/>
  <Override PartName="/xl/drawings/drawing22.xml" ContentType="application/vnd.openxmlformats-officedocument.drawing+xml"/>
  <Override PartName="/xl/comments16.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comments14.xml" ContentType="application/vnd.openxmlformats-officedocument.spreadsheetml.comments+xml"/>
  <Override PartName="/xl/comments23.xml" ContentType="application/vnd.openxmlformats-officedocument.spreadsheetml.comments+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comments15.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omments2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5" yWindow="-15" windowWidth="19260" windowHeight="11610" tabRatio="210"/>
  </bookViews>
  <sheets>
    <sheet name="الرئيسية" sheetId="43" r:id="rId1"/>
    <sheet name="الفرعية1" sheetId="44" r:id="rId2"/>
    <sheet name="الفرعية2" sheetId="45" r:id="rId3"/>
    <sheet name="ETAT-PAY-PERM" sheetId="13" r:id="rId4"/>
    <sheet name="MAND-PAY-PERM" sheetId="14" r:id="rId5"/>
    <sheet name="MAND-SEC-SOC" sheetId="16" r:id="rId6"/>
    <sheet name="ETAT-SECSOC" sheetId="15" r:id="rId7"/>
    <sheet name="SEC-SOCIAL-PERM" sheetId="20" r:id="rId8"/>
    <sheet name="OEUVR-SOC-PER" sheetId="17" r:id="rId9"/>
    <sheet name="métuel" sheetId="21" r:id="rId10"/>
    <sheet name="IRG" sheetId="18" r:id="rId11"/>
    <sheet name="tab retr" sheetId="24" r:id="rId12"/>
    <sheet name="BRD bancaire" sheetId="22" r:id="rId13"/>
    <sheet name="BRD CCP" sheetId="23" r:id="rId14"/>
    <sheet name="avi vir PERM" sheetId="50" r:id="rId15"/>
    <sheet name="Titre-PRS-PERM" sheetId="46" r:id="rId16"/>
    <sheet name="BRD-Titr-PRS-PERM" sheetId="47" r:id="rId17"/>
    <sheet name="Base-D" sheetId="28" r:id="rId18"/>
    <sheet name="ETAT-PAY-VACT" sheetId="29" r:id="rId19"/>
    <sheet name="MAND-PAY-VCTCMP" sheetId="33" r:id="rId20"/>
    <sheet name="BRD bancaireVTC" sheetId="41" r:id="rId21"/>
    <sheet name="OEUVR-SOC-VACT" sheetId="35" r:id="rId22"/>
    <sheet name="SEC-SOCIAL-VACT" sheetId="36" r:id="rId23"/>
    <sheet name="métuel VAC" sheetId="38" r:id="rId24"/>
    <sheet name="BRD CCPVATC" sheetId="39" r:id="rId25"/>
    <sheet name="ETAT-PAY-VACT (2)" sheetId="37" r:id="rId26"/>
    <sheet name="MAND-PAY-VCTHEUR" sheetId="34" r:id="rId27"/>
    <sheet name="OEUVR-SOC-VACHEUR" sheetId="52" r:id="rId28"/>
    <sheet name="BRD bancaireVACHEUR" sheetId="42" r:id="rId29"/>
    <sheet name="BRD CCPVAHEUR" sheetId="40" r:id="rId30"/>
    <sheet name="métuel VAC-HEUR" sheetId="53" r:id="rId31"/>
    <sheet name="avi vir VAC" sheetId="51" r:id="rId32"/>
    <sheet name="Titre-PRS-VAC" sheetId="49" r:id="rId33"/>
    <sheet name="BRD-Titr-PRS-VAC" sheetId="48" r:id="rId34"/>
    <sheet name="ورقة العمل" sheetId="3" r:id="rId35"/>
    <sheet name="BRD Global" sheetId="26" r:id="rId36"/>
    <sheet name="f-travail" sheetId="27" r:id="rId37"/>
    <sheet name="VAC-TCMP" sheetId="32" r:id="rId38"/>
  </sheets>
  <externalReferences>
    <externalReference r:id="rId39"/>
    <externalReference r:id="rId40"/>
  </externalReferences>
  <definedNames>
    <definedName name="_xlnm._FilterDatabase" localSheetId="12" hidden="1">'BRD bancaire'!$H$9:$H$97</definedName>
    <definedName name="_xlnm._FilterDatabase" localSheetId="28" hidden="1">'BRD bancaireVACHEUR'!$H$9:$H$26</definedName>
    <definedName name="_xlnm._FilterDatabase" localSheetId="20" hidden="1">'BRD bancaireVTC'!$H$9:$H$41</definedName>
    <definedName name="_xlnm._FilterDatabase" localSheetId="13" hidden="1">'BRD CCP'!$H$13:$H$93</definedName>
    <definedName name="_xlnm._FilterDatabase" localSheetId="29" hidden="1">'BRD CCPVAHEUR'!$H$13:$H$71</definedName>
    <definedName name="_xlnm._FilterDatabase" localSheetId="24" hidden="1">'BRD CCPVATC'!$H$13:$H$93</definedName>
    <definedName name="_xlnm._FilterDatabase" localSheetId="3" hidden="1">'ETAT-PAY-PERM'!$Z$14:$Z$117</definedName>
    <definedName name="_xlnm._FilterDatabase" localSheetId="18" hidden="1">'ETAT-PAY-VACT'!$Y$14:$Y$75</definedName>
    <definedName name="_xlnm._FilterDatabase" localSheetId="25" hidden="1">'ETAT-PAY-VACT (2)'!$Y$14:$Y$59</definedName>
    <definedName name="_xlnm._FilterDatabase" localSheetId="9" hidden="1">métuel!$E$14:$F$97</definedName>
    <definedName name="_xlnm._FilterDatabase" localSheetId="23" hidden="1">'métuel VAC'!$F$14:$G$41</definedName>
    <definedName name="_xlnm._FilterDatabase" localSheetId="30" hidden="1">'métuel VAC-HEUR'!$F$14:$G$26</definedName>
    <definedName name="_xlnm._FilterDatabase" localSheetId="8" hidden="1">'OEUVR-SOC-PER'!$F$16:$G$105</definedName>
    <definedName name="_xlnm._FilterDatabase" localSheetId="27" hidden="1">'OEUVR-SOC-VACHEUR'!$F$16:$G$55</definedName>
    <definedName name="_xlnm._FilterDatabase" localSheetId="21" hidden="1">'OEUVR-SOC-VACT'!$F$16:$G$48</definedName>
    <definedName name="_xlnm._FilterDatabase" localSheetId="34" hidden="1">'ورقة العمل'!$A$1:$R$499</definedName>
    <definedName name="BDVACT">'VAC-TCMP'!$A$1:$AO$100</definedName>
    <definedName name="tabheur">'ورقة العمل'!$T$1:$V$13</definedName>
    <definedName name="TABMAND">'ورقة العمل'!$Y$1:$AR$12</definedName>
    <definedName name="TABTITRPRS">'BRD-Titr-PRS-PERM'!$B$10:$H$46</definedName>
    <definedName name="Tabtitrvac">'BRD-Titr-PRS-VAC'!$B$10:$H$46</definedName>
    <definedName name="TABVACT">'f-travail'!$BG$1:$BV$14</definedName>
    <definedName name="_xlnm.Print_Area" localSheetId="12">'BRD bancaire'!$B$1:$E$98</definedName>
    <definedName name="_xlnm.Print_Area" localSheetId="28">'BRD bancaireVACHEUR'!$B$1:$E$27</definedName>
    <definedName name="_xlnm.Print_Area" localSheetId="20">'BRD bancaireVTC'!$B$1:$E$42</definedName>
    <definedName name="_xlnm.Print_Area" localSheetId="13">'BRD CCP'!$B$2:$F$97</definedName>
    <definedName name="_xlnm.Print_Area" localSheetId="29">'BRD CCPVAHEUR'!$B$2:$F$75</definedName>
    <definedName name="_xlnm.Print_Area" localSheetId="24">'BRD CCPVATC'!$B$2:$F$97</definedName>
    <definedName name="_xlnm.Print_Area" localSheetId="35">'BRD Global'!$A$1:$I$83</definedName>
    <definedName name="_xlnm.Print_Area" localSheetId="16">'BRD-Titr-PRS-PERM'!$B$4:$H$50</definedName>
    <definedName name="_xlnm.Print_Area" localSheetId="33">'BRD-Titr-PRS-VAC'!$B$4:$I$50</definedName>
    <definedName name="_xlnm.Print_Area" localSheetId="3">'ETAT-PAY-PERM'!$B$6:$X$120</definedName>
    <definedName name="_xlnm.Print_Area" localSheetId="18">'ETAT-PAY-VACT'!$B$6:$W$93</definedName>
    <definedName name="_xlnm.Print_Area" localSheetId="25">'ETAT-PAY-VACT (2)'!$B$6:$W$77</definedName>
    <definedName name="_xlnm.Print_Area" localSheetId="6">'ETAT-SECSOC'!$B$2:$H$26</definedName>
    <definedName name="_xlnm.Print_Area" localSheetId="10">IRG!$A$1:$BQ$50</definedName>
    <definedName name="_xlnm.Print_Area" localSheetId="4">'MAND-PAY-PERM'!$A$1:$K$46</definedName>
    <definedName name="_xlnm.Print_Area" localSheetId="19">'MAND-PAY-VCTCMP'!$A$1:$K$46</definedName>
    <definedName name="_xlnm.Print_Area" localSheetId="26">'MAND-PAY-VCTHEUR'!$A$1:$K$46</definedName>
    <definedName name="_xlnm.Print_Area" localSheetId="5">'MAND-SEC-SOC'!$B$3:$O$35</definedName>
    <definedName name="_xlnm.Print_Area" localSheetId="9">métuel!$A$1:$D$97</definedName>
    <definedName name="_xlnm.Print_Area" localSheetId="23">'métuel VAC'!$B$1:$E$41</definedName>
    <definedName name="_xlnm.Print_Area" localSheetId="30">'métuel VAC-HEUR'!$B$1:$E$26</definedName>
    <definedName name="_xlnm.Print_Area" localSheetId="8">'OEUVR-SOC-PER'!$B$1:$E$108</definedName>
    <definedName name="_xlnm.Print_Area" localSheetId="27">'OEUVR-SOC-VACHEUR'!$B$1:$E$58</definedName>
    <definedName name="_xlnm.Print_Area" localSheetId="21">'OEUVR-SOC-VACT'!$B$1:$E$51</definedName>
    <definedName name="_xlnm.Print_Area" localSheetId="7">'SEC-SOCIAL-PERM'!$A$1:$H$104</definedName>
    <definedName name="_xlnm.Print_Area" localSheetId="22">'SEC-SOCIAL-VACT'!$A$1:$H$104</definedName>
    <definedName name="_xlnm.Print_Area" localSheetId="11">'tab retr'!$A$1:$G$56</definedName>
    <definedName name="_xlnm.Print_Area" localSheetId="37">'VAC-TCMP'!$A$1:$AO$35</definedName>
    <definedName name="جدرجات">'f-travail'!$AF$4:$AR$20</definedName>
    <definedName name="جدروظعليا">'f-travail'!$AT$3:$BE$4</definedName>
    <definedName name="جرقمإستدلالي">'f-travail'!$AD$4:$AE$20</definedName>
  </definedNames>
  <calcPr calcId="124519" fullPrecision="0"/>
</workbook>
</file>

<file path=xl/calcChain.xml><?xml version="1.0" encoding="utf-8"?>
<calcChain xmlns="http://schemas.openxmlformats.org/spreadsheetml/2006/main">
  <c r="X3" i="32"/>
  <c r="Y3" s="1"/>
  <c r="X4"/>
  <c r="Y4" s="1"/>
  <c r="X5"/>
  <c r="Y5" s="1"/>
  <c r="X6"/>
  <c r="Y6" s="1"/>
  <c r="X7"/>
  <c r="Y7" s="1"/>
  <c r="X8"/>
  <c r="Y8" s="1"/>
  <c r="X9"/>
  <c r="Y9" s="1"/>
  <c r="X10"/>
  <c r="Y10" s="1"/>
  <c r="X11"/>
  <c r="Y11" s="1"/>
  <c r="X12"/>
  <c r="Y12" s="1"/>
  <c r="X13"/>
  <c r="Y13" s="1"/>
  <c r="X14"/>
  <c r="Y14" s="1"/>
  <c r="X15"/>
  <c r="Y15" s="1"/>
  <c r="X16"/>
  <c r="Y16" s="1"/>
  <c r="X17"/>
  <c r="Y17" s="1"/>
  <c r="X18"/>
  <c r="Y18" s="1"/>
  <c r="X19"/>
  <c r="Y19" s="1"/>
  <c r="X20"/>
  <c r="Y20" s="1"/>
  <c r="X21"/>
  <c r="Y21" s="1"/>
  <c r="X22"/>
  <c r="Y22" s="1"/>
  <c r="X23"/>
  <c r="Y23" s="1"/>
  <c r="X24"/>
  <c r="Y24"/>
  <c r="X25"/>
  <c r="Y25"/>
  <c r="X26"/>
  <c r="Y26"/>
  <c r="X27"/>
  <c r="Y27"/>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2"/>
  <c r="Y2" s="1"/>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C24"/>
  <c r="AD24"/>
  <c r="AC25"/>
  <c r="AD25"/>
  <c r="AC26"/>
  <c r="AD26"/>
  <c r="AC27"/>
  <c r="AD27"/>
  <c r="AC28"/>
  <c r="AD28"/>
  <c r="AC29"/>
  <c r="AD29"/>
  <c r="AC30"/>
  <c r="AD30"/>
  <c r="AC31"/>
  <c r="AD31"/>
  <c r="AC32"/>
  <c r="AD32"/>
  <c r="AC33"/>
  <c r="AD33"/>
  <c r="AC34"/>
  <c r="AD34"/>
  <c r="AC35"/>
  <c r="AD35"/>
  <c r="AC36"/>
  <c r="AD36"/>
  <c r="AC37"/>
  <c r="AD37"/>
  <c r="AC38"/>
  <c r="AD38"/>
  <c r="AC39"/>
  <c r="AD39"/>
  <c r="AC40"/>
  <c r="AD40"/>
  <c r="AC41"/>
  <c r="AD41"/>
  <c r="AC42"/>
  <c r="AD42"/>
  <c r="AC43"/>
  <c r="AD43"/>
  <c r="AC44"/>
  <c r="AD44"/>
  <c r="AC45"/>
  <c r="AD45"/>
  <c r="AC46"/>
  <c r="AD46"/>
  <c r="AC47"/>
  <c r="AD47"/>
  <c r="AC48"/>
  <c r="AD48"/>
  <c r="AC49"/>
  <c r="AD49"/>
  <c r="AC50"/>
  <c r="AD50"/>
  <c r="AC51"/>
  <c r="AD51"/>
  <c r="AC52"/>
  <c r="AD52"/>
  <c r="AC53"/>
  <c r="AD53"/>
  <c r="AC54"/>
  <c r="AD54"/>
  <c r="AC55"/>
  <c r="AD55"/>
  <c r="AC56"/>
  <c r="AD56"/>
  <c r="AC57"/>
  <c r="AD57"/>
  <c r="AC58"/>
  <c r="AD58"/>
  <c r="AC59"/>
  <c r="AD59"/>
  <c r="AC60"/>
  <c r="AD60"/>
  <c r="AC61"/>
  <c r="AD61"/>
  <c r="AC62"/>
  <c r="AD62"/>
  <c r="AC63"/>
  <c r="AD63"/>
  <c r="AC64"/>
  <c r="AD64"/>
  <c r="AC65"/>
  <c r="AD65"/>
  <c r="AC66"/>
  <c r="AD66"/>
  <c r="AC67"/>
  <c r="AD67"/>
  <c r="AC68"/>
  <c r="AD68"/>
  <c r="AC69"/>
  <c r="AD69"/>
  <c r="AC70"/>
  <c r="AD70"/>
  <c r="AC71"/>
  <c r="AD71"/>
  <c r="AC72"/>
  <c r="AD72"/>
  <c r="AC73"/>
  <c r="AD73"/>
  <c r="AC74"/>
  <c r="AD74"/>
  <c r="AC75"/>
  <c r="AD75"/>
  <c r="AC76"/>
  <c r="AD76"/>
  <c r="AC77"/>
  <c r="AD77"/>
  <c r="AC78"/>
  <c r="AD78"/>
  <c r="AC79"/>
  <c r="AD79"/>
  <c r="AC80"/>
  <c r="AD80"/>
  <c r="AC81"/>
  <c r="AD81"/>
  <c r="AC82"/>
  <c r="AD82"/>
  <c r="AC83"/>
  <c r="AD83"/>
  <c r="AC84"/>
  <c r="AD84"/>
  <c r="AC85"/>
  <c r="AD85"/>
  <c r="AC86"/>
  <c r="AD86"/>
  <c r="AC87"/>
  <c r="AD87"/>
  <c r="AC88"/>
  <c r="AD88"/>
  <c r="AC89"/>
  <c r="AD89"/>
  <c r="AC90"/>
  <c r="AD90"/>
  <c r="AC91"/>
  <c r="AD91"/>
  <c r="AC92"/>
  <c r="AD92"/>
  <c r="AC93"/>
  <c r="AD93"/>
  <c r="AC94"/>
  <c r="AD94"/>
  <c r="AC95"/>
  <c r="AD95"/>
  <c r="AC96"/>
  <c r="AD96"/>
  <c r="AC97"/>
  <c r="AD97"/>
  <c r="AC98"/>
  <c r="AD98"/>
  <c r="AC99"/>
  <c r="AD99"/>
  <c r="AC100"/>
  <c r="AD100"/>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F24"/>
  <c r="AG24"/>
  <c r="AH24" s="1"/>
  <c r="AF25"/>
  <c r="AG25"/>
  <c r="AH25"/>
  <c r="AF26"/>
  <c r="AG26"/>
  <c r="AH26" s="1"/>
  <c r="AF27"/>
  <c r="AG27"/>
  <c r="AF28"/>
  <c r="AG28"/>
  <c r="AH28"/>
  <c r="AF29"/>
  <c r="AG29"/>
  <c r="AH29" s="1"/>
  <c r="AF30"/>
  <c r="AG30"/>
  <c r="AH30" s="1"/>
  <c r="AF31"/>
  <c r="AG31"/>
  <c r="AF32"/>
  <c r="AG32"/>
  <c r="AH32"/>
  <c r="AF33"/>
  <c r="AG33"/>
  <c r="AH33" s="1"/>
  <c r="AF34"/>
  <c r="AG34"/>
  <c r="AH34" s="1"/>
  <c r="AF35"/>
  <c r="AG35"/>
  <c r="AF36"/>
  <c r="AG36"/>
  <c r="AH36"/>
  <c r="AF37"/>
  <c r="AG37"/>
  <c r="AH37" s="1"/>
  <c r="AF38"/>
  <c r="AG38"/>
  <c r="AH38" s="1"/>
  <c r="AF39"/>
  <c r="AG39"/>
  <c r="AF40"/>
  <c r="AG40"/>
  <c r="AH40"/>
  <c r="AF41"/>
  <c r="AG41"/>
  <c r="AH41" s="1"/>
  <c r="AF42"/>
  <c r="AG42"/>
  <c r="AH42" s="1"/>
  <c r="AF43"/>
  <c r="AG43"/>
  <c r="AF44"/>
  <c r="AG44"/>
  <c r="AH44"/>
  <c r="AF45"/>
  <c r="AG45"/>
  <c r="AH45" s="1"/>
  <c r="AF46"/>
  <c r="AG46"/>
  <c r="AH46" s="1"/>
  <c r="AF47"/>
  <c r="AG47"/>
  <c r="AF48"/>
  <c r="AG48"/>
  <c r="AH48"/>
  <c r="AF49"/>
  <c r="AG49"/>
  <c r="AH49" s="1"/>
  <c r="AF50"/>
  <c r="AG50"/>
  <c r="AH50" s="1"/>
  <c r="AF51"/>
  <c r="AG51"/>
  <c r="AF52"/>
  <c r="AG52"/>
  <c r="AH52"/>
  <c r="AF53"/>
  <c r="AG53"/>
  <c r="AH53" s="1"/>
  <c r="AF54"/>
  <c r="AG54"/>
  <c r="AH54" s="1"/>
  <c r="AF55"/>
  <c r="AG55"/>
  <c r="AF56"/>
  <c r="AG56"/>
  <c r="AH56"/>
  <c r="AF57"/>
  <c r="AG57"/>
  <c r="AH57" s="1"/>
  <c r="AF58"/>
  <c r="AG58"/>
  <c r="AH58" s="1"/>
  <c r="AF59"/>
  <c r="AG59"/>
  <c r="AF60"/>
  <c r="AG60"/>
  <c r="AH60"/>
  <c r="AF61"/>
  <c r="AG61"/>
  <c r="AH61" s="1"/>
  <c r="AF62"/>
  <c r="AG62"/>
  <c r="AH62" s="1"/>
  <c r="AF63"/>
  <c r="AG63"/>
  <c r="AF64"/>
  <c r="AG64"/>
  <c r="AH64"/>
  <c r="AF65"/>
  <c r="AG65"/>
  <c r="AH65" s="1"/>
  <c r="AF66"/>
  <c r="AG66"/>
  <c r="AH66" s="1"/>
  <c r="AF67"/>
  <c r="AG67"/>
  <c r="AF68"/>
  <c r="AG68"/>
  <c r="AH68"/>
  <c r="AF69"/>
  <c r="AG69"/>
  <c r="AH69" s="1"/>
  <c r="AF70"/>
  <c r="AG70"/>
  <c r="AH70" s="1"/>
  <c r="AF71"/>
  <c r="AG71"/>
  <c r="AF72"/>
  <c r="AG72"/>
  <c r="AH72"/>
  <c r="AF73"/>
  <c r="AG73"/>
  <c r="AH73" s="1"/>
  <c r="AF74"/>
  <c r="AG74"/>
  <c r="AH74" s="1"/>
  <c r="AF75"/>
  <c r="AG75"/>
  <c r="AF76"/>
  <c r="AG76"/>
  <c r="AH76"/>
  <c r="AF77"/>
  <c r="AG77"/>
  <c r="AH77" s="1"/>
  <c r="AF78"/>
  <c r="AG78"/>
  <c r="AH78" s="1"/>
  <c r="AF79"/>
  <c r="AG79"/>
  <c r="AF80"/>
  <c r="AG80"/>
  <c r="AH80"/>
  <c r="AF81"/>
  <c r="AG81"/>
  <c r="AH81" s="1"/>
  <c r="AF82"/>
  <c r="AG82"/>
  <c r="AH82" s="1"/>
  <c r="AF83"/>
  <c r="AG83"/>
  <c r="AF84"/>
  <c r="AG84"/>
  <c r="AH84"/>
  <c r="AF85"/>
  <c r="AG85"/>
  <c r="AH85" s="1"/>
  <c r="AF86"/>
  <c r="AG86"/>
  <c r="AH86" s="1"/>
  <c r="AF87"/>
  <c r="AG87"/>
  <c r="AF88"/>
  <c r="AG88"/>
  <c r="AH88"/>
  <c r="AF89"/>
  <c r="AG89"/>
  <c r="AH89" s="1"/>
  <c r="AF90"/>
  <c r="AG90"/>
  <c r="AH90" s="1"/>
  <c r="AF91"/>
  <c r="AG91"/>
  <c r="AF92"/>
  <c r="AG92"/>
  <c r="AH92"/>
  <c r="AF93"/>
  <c r="AG93"/>
  <c r="AH93" s="1"/>
  <c r="AF94"/>
  <c r="AG94"/>
  <c r="AH94" s="1"/>
  <c r="AF95"/>
  <c r="AG95"/>
  <c r="AF96"/>
  <c r="AG96"/>
  <c r="AH96"/>
  <c r="AF97"/>
  <c r="AG97"/>
  <c r="AH97" s="1"/>
  <c r="AF98"/>
  <c r="AG98"/>
  <c r="AH98" s="1"/>
  <c r="AF99"/>
  <c r="AG99"/>
  <c r="AF100"/>
  <c r="AG100"/>
  <c r="AH100"/>
  <c r="AM3"/>
  <c r="AM4"/>
  <c r="AM5"/>
  <c r="AM6"/>
  <c r="AM7"/>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F93" i="20"/>
  <c r="F55"/>
  <c r="F76"/>
  <c r="B70"/>
  <c r="B69"/>
  <c r="F75"/>
  <c r="B33"/>
  <c r="B32"/>
  <c r="F39"/>
  <c r="F38"/>
  <c r="F11"/>
  <c r="AB23" i="32" l="1"/>
  <c r="AC23"/>
  <c r="AE23"/>
  <c r="AG23"/>
  <c r="AD23"/>
  <c r="AF23"/>
  <c r="AB21"/>
  <c r="AC21"/>
  <c r="AE21"/>
  <c r="AG21"/>
  <c r="AD21"/>
  <c r="AF21"/>
  <c r="AB19"/>
  <c r="AC19"/>
  <c r="AE19"/>
  <c r="AG19"/>
  <c r="AD19"/>
  <c r="AF19"/>
  <c r="AB17"/>
  <c r="AC17"/>
  <c r="AE17"/>
  <c r="AG17"/>
  <c r="AD17"/>
  <c r="AF17"/>
  <c r="AB15"/>
  <c r="AC15"/>
  <c r="AE15"/>
  <c r="AG15"/>
  <c r="AD15"/>
  <c r="AF15"/>
  <c r="AB13"/>
  <c r="AC13"/>
  <c r="AE13"/>
  <c r="AG13"/>
  <c r="AD13"/>
  <c r="AF13"/>
  <c r="AB11"/>
  <c r="AC11"/>
  <c r="AE11"/>
  <c r="AG11"/>
  <c r="AD11"/>
  <c r="AF11"/>
  <c r="AB9"/>
  <c r="AC9"/>
  <c r="AE9"/>
  <c r="AG9"/>
  <c r="AD9"/>
  <c r="AF9"/>
  <c r="AB7"/>
  <c r="AC7"/>
  <c r="AE7"/>
  <c r="AG7"/>
  <c r="AD7"/>
  <c r="AF7"/>
  <c r="AB5"/>
  <c r="AC5"/>
  <c r="AE5"/>
  <c r="AG5"/>
  <c r="AD5"/>
  <c r="AF5"/>
  <c r="AB3"/>
  <c r="AC3"/>
  <c r="AE3"/>
  <c r="AF3"/>
  <c r="AD3"/>
  <c r="AG3"/>
  <c r="AC22"/>
  <c r="AF22"/>
  <c r="AB22"/>
  <c r="AD22"/>
  <c r="AE22"/>
  <c r="AG22"/>
  <c r="AC20"/>
  <c r="AF20"/>
  <c r="AB20"/>
  <c r="AD20"/>
  <c r="AE20"/>
  <c r="AG20"/>
  <c r="AC18"/>
  <c r="AF18"/>
  <c r="AB18"/>
  <c r="AD18"/>
  <c r="AE18"/>
  <c r="AG18"/>
  <c r="AC16"/>
  <c r="AF16"/>
  <c r="AB16"/>
  <c r="AD16"/>
  <c r="AE16"/>
  <c r="AG16"/>
  <c r="AC14"/>
  <c r="AF14"/>
  <c r="AB14"/>
  <c r="AD14"/>
  <c r="AE14"/>
  <c r="AG14"/>
  <c r="AC12"/>
  <c r="AF12"/>
  <c r="AB12"/>
  <c r="AD12"/>
  <c r="AE12"/>
  <c r="AG12"/>
  <c r="AC10"/>
  <c r="AF10"/>
  <c r="AB10"/>
  <c r="AD10"/>
  <c r="AE10"/>
  <c r="AG10"/>
  <c r="AC8"/>
  <c r="AF8"/>
  <c r="AB8"/>
  <c r="AD8"/>
  <c r="AE8"/>
  <c r="AG8"/>
  <c r="AC6"/>
  <c r="AF6"/>
  <c r="AB6"/>
  <c r="AD6"/>
  <c r="AE6"/>
  <c r="AG6"/>
  <c r="AC4"/>
  <c r="AG4"/>
  <c r="AB4"/>
  <c r="AD4"/>
  <c r="AE4"/>
  <c r="AF4"/>
  <c r="AH99"/>
  <c r="AH95"/>
  <c r="AH91"/>
  <c r="AH87"/>
  <c r="AH83"/>
  <c r="AH79"/>
  <c r="AH75"/>
  <c r="AH71"/>
  <c r="AH67"/>
  <c r="AH63"/>
  <c r="AH59"/>
  <c r="AH55"/>
  <c r="AH51"/>
  <c r="AH47"/>
  <c r="AH43"/>
  <c r="AH39"/>
  <c r="AH35"/>
  <c r="AH31"/>
  <c r="AH27"/>
  <c r="AC2"/>
  <c r="AE2"/>
  <c r="AG2"/>
  <c r="AB2"/>
  <c r="AD2"/>
  <c r="AF2"/>
  <c r="AH2"/>
  <c r="C35" i="24"/>
  <c r="B34"/>
  <c r="B33"/>
  <c r="F10" i="13"/>
  <c r="E7" i="14"/>
  <c r="AX67" i="28"/>
  <c r="AX51"/>
  <c r="AX52"/>
  <c r="AX53"/>
  <c r="AX54"/>
  <c r="AX55"/>
  <c r="AX56"/>
  <c r="AX57"/>
  <c r="AX58"/>
  <c r="AX59"/>
  <c r="AX60"/>
  <c r="AX61"/>
  <c r="AX62"/>
  <c r="AX63"/>
  <c r="AX64"/>
  <c r="AX65"/>
  <c r="AX66"/>
  <c r="AX68"/>
  <c r="AX69"/>
  <c r="AX70"/>
  <c r="AX71"/>
  <c r="AX72"/>
  <c r="AX73"/>
  <c r="AX74"/>
  <c r="AX75"/>
  <c r="AX76"/>
  <c r="AX77"/>
  <c r="AX78"/>
  <c r="AX79"/>
  <c r="AX80"/>
  <c r="AX81"/>
  <c r="AX82"/>
  <c r="AX83"/>
  <c r="AX84"/>
  <c r="AX85"/>
  <c r="AX86"/>
  <c r="AX87"/>
  <c r="AX88"/>
  <c r="AX89"/>
  <c r="AX90"/>
  <c r="AX91"/>
  <c r="AX92"/>
  <c r="AX93"/>
  <c r="AX94"/>
  <c r="AX95"/>
  <c r="AX96"/>
  <c r="AX97"/>
  <c r="AX98"/>
  <c r="AX99"/>
  <c r="AX100"/>
  <c r="C80" i="13"/>
  <c r="E79" i="23" s="1"/>
  <c r="C82" i="13"/>
  <c r="C83"/>
  <c r="C84"/>
  <c r="C85"/>
  <c r="C86"/>
  <c r="C87"/>
  <c r="C78"/>
  <c r="C79"/>
  <c r="C81"/>
  <c r="C64"/>
  <c r="C65"/>
  <c r="C66"/>
  <c r="C67"/>
  <c r="C68"/>
  <c r="C69"/>
  <c r="C70"/>
  <c r="C71"/>
  <c r="C72"/>
  <c r="C73"/>
  <c r="C75"/>
  <c r="C76"/>
  <c r="C77"/>
  <c r="D80"/>
  <c r="E80"/>
  <c r="G80"/>
  <c r="H80"/>
  <c r="I80"/>
  <c r="D81"/>
  <c r="E81"/>
  <c r="G81"/>
  <c r="H81"/>
  <c r="I81"/>
  <c r="D82"/>
  <c r="E82"/>
  <c r="G82"/>
  <c r="H82"/>
  <c r="I82"/>
  <c r="D83"/>
  <c r="E83"/>
  <c r="G83"/>
  <c r="H83"/>
  <c r="I83"/>
  <c r="D84"/>
  <c r="E84"/>
  <c r="G84"/>
  <c r="H84"/>
  <c r="I84"/>
  <c r="D85"/>
  <c r="E85"/>
  <c r="H85"/>
  <c r="I85"/>
  <c r="D86"/>
  <c r="E86"/>
  <c r="H86"/>
  <c r="I86"/>
  <c r="E86" i="23"/>
  <c r="D87" i="13"/>
  <c r="E87"/>
  <c r="H87"/>
  <c r="I87"/>
  <c r="C88"/>
  <c r="D88"/>
  <c r="E88"/>
  <c r="H88"/>
  <c r="I88"/>
  <c r="C89"/>
  <c r="D89"/>
  <c r="E89"/>
  <c r="H89"/>
  <c r="I89"/>
  <c r="E85" i="23"/>
  <c r="E84"/>
  <c r="E83"/>
  <c r="E81"/>
  <c r="E80"/>
  <c r="E78"/>
  <c r="E77"/>
  <c r="B19" i="46"/>
  <c r="L24"/>
  <c r="I3"/>
  <c r="AI3" i="28"/>
  <c r="AI4"/>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C10" i="29"/>
  <c r="C10" i="37"/>
  <c r="AH6" i="32" l="1"/>
  <c r="AH8"/>
  <c r="AH10"/>
  <c r="AH12"/>
  <c r="AH14"/>
  <c r="AH16"/>
  <c r="AH18"/>
  <c r="AH20"/>
  <c r="AH22"/>
  <c r="AH3"/>
  <c r="AH5"/>
  <c r="AH7"/>
  <c r="AH9"/>
  <c r="AH11"/>
  <c r="AH13"/>
  <c r="AH15"/>
  <c r="AH17"/>
  <c r="AH19"/>
  <c r="AH21"/>
  <c r="AH23"/>
  <c r="AH4"/>
  <c r="E7" i="33"/>
  <c r="C7" i="41" s="1"/>
  <c r="F93" i="36"/>
  <c r="F55"/>
  <c r="B70"/>
  <c r="B69"/>
  <c r="B33"/>
  <c r="B32"/>
  <c r="F75"/>
  <c r="F38"/>
  <c r="F39"/>
  <c r="F76" s="1"/>
  <c r="F77"/>
  <c r="F40"/>
  <c r="F11"/>
  <c r="E7" i="34"/>
  <c r="C7" i="42" s="1"/>
  <c r="L24" i="49"/>
  <c r="I3"/>
  <c r="B8" i="52" l="1"/>
  <c r="D57" i="26" l="1"/>
  <c r="B55"/>
  <c r="C5"/>
  <c r="B33" i="38"/>
  <c r="B34"/>
  <c r="B35"/>
  <c r="B36"/>
  <c r="B16"/>
  <c r="B17"/>
  <c r="B18"/>
  <c r="B19"/>
  <c r="B20"/>
  <c r="B21"/>
  <c r="B22"/>
  <c r="B23"/>
  <c r="B24"/>
  <c r="B25"/>
  <c r="B26"/>
  <c r="B27"/>
  <c r="B28"/>
  <c r="B29"/>
  <c r="B30"/>
  <c r="B31"/>
  <c r="B32"/>
  <c r="B15"/>
  <c r="B16" i="53"/>
  <c r="B17"/>
  <c r="B18"/>
  <c r="B19"/>
  <c r="B20"/>
  <c r="B21"/>
  <c r="B15"/>
  <c r="E11"/>
  <c r="E8"/>
  <c r="C8"/>
  <c r="B12" s="1"/>
  <c r="G36" i="26"/>
  <c r="G78"/>
  <c r="D72" i="40"/>
  <c r="C26" i="42"/>
  <c r="C24"/>
  <c r="C22"/>
  <c r="C20"/>
  <c r="C18"/>
  <c r="D94" i="39"/>
  <c r="E11" i="38"/>
  <c r="E55" i="52"/>
  <c r="E53"/>
  <c r="E51"/>
  <c r="E49"/>
  <c r="E47"/>
  <c r="E45"/>
  <c r="F45" s="1"/>
  <c r="E44"/>
  <c r="F44" s="1"/>
  <c r="E43"/>
  <c r="F43" s="1"/>
  <c r="E42"/>
  <c r="F42" s="1"/>
  <c r="E41"/>
  <c r="F41" s="1"/>
  <c r="E40"/>
  <c r="F40" s="1"/>
  <c r="E39"/>
  <c r="F39" s="1"/>
  <c r="E38"/>
  <c r="F38" s="1"/>
  <c r="E37"/>
  <c r="F37" s="1"/>
  <c r="E36"/>
  <c r="F36" s="1"/>
  <c r="E35"/>
  <c r="F35" s="1"/>
  <c r="E34"/>
  <c r="F34" s="1"/>
  <c r="E33"/>
  <c r="F33" s="1"/>
  <c r="E32"/>
  <c r="F32" s="1"/>
  <c r="E31"/>
  <c r="F31" s="1"/>
  <c r="E30"/>
  <c r="F30" s="1"/>
  <c r="E29"/>
  <c r="F29" s="1"/>
  <c r="E28"/>
  <c r="F28" s="1"/>
  <c r="E27"/>
  <c r="F27" s="1"/>
  <c r="E26"/>
  <c r="F26" s="1"/>
  <c r="E25"/>
  <c r="F25" s="1"/>
  <c r="E24"/>
  <c r="F24" s="1"/>
  <c r="E23"/>
  <c r="F23" s="1"/>
  <c r="E22"/>
  <c r="F22" s="1"/>
  <c r="E21"/>
  <c r="F21" s="1"/>
  <c r="E20"/>
  <c r="F20" s="1"/>
  <c r="E19"/>
  <c r="F19" s="1"/>
  <c r="E18"/>
  <c r="F18" s="1"/>
  <c r="E17"/>
  <c r="F17" s="1"/>
  <c r="E48" i="35"/>
  <c r="E46"/>
  <c r="E44"/>
  <c r="E42"/>
  <c r="E40"/>
  <c r="C41" i="41"/>
  <c r="C39"/>
  <c r="C37"/>
  <c r="C35"/>
  <c r="C33"/>
  <c r="J58" i="37"/>
  <c r="J52"/>
  <c r="J46"/>
  <c r="J40"/>
  <c r="J34"/>
  <c r="J26"/>
  <c r="J74" i="29"/>
  <c r="J68"/>
  <c r="J62"/>
  <c r="J56"/>
  <c r="J50"/>
  <c r="J42"/>
  <c r="I118" i="13"/>
  <c r="I113"/>
  <c r="I108"/>
  <c r="I102"/>
  <c r="I97"/>
  <c r="E7" i="47"/>
  <c r="AB47" i="18"/>
  <c r="C89" i="22"/>
  <c r="C91" s="1"/>
  <c r="C93" s="1"/>
  <c r="C95" s="1"/>
  <c r="C97" s="1"/>
  <c r="D94" i="23"/>
  <c r="F48" i="24"/>
  <c r="F20"/>
  <c r="D11" i="21"/>
  <c r="E97" i="17"/>
  <c r="E99" s="1"/>
  <c r="E101" s="1"/>
  <c r="E103" s="1"/>
  <c r="E105" s="1"/>
  <c r="E7" i="48"/>
  <c r="F15" i="40"/>
  <c r="F16"/>
  <c r="F17"/>
  <c r="F18"/>
  <c r="F19"/>
  <c r="F20"/>
  <c r="F14"/>
  <c r="T3" i="18"/>
  <c r="V4" s="1"/>
  <c r="Q2"/>
  <c r="W3" s="1"/>
  <c r="E8" i="38"/>
  <c r="C8"/>
  <c r="B8" i="21"/>
  <c r="D9" i="20"/>
  <c r="D8" i="21"/>
  <c r="D38" i="20"/>
  <c r="D75" s="1"/>
  <c r="D9" i="36"/>
  <c r="D38" s="1"/>
  <c r="D75" s="1"/>
  <c r="H4" i="20"/>
  <c r="G22" s="1"/>
  <c r="H33" s="1"/>
  <c r="G55" s="1"/>
  <c r="H70" s="1"/>
  <c r="G93" s="1"/>
  <c r="H4" i="36"/>
  <c r="G22" s="1"/>
  <c r="H33" s="1"/>
  <c r="G55" s="1"/>
  <c r="H70" s="1"/>
  <c r="G93" s="1"/>
  <c r="H5" i="15"/>
  <c r="H25" s="1"/>
  <c r="H10" i="16"/>
  <c r="K16" s="1"/>
  <c r="C45" i="33"/>
  <c r="B8" i="35"/>
  <c r="C7" i="22"/>
  <c r="E5" i="33"/>
  <c r="E5" i="34"/>
  <c r="E5" i="14"/>
  <c r="B7" i="52" s="1"/>
  <c r="C45" i="34"/>
  <c r="C45" i="14"/>
  <c r="AO100" i="32"/>
  <c r="AN100"/>
  <c r="AA100"/>
  <c r="Z100"/>
  <c r="U100"/>
  <c r="T100"/>
  <c r="S100"/>
  <c r="R100"/>
  <c r="Q100"/>
  <c r="P100"/>
  <c r="O100"/>
  <c r="D100"/>
  <c r="AO99"/>
  <c r="AN99"/>
  <c r="AA99"/>
  <c r="Z99"/>
  <c r="U99"/>
  <c r="T99"/>
  <c r="S99"/>
  <c r="R99"/>
  <c r="Q99"/>
  <c r="P99"/>
  <c r="O99"/>
  <c r="D99"/>
  <c r="AO98"/>
  <c r="AN98"/>
  <c r="AA98"/>
  <c r="Z98"/>
  <c r="U98"/>
  <c r="T98"/>
  <c r="S98"/>
  <c r="R98"/>
  <c r="Q98"/>
  <c r="P98"/>
  <c r="O98"/>
  <c r="D98"/>
  <c r="AO97"/>
  <c r="AN97"/>
  <c r="AA97"/>
  <c r="Z97"/>
  <c r="U97"/>
  <c r="T97"/>
  <c r="S97"/>
  <c r="R97"/>
  <c r="Q97"/>
  <c r="P97"/>
  <c r="O97"/>
  <c r="D97"/>
  <c r="AO96"/>
  <c r="AN96"/>
  <c r="AA96"/>
  <c r="Z96"/>
  <c r="U96"/>
  <c r="T96"/>
  <c r="S96"/>
  <c r="R96"/>
  <c r="Q96"/>
  <c r="P96"/>
  <c r="O96"/>
  <c r="D96"/>
  <c r="AO95"/>
  <c r="AN95"/>
  <c r="AA95"/>
  <c r="Z95"/>
  <c r="U95"/>
  <c r="T95"/>
  <c r="S95"/>
  <c r="R95"/>
  <c r="Q95"/>
  <c r="P95"/>
  <c r="O95"/>
  <c r="D95"/>
  <c r="AO94"/>
  <c r="AN94"/>
  <c r="AA94"/>
  <c r="Z94"/>
  <c r="U94"/>
  <c r="T94"/>
  <c r="S94"/>
  <c r="R94"/>
  <c r="Q94"/>
  <c r="P94"/>
  <c r="O94"/>
  <c r="D94"/>
  <c r="AO93"/>
  <c r="AN93"/>
  <c r="AA93"/>
  <c r="Z93"/>
  <c r="U93"/>
  <c r="T93"/>
  <c r="S93"/>
  <c r="R93"/>
  <c r="Q93"/>
  <c r="P93"/>
  <c r="O93"/>
  <c r="D93"/>
  <c r="AO92"/>
  <c r="AN92"/>
  <c r="AA92"/>
  <c r="Z92"/>
  <c r="U92"/>
  <c r="T92"/>
  <c r="S92"/>
  <c r="R92"/>
  <c r="Q92"/>
  <c r="P92"/>
  <c r="O92"/>
  <c r="D92"/>
  <c r="AO91"/>
  <c r="AN91"/>
  <c r="AA91"/>
  <c r="Z91"/>
  <c r="U91"/>
  <c r="T91"/>
  <c r="S91"/>
  <c r="R91"/>
  <c r="Q91"/>
  <c r="P91"/>
  <c r="O91"/>
  <c r="D91"/>
  <c r="AO90"/>
  <c r="AN90"/>
  <c r="AA90"/>
  <c r="Z90"/>
  <c r="U90"/>
  <c r="T90"/>
  <c r="S90"/>
  <c r="R90"/>
  <c r="Q90"/>
  <c r="P90"/>
  <c r="O90"/>
  <c r="D90"/>
  <c r="AO89"/>
  <c r="AN89"/>
  <c r="AA89"/>
  <c r="Z89"/>
  <c r="U89"/>
  <c r="T89"/>
  <c r="S89"/>
  <c r="R89"/>
  <c r="Q89"/>
  <c r="P89"/>
  <c r="O89"/>
  <c r="D89"/>
  <c r="AO88"/>
  <c r="AN88"/>
  <c r="AA88"/>
  <c r="Z88"/>
  <c r="U88"/>
  <c r="T88"/>
  <c r="S88"/>
  <c r="R88"/>
  <c r="Q88"/>
  <c r="P88"/>
  <c r="O88"/>
  <c r="D88"/>
  <c r="AO87"/>
  <c r="AN87"/>
  <c r="AA87"/>
  <c r="Z87"/>
  <c r="U87"/>
  <c r="T87"/>
  <c r="S87"/>
  <c r="R87"/>
  <c r="Q87"/>
  <c r="P87"/>
  <c r="O87"/>
  <c r="D87"/>
  <c r="AO86"/>
  <c r="AN86"/>
  <c r="AA86"/>
  <c r="Z86"/>
  <c r="U86"/>
  <c r="T86"/>
  <c r="S86"/>
  <c r="R86"/>
  <c r="Q86"/>
  <c r="P86"/>
  <c r="O86"/>
  <c r="D86"/>
  <c r="AO85"/>
  <c r="AN85"/>
  <c r="AA85"/>
  <c r="Z85"/>
  <c r="U85"/>
  <c r="T85"/>
  <c r="S85"/>
  <c r="R85"/>
  <c r="Q85"/>
  <c r="P85"/>
  <c r="O85"/>
  <c r="D85"/>
  <c r="AO84"/>
  <c r="AN84"/>
  <c r="AA84"/>
  <c r="Z84"/>
  <c r="U84"/>
  <c r="T84"/>
  <c r="S84"/>
  <c r="R84"/>
  <c r="Q84"/>
  <c r="P84"/>
  <c r="O84"/>
  <c r="D84"/>
  <c r="AO83"/>
  <c r="AN83"/>
  <c r="AA83"/>
  <c r="Z83"/>
  <c r="U83"/>
  <c r="T83"/>
  <c r="S83"/>
  <c r="R83"/>
  <c r="Q83"/>
  <c r="P83"/>
  <c r="O83"/>
  <c r="D83"/>
  <c r="AO82"/>
  <c r="AN82"/>
  <c r="AA82"/>
  <c r="Z82"/>
  <c r="U82"/>
  <c r="T82"/>
  <c r="S82"/>
  <c r="R82"/>
  <c r="Q82"/>
  <c r="P82"/>
  <c r="O82"/>
  <c r="D82"/>
  <c r="AO81"/>
  <c r="AN81"/>
  <c r="AA81"/>
  <c r="Z81"/>
  <c r="U81"/>
  <c r="T81"/>
  <c r="S81"/>
  <c r="R81"/>
  <c r="Q81"/>
  <c r="P81"/>
  <c r="O81"/>
  <c r="D81"/>
  <c r="AO80"/>
  <c r="AN80"/>
  <c r="AA80"/>
  <c r="Z80"/>
  <c r="U80"/>
  <c r="T80"/>
  <c r="S80"/>
  <c r="R80"/>
  <c r="Q80"/>
  <c r="P80"/>
  <c r="O80"/>
  <c r="D80"/>
  <c r="AO79"/>
  <c r="AN79"/>
  <c r="AA79"/>
  <c r="Z79"/>
  <c r="U79"/>
  <c r="T79"/>
  <c r="S79"/>
  <c r="R79"/>
  <c r="Q79"/>
  <c r="P79"/>
  <c r="O79"/>
  <c r="D79"/>
  <c r="AO78"/>
  <c r="AN78"/>
  <c r="AA78"/>
  <c r="Z78"/>
  <c r="U78"/>
  <c r="T78"/>
  <c r="S78"/>
  <c r="R78"/>
  <c r="Q78"/>
  <c r="P78"/>
  <c r="O78"/>
  <c r="D78"/>
  <c r="AO77"/>
  <c r="AN77"/>
  <c r="AA77"/>
  <c r="Z77"/>
  <c r="U77"/>
  <c r="T77"/>
  <c r="S77"/>
  <c r="R77"/>
  <c r="Q77"/>
  <c r="P77"/>
  <c r="O77"/>
  <c r="D77"/>
  <c r="AO76"/>
  <c r="AN76"/>
  <c r="AA76"/>
  <c r="Z76"/>
  <c r="U76"/>
  <c r="T76"/>
  <c r="S76"/>
  <c r="R76"/>
  <c r="Q76"/>
  <c r="P76"/>
  <c r="O76"/>
  <c r="D76"/>
  <c r="AO75"/>
  <c r="AN75"/>
  <c r="AA75"/>
  <c r="Z75"/>
  <c r="U75"/>
  <c r="T75"/>
  <c r="S75"/>
  <c r="R75"/>
  <c r="Q75"/>
  <c r="P75"/>
  <c r="O75"/>
  <c r="D75"/>
  <c r="AO74"/>
  <c r="AN74"/>
  <c r="AA74"/>
  <c r="Z74"/>
  <c r="U74"/>
  <c r="T74"/>
  <c r="S74"/>
  <c r="R74"/>
  <c r="Q74"/>
  <c r="P74"/>
  <c r="O74"/>
  <c r="D74"/>
  <c r="AO73"/>
  <c r="AN73"/>
  <c r="AA73"/>
  <c r="Z73"/>
  <c r="U73"/>
  <c r="T73"/>
  <c r="S73"/>
  <c r="R73"/>
  <c r="Q73"/>
  <c r="P73"/>
  <c r="O73"/>
  <c r="D73"/>
  <c r="AO72"/>
  <c r="AN72"/>
  <c r="AA72"/>
  <c r="Z72"/>
  <c r="U72"/>
  <c r="T72"/>
  <c r="S72"/>
  <c r="R72"/>
  <c r="Q72"/>
  <c r="P72"/>
  <c r="O72"/>
  <c r="D72"/>
  <c r="AO71"/>
  <c r="AN71"/>
  <c r="AA71"/>
  <c r="Z71"/>
  <c r="U71"/>
  <c r="T71"/>
  <c r="S71"/>
  <c r="R71"/>
  <c r="Q71"/>
  <c r="P71"/>
  <c r="O71"/>
  <c r="D71"/>
  <c r="AO70"/>
  <c r="AN70"/>
  <c r="AA70"/>
  <c r="Z70"/>
  <c r="U70"/>
  <c r="T70"/>
  <c r="S70"/>
  <c r="R70"/>
  <c r="Q70"/>
  <c r="P70"/>
  <c r="O70"/>
  <c r="D70"/>
  <c r="AO69"/>
  <c r="AN69"/>
  <c r="AA69"/>
  <c r="Z69"/>
  <c r="U69"/>
  <c r="T69"/>
  <c r="S69"/>
  <c r="R69"/>
  <c r="Q69"/>
  <c r="P69"/>
  <c r="O69"/>
  <c r="D69"/>
  <c r="AO68"/>
  <c r="AN68"/>
  <c r="AA68"/>
  <c r="Z68"/>
  <c r="U68"/>
  <c r="T68"/>
  <c r="S68"/>
  <c r="R68"/>
  <c r="Q68"/>
  <c r="P68"/>
  <c r="O68"/>
  <c r="D68"/>
  <c r="AO67"/>
  <c r="AN67"/>
  <c r="AA67"/>
  <c r="Z67"/>
  <c r="U67"/>
  <c r="T67"/>
  <c r="S67"/>
  <c r="R67"/>
  <c r="Q67"/>
  <c r="P67"/>
  <c r="O67"/>
  <c r="D67"/>
  <c r="AO66"/>
  <c r="AN66"/>
  <c r="AA66"/>
  <c r="Z66"/>
  <c r="U66"/>
  <c r="T66"/>
  <c r="S66"/>
  <c r="R66"/>
  <c r="Q66"/>
  <c r="P66"/>
  <c r="O66"/>
  <c r="D66"/>
  <c r="AO65"/>
  <c r="AN65"/>
  <c r="AA65"/>
  <c r="Z65"/>
  <c r="U65"/>
  <c r="T65"/>
  <c r="S65"/>
  <c r="R65"/>
  <c r="Q65"/>
  <c r="P65"/>
  <c r="O65"/>
  <c r="D65"/>
  <c r="AI100" l="1"/>
  <c r="AJ100" s="1"/>
  <c r="AK100" s="1"/>
  <c r="AL100" s="1"/>
  <c r="AO64"/>
  <c r="AN64"/>
  <c r="AA64"/>
  <c r="Z64"/>
  <c r="U64"/>
  <c r="T64"/>
  <c r="S64"/>
  <c r="R64"/>
  <c r="Q64"/>
  <c r="P64"/>
  <c r="O64"/>
  <c r="D64"/>
  <c r="AO63"/>
  <c r="AN63"/>
  <c r="AA63"/>
  <c r="Z63"/>
  <c r="U63"/>
  <c r="T63"/>
  <c r="S63"/>
  <c r="R63"/>
  <c r="Q63"/>
  <c r="P63"/>
  <c r="O63"/>
  <c r="D63"/>
  <c r="AO62"/>
  <c r="AN62"/>
  <c r="AA62"/>
  <c r="Z62"/>
  <c r="U62"/>
  <c r="T62"/>
  <c r="S62"/>
  <c r="R62"/>
  <c r="Q62"/>
  <c r="P62"/>
  <c r="O62"/>
  <c r="D62"/>
  <c r="AO61"/>
  <c r="AN61"/>
  <c r="AA61"/>
  <c r="Z61"/>
  <c r="U61"/>
  <c r="T61"/>
  <c r="S61"/>
  <c r="R61"/>
  <c r="Q61"/>
  <c r="P61"/>
  <c r="O61"/>
  <c r="D61"/>
  <c r="AO60"/>
  <c r="AN60"/>
  <c r="AA60"/>
  <c r="Z60"/>
  <c r="U60"/>
  <c r="T60"/>
  <c r="S60"/>
  <c r="R60"/>
  <c r="Q60"/>
  <c r="P60"/>
  <c r="O60"/>
  <c r="D60"/>
  <c r="AO59"/>
  <c r="AN59"/>
  <c r="AA59"/>
  <c r="Z59"/>
  <c r="U59"/>
  <c r="T59"/>
  <c r="S59"/>
  <c r="R59"/>
  <c r="Q59"/>
  <c r="P59"/>
  <c r="O59"/>
  <c r="D59"/>
  <c r="AO58"/>
  <c r="AN58"/>
  <c r="AA58"/>
  <c r="Z58"/>
  <c r="U58"/>
  <c r="T58"/>
  <c r="S58"/>
  <c r="R58"/>
  <c r="Q58"/>
  <c r="P58"/>
  <c r="O58"/>
  <c r="D58"/>
  <c r="AO57"/>
  <c r="AN57"/>
  <c r="AA57"/>
  <c r="Z57"/>
  <c r="U57"/>
  <c r="T57"/>
  <c r="S57"/>
  <c r="R57"/>
  <c r="Q57"/>
  <c r="P57"/>
  <c r="O57"/>
  <c r="D57"/>
  <c r="AO56"/>
  <c r="AN56"/>
  <c r="AA56"/>
  <c r="Z56"/>
  <c r="U56"/>
  <c r="T56"/>
  <c r="S56"/>
  <c r="R56"/>
  <c r="Q56"/>
  <c r="P56"/>
  <c r="O56"/>
  <c r="D56"/>
  <c r="AO55"/>
  <c r="AN55"/>
  <c r="AA55"/>
  <c r="Z55"/>
  <c r="U55"/>
  <c r="T55"/>
  <c r="S55"/>
  <c r="R55"/>
  <c r="Q55"/>
  <c r="P55"/>
  <c r="O55"/>
  <c r="D55"/>
  <c r="AO54"/>
  <c r="AN54"/>
  <c r="AA54"/>
  <c r="Z54"/>
  <c r="U54"/>
  <c r="T54"/>
  <c r="S54"/>
  <c r="R54"/>
  <c r="Q54"/>
  <c r="P54"/>
  <c r="O54"/>
  <c r="D54"/>
  <c r="AO53"/>
  <c r="AN53"/>
  <c r="AA53"/>
  <c r="Z53"/>
  <c r="U53"/>
  <c r="T53"/>
  <c r="S53"/>
  <c r="R53"/>
  <c r="Q53"/>
  <c r="P53"/>
  <c r="O53"/>
  <c r="D53"/>
  <c r="AO52"/>
  <c r="AN52"/>
  <c r="AA52"/>
  <c r="Z52"/>
  <c r="U52"/>
  <c r="T52"/>
  <c r="S52"/>
  <c r="R52"/>
  <c r="Q52"/>
  <c r="P52"/>
  <c r="O52"/>
  <c r="D52"/>
  <c r="AO51"/>
  <c r="AN51"/>
  <c r="AA51"/>
  <c r="Z51"/>
  <c r="U51"/>
  <c r="T51"/>
  <c r="S51"/>
  <c r="R51"/>
  <c r="Q51"/>
  <c r="P51"/>
  <c r="O51"/>
  <c r="D51"/>
  <c r="AO50"/>
  <c r="AN50"/>
  <c r="AA50"/>
  <c r="Z50"/>
  <c r="U50"/>
  <c r="T50"/>
  <c r="S50"/>
  <c r="R50"/>
  <c r="Q50"/>
  <c r="P50"/>
  <c r="O50"/>
  <c r="D50"/>
  <c r="AO49"/>
  <c r="AN49"/>
  <c r="AA49"/>
  <c r="Z49"/>
  <c r="U49"/>
  <c r="T49"/>
  <c r="S49"/>
  <c r="R49"/>
  <c r="Q49"/>
  <c r="P49"/>
  <c r="O49"/>
  <c r="D49"/>
  <c r="AO48"/>
  <c r="AN48"/>
  <c r="AA48"/>
  <c r="Z48"/>
  <c r="U48"/>
  <c r="T48"/>
  <c r="S48"/>
  <c r="R48"/>
  <c r="Q48"/>
  <c r="P48"/>
  <c r="O48"/>
  <c r="D48"/>
  <c r="AO47"/>
  <c r="AN47"/>
  <c r="AA47"/>
  <c r="Z47"/>
  <c r="U47"/>
  <c r="T47"/>
  <c r="S47"/>
  <c r="R47"/>
  <c r="Q47"/>
  <c r="P47"/>
  <c r="O47"/>
  <c r="D47"/>
  <c r="AO46"/>
  <c r="AN46"/>
  <c r="AA46"/>
  <c r="Z46"/>
  <c r="U46"/>
  <c r="T46"/>
  <c r="S46"/>
  <c r="R46"/>
  <c r="Q46"/>
  <c r="P46"/>
  <c r="O46"/>
  <c r="D46"/>
  <c r="AO45"/>
  <c r="AN45"/>
  <c r="AA45"/>
  <c r="Z45"/>
  <c r="U45"/>
  <c r="T45"/>
  <c r="S45"/>
  <c r="R45"/>
  <c r="Q45"/>
  <c r="P45"/>
  <c r="O45"/>
  <c r="D45"/>
  <c r="AO44"/>
  <c r="AN44"/>
  <c r="AA44"/>
  <c r="Z44"/>
  <c r="U44"/>
  <c r="T44"/>
  <c r="S44"/>
  <c r="R44"/>
  <c r="Q44"/>
  <c r="P44"/>
  <c r="O44"/>
  <c r="D44"/>
  <c r="AO43"/>
  <c r="AN43"/>
  <c r="AA43"/>
  <c r="Z43"/>
  <c r="U43"/>
  <c r="T43"/>
  <c r="S43"/>
  <c r="R43"/>
  <c r="Q43"/>
  <c r="P43"/>
  <c r="O43"/>
  <c r="D43"/>
  <c r="AO42"/>
  <c r="AN42"/>
  <c r="AA42"/>
  <c r="Z42"/>
  <c r="U42"/>
  <c r="T42"/>
  <c r="S42"/>
  <c r="R42"/>
  <c r="Q42"/>
  <c r="P42"/>
  <c r="O42"/>
  <c r="D42"/>
  <c r="AO41"/>
  <c r="AN41"/>
  <c r="AA41"/>
  <c r="Z41"/>
  <c r="U41"/>
  <c r="T41"/>
  <c r="S41"/>
  <c r="R41"/>
  <c r="Q41"/>
  <c r="P41"/>
  <c r="O41"/>
  <c r="D41"/>
  <c r="AO40"/>
  <c r="AN40"/>
  <c r="AA40"/>
  <c r="Z40"/>
  <c r="U40"/>
  <c r="T40"/>
  <c r="S40"/>
  <c r="R40"/>
  <c r="Q40"/>
  <c r="P40"/>
  <c r="O40"/>
  <c r="D40"/>
  <c r="AO39"/>
  <c r="AN39"/>
  <c r="AA39"/>
  <c r="Z39"/>
  <c r="U39"/>
  <c r="T39"/>
  <c r="S39"/>
  <c r="R39"/>
  <c r="Q39"/>
  <c r="P39"/>
  <c r="O39"/>
  <c r="D39"/>
  <c r="AO38"/>
  <c r="AN38"/>
  <c r="AA38"/>
  <c r="Z38"/>
  <c r="U38"/>
  <c r="T38"/>
  <c r="S38"/>
  <c r="R38"/>
  <c r="Q38"/>
  <c r="P38"/>
  <c r="O38"/>
  <c r="D38"/>
  <c r="AO37"/>
  <c r="AN37"/>
  <c r="AA37"/>
  <c r="Z37"/>
  <c r="U37"/>
  <c r="T37"/>
  <c r="S37"/>
  <c r="R37"/>
  <c r="Q37"/>
  <c r="P37"/>
  <c r="O37"/>
  <c r="D37"/>
  <c r="AO36"/>
  <c r="AN36"/>
  <c r="AA36"/>
  <c r="Z36"/>
  <c r="U36"/>
  <c r="T36"/>
  <c r="S36"/>
  <c r="R36"/>
  <c r="Q36"/>
  <c r="P36"/>
  <c r="O36"/>
  <c r="D36"/>
  <c r="AO35"/>
  <c r="AN35"/>
  <c r="AA35"/>
  <c r="Z35"/>
  <c r="U35"/>
  <c r="T35"/>
  <c r="S35"/>
  <c r="R35"/>
  <c r="Q35"/>
  <c r="P35"/>
  <c r="O35"/>
  <c r="D35"/>
  <c r="AO34"/>
  <c r="AN34"/>
  <c r="AA34"/>
  <c r="Z34"/>
  <c r="U34"/>
  <c r="T34"/>
  <c r="S34"/>
  <c r="R34"/>
  <c r="Q34"/>
  <c r="P34"/>
  <c r="O34"/>
  <c r="D34"/>
  <c r="AO33"/>
  <c r="AN33"/>
  <c r="AA33"/>
  <c r="Z33"/>
  <c r="U33"/>
  <c r="T33"/>
  <c r="S33"/>
  <c r="R33"/>
  <c r="Q33"/>
  <c r="P33"/>
  <c r="O33"/>
  <c r="D33"/>
  <c r="AO32"/>
  <c r="AN32"/>
  <c r="AA32"/>
  <c r="Z32"/>
  <c r="U32"/>
  <c r="T32"/>
  <c r="S32"/>
  <c r="R32"/>
  <c r="Q32"/>
  <c r="P32"/>
  <c r="O32"/>
  <c r="D32"/>
  <c r="AO31"/>
  <c r="AN31"/>
  <c r="AA31"/>
  <c r="Z31"/>
  <c r="U31"/>
  <c r="T31"/>
  <c r="S31"/>
  <c r="R31"/>
  <c r="Q31"/>
  <c r="P31"/>
  <c r="O31"/>
  <c r="D31"/>
  <c r="AO30"/>
  <c r="AN30"/>
  <c r="Z30" l="1"/>
  <c r="U30"/>
  <c r="T30"/>
  <c r="S30"/>
  <c r="R30"/>
  <c r="Q30"/>
  <c r="P30"/>
  <c r="O30"/>
  <c r="D30"/>
  <c r="AO29"/>
  <c r="AA29" s="1"/>
  <c r="AN29"/>
  <c r="Z29"/>
  <c r="U29"/>
  <c r="T29"/>
  <c r="S29"/>
  <c r="R29"/>
  <c r="Q29"/>
  <c r="P29"/>
  <c r="O29"/>
  <c r="D29"/>
  <c r="AO28"/>
  <c r="AA28" s="1"/>
  <c r="AN28"/>
  <c r="Z28"/>
  <c r="U28"/>
  <c r="T28"/>
  <c r="S28"/>
  <c r="R28"/>
  <c r="Q28"/>
  <c r="P28"/>
  <c r="O28"/>
  <c r="D28"/>
  <c r="AO27"/>
  <c r="AN27"/>
  <c r="AA30" l="1"/>
  <c r="AI29"/>
  <c r="AA27"/>
  <c r="Z27"/>
  <c r="U27"/>
  <c r="T27"/>
  <c r="S27"/>
  <c r="R27"/>
  <c r="Q27"/>
  <c r="P27"/>
  <c r="O27"/>
  <c r="D27"/>
  <c r="AO26"/>
  <c r="AN26"/>
  <c r="Z26"/>
  <c r="U26"/>
  <c r="T26"/>
  <c r="S26"/>
  <c r="R26"/>
  <c r="Q26"/>
  <c r="P26"/>
  <c r="O26"/>
  <c r="D26"/>
  <c r="AO25"/>
  <c r="AA25" s="1"/>
  <c r="AN25"/>
  <c r="Z25"/>
  <c r="U25"/>
  <c r="T25"/>
  <c r="S25"/>
  <c r="R25"/>
  <c r="Q25"/>
  <c r="P25"/>
  <c r="O25"/>
  <c r="D25"/>
  <c r="AO24"/>
  <c r="AN24"/>
  <c r="AJ29" l="1"/>
  <c r="AK29" s="1"/>
  <c r="AL29" s="1"/>
  <c r="AA26"/>
  <c r="AI26" s="1"/>
  <c r="AA24"/>
  <c r="Z24"/>
  <c r="T24"/>
  <c r="U24" s="1"/>
  <c r="S24"/>
  <c r="R24"/>
  <c r="Q24"/>
  <c r="P24"/>
  <c r="O24"/>
  <c r="D24"/>
  <c r="AO23"/>
  <c r="AN23"/>
  <c r="AA23"/>
  <c r="Z23"/>
  <c r="T23"/>
  <c r="U23" s="1"/>
  <c r="S23"/>
  <c r="R23"/>
  <c r="Q23"/>
  <c r="P23"/>
  <c r="O23"/>
  <c r="D23"/>
  <c r="AO22"/>
  <c r="AN22"/>
  <c r="AA22"/>
  <c r="Z22"/>
  <c r="T22"/>
  <c r="U22" s="1"/>
  <c r="S22"/>
  <c r="R22"/>
  <c r="Q22"/>
  <c r="P22"/>
  <c r="O22"/>
  <c r="D22"/>
  <c r="AO21"/>
  <c r="AN21"/>
  <c r="AA21"/>
  <c r="Z21"/>
  <c r="T21"/>
  <c r="S21"/>
  <c r="U21" s="1"/>
  <c r="R21"/>
  <c r="Q21"/>
  <c r="P21"/>
  <c r="O21"/>
  <c r="D21"/>
  <c r="AO20"/>
  <c r="AN20"/>
  <c r="AA20"/>
  <c r="Z20"/>
  <c r="U20"/>
  <c r="T20"/>
  <c r="S20"/>
  <c r="R20"/>
  <c r="Q20"/>
  <c r="P20"/>
  <c r="O20"/>
  <c r="D20"/>
  <c r="AO19"/>
  <c r="AN19"/>
  <c r="AA19"/>
  <c r="Z19"/>
  <c r="U19"/>
  <c r="T19"/>
  <c r="S19"/>
  <c r="R19"/>
  <c r="Q19"/>
  <c r="P19"/>
  <c r="O19"/>
  <c r="D19"/>
  <c r="AO18"/>
  <c r="AN18"/>
  <c r="AA18"/>
  <c r="Z18"/>
  <c r="T18"/>
  <c r="S18"/>
  <c r="U18" s="1"/>
  <c r="R18"/>
  <c r="Q18"/>
  <c r="P18"/>
  <c r="O18"/>
  <c r="D18"/>
  <c r="AO17"/>
  <c r="AN17"/>
  <c r="AA17"/>
  <c r="Z17"/>
  <c r="U17"/>
  <c r="T17"/>
  <c r="S17"/>
  <c r="R17"/>
  <c r="Q17"/>
  <c r="P17"/>
  <c r="O17"/>
  <c r="D17"/>
  <c r="AO16"/>
  <c r="AN16"/>
  <c r="AA16"/>
  <c r="Z16"/>
  <c r="T16"/>
  <c r="U16" s="1"/>
  <c r="S16"/>
  <c r="R16"/>
  <c r="Q16"/>
  <c r="P16"/>
  <c r="O16"/>
  <c r="D16"/>
  <c r="AO15"/>
  <c r="AN15"/>
  <c r="AA15"/>
  <c r="Z15"/>
  <c r="T15"/>
  <c r="S15"/>
  <c r="U15" s="1"/>
  <c r="R15"/>
  <c r="Q15"/>
  <c r="P15"/>
  <c r="O15"/>
  <c r="D15"/>
  <c r="AO14"/>
  <c r="AN14"/>
  <c r="AA14"/>
  <c r="Z14"/>
  <c r="T14"/>
  <c r="U14" s="1"/>
  <c r="S14"/>
  <c r="R14"/>
  <c r="Q14"/>
  <c r="P14"/>
  <c r="O14"/>
  <c r="D14"/>
  <c r="AO13"/>
  <c r="AN13"/>
  <c r="AA13"/>
  <c r="Z13"/>
  <c r="T13"/>
  <c r="U13" s="1"/>
  <c r="S13"/>
  <c r="R13"/>
  <c r="Q13"/>
  <c r="P13"/>
  <c r="O13"/>
  <c r="D13"/>
  <c r="AO12"/>
  <c r="AN12"/>
  <c r="AI25" l="1"/>
  <c r="AJ25" s="1"/>
  <c r="AK25" s="1"/>
  <c r="AL25" s="1"/>
  <c r="AJ26"/>
  <c r="AK26" s="1"/>
  <c r="AL26" s="1"/>
  <c r="AA12"/>
  <c r="Z12"/>
  <c r="T12"/>
  <c r="S12"/>
  <c r="U12" s="1"/>
  <c r="R12"/>
  <c r="Q12"/>
  <c r="P12"/>
  <c r="O12"/>
  <c r="D12"/>
  <c r="AO11"/>
  <c r="AN11"/>
  <c r="AA11"/>
  <c r="Z11"/>
  <c r="T11"/>
  <c r="S11"/>
  <c r="U11" s="1"/>
  <c r="R11"/>
  <c r="Q11"/>
  <c r="P11"/>
  <c r="O11"/>
  <c r="D11"/>
  <c r="AO10"/>
  <c r="AN10"/>
  <c r="AA10"/>
  <c r="Z10"/>
  <c r="T10"/>
  <c r="U10" s="1"/>
  <c r="S10"/>
  <c r="R10"/>
  <c r="Q10"/>
  <c r="P10"/>
  <c r="O10"/>
  <c r="D10"/>
  <c r="AO9"/>
  <c r="AN9"/>
  <c r="AA9"/>
  <c r="Z9"/>
  <c r="T9"/>
  <c r="S9"/>
  <c r="U9" s="1"/>
  <c r="R9"/>
  <c r="Q9"/>
  <c r="P9"/>
  <c r="O9"/>
  <c r="D9"/>
  <c r="AO8"/>
  <c r="AN8"/>
  <c r="AA8"/>
  <c r="Z8"/>
  <c r="T8"/>
  <c r="U8" s="1"/>
  <c r="S8"/>
  <c r="R8"/>
  <c r="Q8"/>
  <c r="P8"/>
  <c r="O8"/>
  <c r="D8"/>
  <c r="AO7"/>
  <c r="AN7"/>
  <c r="AA7"/>
  <c r="Z7"/>
  <c r="T7"/>
  <c r="S7"/>
  <c r="U7" s="1"/>
  <c r="R7"/>
  <c r="Q7"/>
  <c r="P7"/>
  <c r="O7"/>
  <c r="D7"/>
  <c r="AO6"/>
  <c r="AN6"/>
  <c r="AA6"/>
  <c r="Z6"/>
  <c r="T6"/>
  <c r="U6" s="1"/>
  <c r="S6"/>
  <c r="R6"/>
  <c r="Q6"/>
  <c r="P6"/>
  <c r="O6"/>
  <c r="D6"/>
  <c r="AO5"/>
  <c r="AN5"/>
  <c r="AA5"/>
  <c r="Z5"/>
  <c r="T5"/>
  <c r="S5"/>
  <c r="U5" s="1"/>
  <c r="R5"/>
  <c r="Q5"/>
  <c r="P5"/>
  <c r="O5"/>
  <c r="D5"/>
  <c r="AO4"/>
  <c r="AN4"/>
  <c r="AA4"/>
  <c r="Z4"/>
  <c r="T4"/>
  <c r="U4" s="1"/>
  <c r="S4"/>
  <c r="R4"/>
  <c r="Q4"/>
  <c r="P4"/>
  <c r="O4"/>
  <c r="D4"/>
  <c r="A4"/>
  <c r="A5" s="1"/>
  <c r="AO3"/>
  <c r="AN3"/>
  <c r="AA3"/>
  <c r="Z3"/>
  <c r="T3"/>
  <c r="S3"/>
  <c r="U3" s="1"/>
  <c r="R3"/>
  <c r="Q3"/>
  <c r="P3"/>
  <c r="O3"/>
  <c r="D3"/>
  <c r="A3"/>
  <c r="AO2"/>
  <c r="AN2"/>
  <c r="AA2"/>
  <c r="Z2"/>
  <c r="A6" l="1"/>
  <c r="A7"/>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I22"/>
  <c r="AI20"/>
  <c r="AI18"/>
  <c r="AI16"/>
  <c r="AI14"/>
  <c r="AI13"/>
  <c r="AI23"/>
  <c r="AI21"/>
  <c r="AI19"/>
  <c r="AI17"/>
  <c r="AI15"/>
  <c r="U2"/>
  <c r="T2"/>
  <c r="S2"/>
  <c r="R2"/>
  <c r="Q2"/>
  <c r="P2"/>
  <c r="O2"/>
  <c r="D2"/>
  <c r="Y64" i="27"/>
  <c r="X64"/>
  <c r="W64"/>
  <c r="V64"/>
  <c r="U64"/>
  <c r="T64"/>
  <c r="S64"/>
  <c r="R64"/>
  <c r="I64"/>
  <c r="F64"/>
  <c r="A64" s="1"/>
  <c r="Y63"/>
  <c r="X63"/>
  <c r="W63"/>
  <c r="V63"/>
  <c r="U63"/>
  <c r="T63"/>
  <c r="S63"/>
  <c r="R63"/>
  <c r="I63"/>
  <c r="F63"/>
  <c r="A63" s="1"/>
  <c r="Y62"/>
  <c r="X62"/>
  <c r="W62"/>
  <c r="V62"/>
  <c r="U62"/>
  <c r="T62"/>
  <c r="S62"/>
  <c r="R62"/>
  <c r="I62"/>
  <c r="F62"/>
  <c r="A62" s="1"/>
  <c r="Y61"/>
  <c r="X61"/>
  <c r="W61"/>
  <c r="V61"/>
  <c r="U61"/>
  <c r="T61"/>
  <c r="S61"/>
  <c r="R61"/>
  <c r="I61"/>
  <c r="F61"/>
  <c r="A61" s="1"/>
  <c r="Y60"/>
  <c r="X60"/>
  <c r="W60"/>
  <c r="V60"/>
  <c r="U60"/>
  <c r="T60"/>
  <c r="S60"/>
  <c r="R60"/>
  <c r="I60"/>
  <c r="F60"/>
  <c r="A60" s="1"/>
  <c r="Y59"/>
  <c r="X59"/>
  <c r="W59"/>
  <c r="V59"/>
  <c r="U59"/>
  <c r="T59"/>
  <c r="S59"/>
  <c r="R59"/>
  <c r="I59"/>
  <c r="F59"/>
  <c r="A59" s="1"/>
  <c r="Y58"/>
  <c r="X58"/>
  <c r="W58"/>
  <c r="V58"/>
  <c r="U58"/>
  <c r="T58"/>
  <c r="S58"/>
  <c r="R58"/>
  <c r="I58"/>
  <c r="F58"/>
  <c r="A58" s="1"/>
  <c r="Y57"/>
  <c r="X57"/>
  <c r="W57"/>
  <c r="V57"/>
  <c r="U57"/>
  <c r="T57"/>
  <c r="S57"/>
  <c r="R57"/>
  <c r="I57"/>
  <c r="F57"/>
  <c r="A57" s="1"/>
  <c r="Y56"/>
  <c r="X56"/>
  <c r="W56"/>
  <c r="V56"/>
  <c r="U56"/>
  <c r="T56"/>
  <c r="S56"/>
  <c r="R56"/>
  <c r="I56"/>
  <c r="F56"/>
  <c r="A56" s="1"/>
  <c r="Y55"/>
  <c r="X55"/>
  <c r="W55"/>
  <c r="V55"/>
  <c r="U55"/>
  <c r="T55"/>
  <c r="S55"/>
  <c r="R55"/>
  <c r="I55"/>
  <c r="F55"/>
  <c r="A55" s="1"/>
  <c r="Y54"/>
  <c r="X54"/>
  <c r="W54"/>
  <c r="V54"/>
  <c r="U54"/>
  <c r="T54"/>
  <c r="S54"/>
  <c r="R54"/>
  <c r="I54"/>
  <c r="F54"/>
  <c r="A54" s="1"/>
  <c r="Y53"/>
  <c r="X53"/>
  <c r="W53"/>
  <c r="V53"/>
  <c r="U53"/>
  <c r="T53"/>
  <c r="S53"/>
  <c r="R53"/>
  <c r="I53"/>
  <c r="F53"/>
  <c r="A53" s="1"/>
  <c r="Y52"/>
  <c r="X52"/>
  <c r="W52"/>
  <c r="V52"/>
  <c r="U52"/>
  <c r="T52"/>
  <c r="S52"/>
  <c r="R52"/>
  <c r="I52"/>
  <c r="F52"/>
  <c r="A52" s="1"/>
  <c r="Y51"/>
  <c r="X51"/>
  <c r="W51"/>
  <c r="V51"/>
  <c r="U51"/>
  <c r="T51"/>
  <c r="S51"/>
  <c r="R51"/>
  <c r="I51"/>
  <c r="F51"/>
  <c r="A51" s="1"/>
  <c r="Y50"/>
  <c r="X50"/>
  <c r="W50"/>
  <c r="V50"/>
  <c r="U50"/>
  <c r="T50"/>
  <c r="S50"/>
  <c r="R50"/>
  <c r="I50"/>
  <c r="F50"/>
  <c r="A50" s="1"/>
  <c r="Y49"/>
  <c r="X49"/>
  <c r="W49"/>
  <c r="V49"/>
  <c r="U49"/>
  <c r="T49"/>
  <c r="S49"/>
  <c r="R49"/>
  <c r="Q49"/>
  <c r="I49"/>
  <c r="F49"/>
  <c r="A49" s="1"/>
  <c r="Y48"/>
  <c r="X48"/>
  <c r="W48"/>
  <c r="V48"/>
  <c r="U48"/>
  <c r="T48"/>
  <c r="S48"/>
  <c r="R48"/>
  <c r="Q48"/>
  <c r="I48"/>
  <c r="F48"/>
  <c r="A48" s="1"/>
  <c r="Y47"/>
  <c r="X47"/>
  <c r="W47"/>
  <c r="V47"/>
  <c r="U47"/>
  <c r="T47"/>
  <c r="S47"/>
  <c r="R47"/>
  <c r="Q47"/>
  <c r="I47"/>
  <c r="F47"/>
  <c r="A47" s="1"/>
  <c r="Y46"/>
  <c r="X46"/>
  <c r="W46"/>
  <c r="V46"/>
  <c r="U46"/>
  <c r="T46"/>
  <c r="S46"/>
  <c r="R46"/>
  <c r="Q46"/>
  <c r="I46"/>
  <c r="F46"/>
  <c r="A46" s="1"/>
  <c r="Y45"/>
  <c r="X45"/>
  <c r="W45"/>
  <c r="V45"/>
  <c r="U45"/>
  <c r="T45"/>
  <c r="S45"/>
  <c r="R45"/>
  <c r="Q45"/>
  <c r="I45"/>
  <c r="F45"/>
  <c r="A45" s="1"/>
  <c r="Y44"/>
  <c r="X44"/>
  <c r="W44"/>
  <c r="V44"/>
  <c r="U44"/>
  <c r="T44"/>
  <c r="S44"/>
  <c r="R44"/>
  <c r="Q44"/>
  <c r="I44"/>
  <c r="F44"/>
  <c r="A44" s="1"/>
  <c r="Y43"/>
  <c r="X43"/>
  <c r="W43"/>
  <c r="V43"/>
  <c r="U43"/>
  <c r="T43"/>
  <c r="S43"/>
  <c r="R43"/>
  <c r="Q43"/>
  <c r="I43"/>
  <c r="F43"/>
  <c r="A43" s="1"/>
  <c r="Y42"/>
  <c r="X42"/>
  <c r="W42"/>
  <c r="V42"/>
  <c r="U42"/>
  <c r="T42"/>
  <c r="S42"/>
  <c r="R42"/>
  <c r="Q42"/>
  <c r="I42"/>
  <c r="F42"/>
  <c r="A42" s="1"/>
  <c r="Y41"/>
  <c r="X41"/>
  <c r="W41"/>
  <c r="V41"/>
  <c r="U41"/>
  <c r="T41"/>
  <c r="S41"/>
  <c r="R41"/>
  <c r="Q41"/>
  <c r="I41"/>
  <c r="F41"/>
  <c r="A41" s="1"/>
  <c r="Y40"/>
  <c r="X40"/>
  <c r="W40"/>
  <c r="V40"/>
  <c r="U40"/>
  <c r="T40"/>
  <c r="S40"/>
  <c r="R40"/>
  <c r="Q40"/>
  <c r="I40"/>
  <c r="F40"/>
  <c r="A40" s="1"/>
  <c r="Y39"/>
  <c r="X39"/>
  <c r="W39"/>
  <c r="V39"/>
  <c r="U39"/>
  <c r="T39"/>
  <c r="S39"/>
  <c r="R39"/>
  <c r="Q39"/>
  <c r="I39"/>
  <c r="F39"/>
  <c r="A39" s="1"/>
  <c r="Y38"/>
  <c r="X38"/>
  <c r="W38"/>
  <c r="V38"/>
  <c r="U38"/>
  <c r="T38"/>
  <c r="S38"/>
  <c r="R38"/>
  <c r="Q38"/>
  <c r="F38"/>
  <c r="A38" s="1"/>
  <c r="Y37"/>
  <c r="X37"/>
  <c r="W37"/>
  <c r="V37"/>
  <c r="U37"/>
  <c r="T37"/>
  <c r="S37"/>
  <c r="R37"/>
  <c r="Q37"/>
  <c r="I37"/>
  <c r="F37"/>
  <c r="A37" s="1"/>
  <c r="Y36"/>
  <c r="X36"/>
  <c r="W36"/>
  <c r="V36"/>
  <c r="U36"/>
  <c r="T36"/>
  <c r="S36"/>
  <c r="R36"/>
  <c r="Q36"/>
  <c r="I36"/>
  <c r="F36"/>
  <c r="A36" s="1"/>
  <c r="Y35"/>
  <c r="X35"/>
  <c r="W35"/>
  <c r="V35"/>
  <c r="U35"/>
  <c r="T35"/>
  <c r="S35"/>
  <c r="R35"/>
  <c r="Q35"/>
  <c r="I35"/>
  <c r="F35"/>
  <c r="A35" s="1"/>
  <c r="Y34"/>
  <c r="X34"/>
  <c r="W34"/>
  <c r="V34"/>
  <c r="U34"/>
  <c r="T34"/>
  <c r="S34"/>
  <c r="R34"/>
  <c r="Q34"/>
  <c r="I34"/>
  <c r="F34"/>
  <c r="A34" s="1"/>
  <c r="Y33"/>
  <c r="X33"/>
  <c r="W33"/>
  <c r="V33"/>
  <c r="U33"/>
  <c r="T33"/>
  <c r="S33"/>
  <c r="R33"/>
  <c r="Q33"/>
  <c r="I33"/>
  <c r="F33"/>
  <c r="A33" s="1"/>
  <c r="Y32"/>
  <c r="X32"/>
  <c r="W32"/>
  <c r="V32"/>
  <c r="U32"/>
  <c r="T32"/>
  <c r="S32"/>
  <c r="R32"/>
  <c r="Q32"/>
  <c r="I32"/>
  <c r="F32"/>
  <c r="A32" s="1"/>
  <c r="Y31"/>
  <c r="X31"/>
  <c r="W31"/>
  <c r="V31"/>
  <c r="U31"/>
  <c r="T31"/>
  <c r="S31"/>
  <c r="R31"/>
  <c r="Q31"/>
  <c r="I31"/>
  <c r="F31"/>
  <c r="A31" s="1"/>
  <c r="Y30"/>
  <c r="X30"/>
  <c r="W30"/>
  <c r="V30"/>
  <c r="U30"/>
  <c r="T30"/>
  <c r="S30"/>
  <c r="R30"/>
  <c r="Q30"/>
  <c r="I30"/>
  <c r="F30"/>
  <c r="A30" s="1"/>
  <c r="Y29"/>
  <c r="X29"/>
  <c r="W29"/>
  <c r="V29"/>
  <c r="U29"/>
  <c r="T29"/>
  <c r="S29"/>
  <c r="R29"/>
  <c r="Q29"/>
  <c r="I29"/>
  <c r="F29"/>
  <c r="A29" s="1"/>
  <c r="Y28"/>
  <c r="X28"/>
  <c r="W28"/>
  <c r="V28"/>
  <c r="U28"/>
  <c r="T28"/>
  <c r="S28"/>
  <c r="R28"/>
  <c r="Q28"/>
  <c r="I28"/>
  <c r="F28"/>
  <c r="A28" s="1"/>
  <c r="Y27"/>
  <c r="X27"/>
  <c r="W27"/>
  <c r="V27"/>
  <c r="U27"/>
  <c r="T27"/>
  <c r="S27"/>
  <c r="R27"/>
  <c r="Q27"/>
  <c r="I27"/>
  <c r="F27"/>
  <c r="A27" s="1"/>
  <c r="Y26"/>
  <c r="X26"/>
  <c r="W26"/>
  <c r="V26"/>
  <c r="U26"/>
  <c r="T26"/>
  <c r="S26"/>
  <c r="R26"/>
  <c r="Q26"/>
  <c r="I26"/>
  <c r="F26"/>
  <c r="A26" s="1"/>
  <c r="Y25"/>
  <c r="X25"/>
  <c r="W25"/>
  <c r="V25"/>
  <c r="U25"/>
  <c r="T25"/>
  <c r="S25"/>
  <c r="R25"/>
  <c r="Q25"/>
  <c r="I25"/>
  <c r="F25"/>
  <c r="A25" s="1"/>
  <c r="Y24"/>
  <c r="X24"/>
  <c r="W24"/>
  <c r="V24"/>
  <c r="U24"/>
  <c r="T24"/>
  <c r="S24"/>
  <c r="R24"/>
  <c r="Q24"/>
  <c r="I24"/>
  <c r="F24"/>
  <c r="A24" s="1"/>
  <c r="Y23"/>
  <c r="X23"/>
  <c r="W23"/>
  <c r="V23"/>
  <c r="U23"/>
  <c r="T23"/>
  <c r="S23"/>
  <c r="R23"/>
  <c r="Q23"/>
  <c r="I23"/>
  <c r="F23"/>
  <c r="A23" s="1"/>
  <c r="Y22"/>
  <c r="X22"/>
  <c r="W22"/>
  <c r="V22"/>
  <c r="U22"/>
  <c r="T22"/>
  <c r="S22"/>
  <c r="R22"/>
  <c r="Q22"/>
  <c r="I22"/>
  <c r="F22"/>
  <c r="A22" s="1"/>
  <c r="Y21"/>
  <c r="X21"/>
  <c r="W21"/>
  <c r="V21"/>
  <c r="U21"/>
  <c r="T21"/>
  <c r="S21"/>
  <c r="R21"/>
  <c r="Q21"/>
  <c r="I21"/>
  <c r="F21"/>
  <c r="A21" s="1"/>
  <c r="Y20"/>
  <c r="X20"/>
  <c r="W20"/>
  <c r="V20"/>
  <c r="U20"/>
  <c r="T20"/>
  <c r="S20"/>
  <c r="R20"/>
  <c r="Q20"/>
  <c r="I20"/>
  <c r="F20"/>
  <c r="A20" s="1"/>
  <c r="Y19"/>
  <c r="X19"/>
  <c r="W19"/>
  <c r="V19"/>
  <c r="U19"/>
  <c r="T19"/>
  <c r="S19"/>
  <c r="R19"/>
  <c r="Q19"/>
  <c r="I19"/>
  <c r="F19"/>
  <c r="A19" s="1"/>
  <c r="Y18"/>
  <c r="X18"/>
  <c r="W18"/>
  <c r="V18"/>
  <c r="U18"/>
  <c r="T18"/>
  <c r="S18"/>
  <c r="R18"/>
  <c r="Q18"/>
  <c r="I18"/>
  <c r="F18"/>
  <c r="A18" s="1"/>
  <c r="Y17"/>
  <c r="X17"/>
  <c r="W17"/>
  <c r="V17"/>
  <c r="U17"/>
  <c r="T17"/>
  <c r="S17"/>
  <c r="R17"/>
  <c r="Q17"/>
  <c r="I17"/>
  <c r="F17"/>
  <c r="A17" s="1"/>
  <c r="Y16"/>
  <c r="X16"/>
  <c r="W16"/>
  <c r="V16"/>
  <c r="U16"/>
  <c r="T16"/>
  <c r="S16"/>
  <c r="R16"/>
  <c r="Q16"/>
  <c r="I16"/>
  <c r="F16"/>
  <c r="A16" s="1"/>
  <c r="Y15"/>
  <c r="X15"/>
  <c r="W15"/>
  <c r="V15"/>
  <c r="U15"/>
  <c r="T15"/>
  <c r="S15"/>
  <c r="R15"/>
  <c r="Q15"/>
  <c r="I15"/>
  <c r="F15"/>
  <c r="A15" s="1"/>
  <c r="BU14"/>
  <c r="BQ14"/>
  <c r="BP14"/>
  <c r="BL14"/>
  <c r="BG14" s="1"/>
  <c r="Y14"/>
  <c r="X14"/>
  <c r="W14"/>
  <c r="V14"/>
  <c r="U14"/>
  <c r="T14"/>
  <c r="S14"/>
  <c r="R14"/>
  <c r="Q14"/>
  <c r="I14"/>
  <c r="F14"/>
  <c r="A14" s="1"/>
  <c r="BU13"/>
  <c r="BQ13"/>
  <c r="BP13"/>
  <c r="BL13"/>
  <c r="BG13" s="1"/>
  <c r="Y13"/>
  <c r="X13"/>
  <c r="W13"/>
  <c r="V13"/>
  <c r="U13"/>
  <c r="T13"/>
  <c r="S13"/>
  <c r="R13"/>
  <c r="Q13"/>
  <c r="I13"/>
  <c r="F13"/>
  <c r="A13" s="1"/>
  <c r="BU12"/>
  <c r="BQ12"/>
  <c r="BP12"/>
  <c r="BL12"/>
  <c r="BG12" s="1"/>
  <c r="Y12"/>
  <c r="X12"/>
  <c r="W12"/>
  <c r="V12"/>
  <c r="U12"/>
  <c r="T12"/>
  <c r="S12"/>
  <c r="R12"/>
  <c r="Q12"/>
  <c r="I12"/>
  <c r="F12"/>
  <c r="A12" s="1"/>
  <c r="BU11"/>
  <c r="BQ11"/>
  <c r="BP11"/>
  <c r="BL11"/>
  <c r="BG11" s="1"/>
  <c r="Y11"/>
  <c r="X11"/>
  <c r="W11"/>
  <c r="V11"/>
  <c r="U11"/>
  <c r="T11"/>
  <c r="S11"/>
  <c r="R11"/>
  <c r="Q11"/>
  <c r="I11"/>
  <c r="F11"/>
  <c r="A11" s="1"/>
  <c r="BU10"/>
  <c r="BQ10"/>
  <c r="BP10"/>
  <c r="BL10"/>
  <c r="BG10" s="1"/>
  <c r="Y10"/>
  <c r="X10"/>
  <c r="W10"/>
  <c r="V10"/>
  <c r="U10"/>
  <c r="T10"/>
  <c r="S10"/>
  <c r="R10"/>
  <c r="Q10"/>
  <c r="I10"/>
  <c r="F10"/>
  <c r="A10" s="1"/>
  <c r="BU9"/>
  <c r="BQ9"/>
  <c r="BP9"/>
  <c r="BL9"/>
  <c r="BG9" s="1"/>
  <c r="Y9"/>
  <c r="X9"/>
  <c r="W9"/>
  <c r="V9"/>
  <c r="U9"/>
  <c r="T9"/>
  <c r="S9"/>
  <c r="R9"/>
  <c r="Q9"/>
  <c r="I9"/>
  <c r="F9"/>
  <c r="A9" s="1"/>
  <c r="BU8"/>
  <c r="BQ8"/>
  <c r="BP8"/>
  <c r="BL8"/>
  <c r="BG8" s="1"/>
  <c r="Y8"/>
  <c r="X8"/>
  <c r="W8"/>
  <c r="V8"/>
  <c r="U8"/>
  <c r="T8"/>
  <c r="S8"/>
  <c r="R8"/>
  <c r="Q8"/>
  <c r="I8"/>
  <c r="F8"/>
  <c r="A8" s="1"/>
  <c r="BU7"/>
  <c r="BQ7"/>
  <c r="BP7"/>
  <c r="BL7"/>
  <c r="BG7" s="1"/>
  <c r="Y7"/>
  <c r="X7"/>
  <c r="W7"/>
  <c r="V7"/>
  <c r="U7"/>
  <c r="T7"/>
  <c r="S7"/>
  <c r="R7"/>
  <c r="Q7"/>
  <c r="I7"/>
  <c r="F7"/>
  <c r="A7" s="1"/>
  <c r="BU6"/>
  <c r="BQ6"/>
  <c r="BP6"/>
  <c r="BL6"/>
  <c r="BG6" s="1"/>
  <c r="Y6"/>
  <c r="X6"/>
  <c r="W6"/>
  <c r="V6"/>
  <c r="U6"/>
  <c r="T6"/>
  <c r="S6"/>
  <c r="R6"/>
  <c r="Q6"/>
  <c r="I6"/>
  <c r="F6"/>
  <c r="A6" s="1"/>
  <c r="BU5"/>
  <c r="BQ5"/>
  <c r="BP5"/>
  <c r="BL5"/>
  <c r="BG5" s="1"/>
  <c r="Y5"/>
  <c r="X5"/>
  <c r="W5"/>
  <c r="V5"/>
  <c r="U5"/>
  <c r="T5"/>
  <c r="S5"/>
  <c r="R5"/>
  <c r="Q5"/>
  <c r="I5"/>
  <c r="F5"/>
  <c r="A5" s="1"/>
  <c r="BU4"/>
  <c r="BQ4"/>
  <c r="BP4"/>
  <c r="BL4"/>
  <c r="BG4" s="1"/>
  <c r="Y4"/>
  <c r="X4"/>
  <c r="W4"/>
  <c r="V4"/>
  <c r="U4"/>
  <c r="T4"/>
  <c r="S4"/>
  <c r="R4"/>
  <c r="Q4"/>
  <c r="I4"/>
  <c r="F4"/>
  <c r="A4" s="1"/>
  <c r="BU3"/>
  <c r="BQ3"/>
  <c r="BP3"/>
  <c r="BL3"/>
  <c r="BG3"/>
  <c r="Y3"/>
  <c r="X3"/>
  <c r="W3"/>
  <c r="V3"/>
  <c r="U3"/>
  <c r="T3"/>
  <c r="S3"/>
  <c r="R3"/>
  <c r="Q3"/>
  <c r="I3"/>
  <c r="F3"/>
  <c r="A3"/>
  <c r="BU2"/>
  <c r="BQ2"/>
  <c r="BP2"/>
  <c r="BL2"/>
  <c r="Y2"/>
  <c r="X2"/>
  <c r="W2"/>
  <c r="V2"/>
  <c r="U2"/>
  <c r="T2"/>
  <c r="S2"/>
  <c r="R2"/>
  <c r="Q2"/>
  <c r="I2"/>
  <c r="F2"/>
  <c r="BI499" i="28"/>
  <c r="AW499"/>
  <c r="AV499"/>
  <c r="AU499"/>
  <c r="AR499"/>
  <c r="AK499"/>
  <c r="AI499"/>
  <c r="AH499"/>
  <c r="AC499"/>
  <c r="AB499"/>
  <c r="AE499" s="1"/>
  <c r="Z499"/>
  <c r="Y499"/>
  <c r="V499"/>
  <c r="X499" s="1"/>
  <c r="E499"/>
  <c r="BP499" s="1"/>
  <c r="BI498"/>
  <c r="AW498"/>
  <c r="AV498"/>
  <c r="AU498"/>
  <c r="AR498"/>
  <c r="AK498"/>
  <c r="AI498"/>
  <c r="AH498"/>
  <c r="AC498"/>
  <c r="AB498"/>
  <c r="Z498"/>
  <c r="BO498" s="1"/>
  <c r="Y498"/>
  <c r="V498"/>
  <c r="X498" s="1"/>
  <c r="E498"/>
  <c r="BP498" s="1"/>
  <c r="BI497"/>
  <c r="AW497"/>
  <c r="AV497"/>
  <c r="AU497"/>
  <c r="AR497"/>
  <c r="AK497"/>
  <c r="AI497"/>
  <c r="AH497"/>
  <c r="AC497"/>
  <c r="AB497"/>
  <c r="Z497"/>
  <c r="Y497"/>
  <c r="V497"/>
  <c r="AJ497" s="1"/>
  <c r="E497"/>
  <c r="BP497" s="1"/>
  <c r="BI496"/>
  <c r="AW496"/>
  <c r="AV496"/>
  <c r="AU496"/>
  <c r="AR496"/>
  <c r="AK496"/>
  <c r="AI496"/>
  <c r="AH496"/>
  <c r="AC496"/>
  <c r="AB496"/>
  <c r="AA496"/>
  <c r="Z496"/>
  <c r="BO496" s="1"/>
  <c r="Y496"/>
  <c r="X496" s="1"/>
  <c r="W496" s="1"/>
  <c r="AF496" s="1"/>
  <c r="V496"/>
  <c r="E496"/>
  <c r="BP496" s="1"/>
  <c r="BI495"/>
  <c r="AW495"/>
  <c r="AV495"/>
  <c r="AU495"/>
  <c r="AR495"/>
  <c r="AK495"/>
  <c r="AI495"/>
  <c r="AH495"/>
  <c r="AC495"/>
  <c r="AB495"/>
  <c r="AE495" s="1"/>
  <c r="Z495"/>
  <c r="Y495"/>
  <c r="V495"/>
  <c r="W495" s="1"/>
  <c r="E495"/>
  <c r="BP495" s="1"/>
  <c r="BI494"/>
  <c r="AW494"/>
  <c r="AV494"/>
  <c r="AU494"/>
  <c r="AR494"/>
  <c r="AK494"/>
  <c r="AI494"/>
  <c r="AH494"/>
  <c r="AC494"/>
  <c r="AB494"/>
  <c r="AE494" s="1"/>
  <c r="Z494"/>
  <c r="Y494"/>
  <c r="V494"/>
  <c r="E494"/>
  <c r="BP494" s="1"/>
  <c r="BI493"/>
  <c r="AW493"/>
  <c r="AV493"/>
  <c r="AU493"/>
  <c r="AR493"/>
  <c r="AK493"/>
  <c r="AI493"/>
  <c r="AH493"/>
  <c r="AC493"/>
  <c r="AB493"/>
  <c r="Z493"/>
  <c r="Y493"/>
  <c r="V493"/>
  <c r="AJ493" s="1"/>
  <c r="E493"/>
  <c r="BP493" s="1"/>
  <c r="BI492"/>
  <c r="AW492"/>
  <c r="AV492"/>
  <c r="AU492"/>
  <c r="AR492"/>
  <c r="AK492"/>
  <c r="AI492"/>
  <c r="AH492"/>
  <c r="AC492"/>
  <c r="AB492"/>
  <c r="Z492"/>
  <c r="Y492"/>
  <c r="V492"/>
  <c r="AJ492" s="1"/>
  <c r="E492"/>
  <c r="BP492" s="1"/>
  <c r="BI491"/>
  <c r="AW491"/>
  <c r="AV491"/>
  <c r="AU491"/>
  <c r="AR491"/>
  <c r="AK491"/>
  <c r="AI491"/>
  <c r="AH491"/>
  <c r="AC491"/>
  <c r="AB491"/>
  <c r="Z491"/>
  <c r="Y491"/>
  <c r="V491"/>
  <c r="AJ491" s="1"/>
  <c r="E491"/>
  <c r="BP491" s="1"/>
  <c r="BI490"/>
  <c r="AW490"/>
  <c r="AV490"/>
  <c r="AU490"/>
  <c r="AR490"/>
  <c r="AK490"/>
  <c r="AI490"/>
  <c r="AH490"/>
  <c r="AC490"/>
  <c r="AB490"/>
  <c r="Z490"/>
  <c r="Y490"/>
  <c r="V490"/>
  <c r="X490" s="1"/>
  <c r="E490"/>
  <c r="BP490" s="1"/>
  <c r="BI489"/>
  <c r="AW489"/>
  <c r="AV489"/>
  <c r="AU489"/>
  <c r="AR489"/>
  <c r="AK489"/>
  <c r="AI489"/>
  <c r="AH489"/>
  <c r="AC489"/>
  <c r="AB489"/>
  <c r="Z489"/>
  <c r="Y489"/>
  <c r="V489"/>
  <c r="AJ489" s="1"/>
  <c r="E489"/>
  <c r="BP489" s="1"/>
  <c r="BI488"/>
  <c r="AW488"/>
  <c r="AV488"/>
  <c r="AU488"/>
  <c r="AR488"/>
  <c r="AK488"/>
  <c r="AI488"/>
  <c r="AH488"/>
  <c r="AC488"/>
  <c r="AB488"/>
  <c r="Z488"/>
  <c r="Y488"/>
  <c r="V488"/>
  <c r="W488" s="1"/>
  <c r="AF488" s="1"/>
  <c r="E488"/>
  <c r="BP488" s="1"/>
  <c r="BI487"/>
  <c r="AW487"/>
  <c r="AV487"/>
  <c r="AU487"/>
  <c r="AR487"/>
  <c r="AK487"/>
  <c r="AI487"/>
  <c r="AH487"/>
  <c r="AC487"/>
  <c r="AB487"/>
  <c r="Z487"/>
  <c r="Y487"/>
  <c r="V487"/>
  <c r="W487" s="1"/>
  <c r="E487"/>
  <c r="BP487" s="1"/>
  <c r="BI486"/>
  <c r="AW486"/>
  <c r="AV486"/>
  <c r="AU486"/>
  <c r="AR486"/>
  <c r="AK486"/>
  <c r="AI486"/>
  <c r="AH486"/>
  <c r="AC486"/>
  <c r="AB486"/>
  <c r="Z486"/>
  <c r="Y486"/>
  <c r="V486"/>
  <c r="W486" s="1"/>
  <c r="AF486" s="1"/>
  <c r="E486"/>
  <c r="BP486" s="1"/>
  <c r="BI485"/>
  <c r="AW485"/>
  <c r="AV485"/>
  <c r="AU485"/>
  <c r="AR485"/>
  <c r="AK485"/>
  <c r="AI485"/>
  <c r="AH485"/>
  <c r="AC485"/>
  <c r="AB485"/>
  <c r="Z485"/>
  <c r="Y485"/>
  <c r="V485"/>
  <c r="AJ485" s="1"/>
  <c r="E485"/>
  <c r="BP485" s="1"/>
  <c r="BI484"/>
  <c r="AW484"/>
  <c r="AV484"/>
  <c r="AU484"/>
  <c r="AR484"/>
  <c r="AK484"/>
  <c r="AI484"/>
  <c r="AH484"/>
  <c r="AC484"/>
  <c r="AB484"/>
  <c r="Z484"/>
  <c r="Y484"/>
  <c r="V484"/>
  <c r="X484" s="1"/>
  <c r="W484" s="1"/>
  <c r="E484"/>
  <c r="BP484" s="1"/>
  <c r="BI483"/>
  <c r="AW483"/>
  <c r="AV483"/>
  <c r="AU483"/>
  <c r="AR483"/>
  <c r="AK483"/>
  <c r="AI483"/>
  <c r="AH483"/>
  <c r="AC483"/>
  <c r="AB483"/>
  <c r="Z483"/>
  <c r="Y483"/>
  <c r="V483"/>
  <c r="AJ483" s="1"/>
  <c r="E483"/>
  <c r="BP483" s="1"/>
  <c r="BI482"/>
  <c r="AW482"/>
  <c r="AV482"/>
  <c r="AU482"/>
  <c r="AR482"/>
  <c r="AK482"/>
  <c r="AI482"/>
  <c r="AH482"/>
  <c r="AC482"/>
  <c r="AB482"/>
  <c r="Z482"/>
  <c r="Y482"/>
  <c r="V482"/>
  <c r="AJ482" s="1"/>
  <c r="E482"/>
  <c r="BP482" s="1"/>
  <c r="BI481"/>
  <c r="AW481"/>
  <c r="AV481"/>
  <c r="AU481"/>
  <c r="AR481"/>
  <c r="AK481"/>
  <c r="AI481"/>
  <c r="AH481"/>
  <c r="AC481"/>
  <c r="AB481"/>
  <c r="Z481"/>
  <c r="Y481"/>
  <c r="V481"/>
  <c r="X481" s="1"/>
  <c r="E481"/>
  <c r="BP481" s="1"/>
  <c r="BI480"/>
  <c r="AW480"/>
  <c r="AV480"/>
  <c r="AU480"/>
  <c r="AR480"/>
  <c r="AK480"/>
  <c r="AI480"/>
  <c r="AH480"/>
  <c r="AC480"/>
  <c r="AB480"/>
  <c r="Z480"/>
  <c r="Y480"/>
  <c r="V480"/>
  <c r="E480"/>
  <c r="BP480" s="1"/>
  <c r="BI479"/>
  <c r="AW479"/>
  <c r="AV479"/>
  <c r="AU479"/>
  <c r="AR479"/>
  <c r="AK479"/>
  <c r="AI479"/>
  <c r="AH479"/>
  <c r="AC479"/>
  <c r="AB479"/>
  <c r="Z479"/>
  <c r="Y479"/>
  <c r="V479"/>
  <c r="AJ479" s="1"/>
  <c r="E479"/>
  <c r="BP479" s="1"/>
  <c r="BI478"/>
  <c r="AW478"/>
  <c r="AV478"/>
  <c r="AU478"/>
  <c r="AR478"/>
  <c r="AK478"/>
  <c r="AI478"/>
  <c r="AH478"/>
  <c r="AC478"/>
  <c r="AB478"/>
  <c r="Z478"/>
  <c r="Y478"/>
  <c r="V478"/>
  <c r="AJ478" s="1"/>
  <c r="E478"/>
  <c r="BP478" s="1"/>
  <c r="BI477"/>
  <c r="AW477"/>
  <c r="AV477"/>
  <c r="AU477"/>
  <c r="AR477"/>
  <c r="AK477"/>
  <c r="AI477"/>
  <c r="AH477"/>
  <c r="AC477"/>
  <c r="AB477"/>
  <c r="Z477"/>
  <c r="Y477"/>
  <c r="V477"/>
  <c r="AJ477" s="1"/>
  <c r="E477"/>
  <c r="BP477" s="1"/>
  <c r="BI476"/>
  <c r="AW476"/>
  <c r="AV476"/>
  <c r="AU476"/>
  <c r="AR476"/>
  <c r="AK476"/>
  <c r="AI476"/>
  <c r="AH476"/>
  <c r="AC476"/>
  <c r="AB476"/>
  <c r="Z476"/>
  <c r="Y476"/>
  <c r="V476"/>
  <c r="X476" s="1"/>
  <c r="E476"/>
  <c r="BP476" s="1"/>
  <c r="BI475"/>
  <c r="AW475"/>
  <c r="AV475"/>
  <c r="AU475"/>
  <c r="AR475"/>
  <c r="AK475"/>
  <c r="AI475"/>
  <c r="AH475"/>
  <c r="AC475"/>
  <c r="AB475"/>
  <c r="Z475"/>
  <c r="Y475"/>
  <c r="V475"/>
  <c r="E475"/>
  <c r="BP475" s="1"/>
  <c r="BI474"/>
  <c r="AW474"/>
  <c r="AV474"/>
  <c r="AU474"/>
  <c r="AR474"/>
  <c r="AK474"/>
  <c r="AI474"/>
  <c r="AH474"/>
  <c r="AC474"/>
  <c r="AB474"/>
  <c r="Z474"/>
  <c r="Y474"/>
  <c r="V474"/>
  <c r="W474" s="1"/>
  <c r="E474"/>
  <c r="BP474" s="1"/>
  <c r="BI473"/>
  <c r="AW473"/>
  <c r="AV473"/>
  <c r="AU473"/>
  <c r="AR473"/>
  <c r="AK473"/>
  <c r="AI473"/>
  <c r="AH473"/>
  <c r="AC473"/>
  <c r="AB473"/>
  <c r="Z473"/>
  <c r="Y473"/>
  <c r="V473"/>
  <c r="AJ473" s="1"/>
  <c r="E473"/>
  <c r="BP473" s="1"/>
  <c r="BI472"/>
  <c r="AW472"/>
  <c r="AV472"/>
  <c r="AU472"/>
  <c r="AR472"/>
  <c r="AK472"/>
  <c r="AI472"/>
  <c r="AH472"/>
  <c r="AC472"/>
  <c r="AB472"/>
  <c r="Z472"/>
  <c r="Y472"/>
  <c r="V472"/>
  <c r="AJ472" s="1"/>
  <c r="E472"/>
  <c r="BP472" s="1"/>
  <c r="BI471"/>
  <c r="AW471"/>
  <c r="AV471"/>
  <c r="AU471"/>
  <c r="AR471"/>
  <c r="AK471"/>
  <c r="AI471"/>
  <c r="AH471"/>
  <c r="AC471"/>
  <c r="AB471"/>
  <c r="Z471"/>
  <c r="Y471"/>
  <c r="V471"/>
  <c r="AJ471" s="1"/>
  <c r="E471"/>
  <c r="BP471" s="1"/>
  <c r="BI470"/>
  <c r="AW470"/>
  <c r="AV470"/>
  <c r="AU470"/>
  <c r="AR470"/>
  <c r="AK470"/>
  <c r="AI470"/>
  <c r="AH470"/>
  <c r="AC470"/>
  <c r="AB470"/>
  <c r="Z470"/>
  <c r="Y470"/>
  <c r="V470"/>
  <c r="AJ470" s="1"/>
  <c r="E470"/>
  <c r="BP470" s="1"/>
  <c r="BI469"/>
  <c r="AW469"/>
  <c r="AV469"/>
  <c r="AU469"/>
  <c r="AR469"/>
  <c r="AK469"/>
  <c r="AI469"/>
  <c r="AH469"/>
  <c r="AC469"/>
  <c r="AB469"/>
  <c r="Z469"/>
  <c r="Y469"/>
  <c r="V469"/>
  <c r="X469" s="1"/>
  <c r="E469"/>
  <c r="BP469" s="1"/>
  <c r="BI468"/>
  <c r="AW468"/>
  <c r="AV468"/>
  <c r="AU468"/>
  <c r="AR468"/>
  <c r="AK468"/>
  <c r="AI468"/>
  <c r="AH468"/>
  <c r="AC468"/>
  <c r="AB468"/>
  <c r="Z468"/>
  <c r="Y468"/>
  <c r="V468"/>
  <c r="W468" s="1"/>
  <c r="E468"/>
  <c r="BP468" s="1"/>
  <c r="BI467"/>
  <c r="AW467"/>
  <c r="AV467"/>
  <c r="AU467"/>
  <c r="AR467"/>
  <c r="AK467"/>
  <c r="AI467"/>
  <c r="AH467"/>
  <c r="AC467"/>
  <c r="AB467"/>
  <c r="Z467"/>
  <c r="Y467"/>
  <c r="V467"/>
  <c r="AJ467" s="1"/>
  <c r="E467"/>
  <c r="BP467" s="1"/>
  <c r="BI466"/>
  <c r="AW466"/>
  <c r="AV466"/>
  <c r="AU466"/>
  <c r="AR466"/>
  <c r="AK466"/>
  <c r="AI466"/>
  <c r="AH466"/>
  <c r="AC466"/>
  <c r="AB466"/>
  <c r="Z466"/>
  <c r="Y466"/>
  <c r="V466"/>
  <c r="AJ466" s="1"/>
  <c r="E466"/>
  <c r="BP466" s="1"/>
  <c r="BI465"/>
  <c r="AW465"/>
  <c r="AV465"/>
  <c r="AU465"/>
  <c r="AR465"/>
  <c r="AK465"/>
  <c r="AI465"/>
  <c r="AH465"/>
  <c r="AC465"/>
  <c r="AB465"/>
  <c r="Z465"/>
  <c r="Y465"/>
  <c r="V465"/>
  <c r="AJ465" s="1"/>
  <c r="E465"/>
  <c r="BP465" s="1"/>
  <c r="BI464"/>
  <c r="AW464"/>
  <c r="AV464"/>
  <c r="AU464"/>
  <c r="AR464"/>
  <c r="AK464"/>
  <c r="AI464"/>
  <c r="AH464"/>
  <c r="AC464"/>
  <c r="AB464"/>
  <c r="Z464"/>
  <c r="Y464"/>
  <c r="V464"/>
  <c r="AJ464" s="1"/>
  <c r="E464"/>
  <c r="BP464" s="1"/>
  <c r="BI463"/>
  <c r="AW463"/>
  <c r="AV463"/>
  <c r="AU463"/>
  <c r="AR463"/>
  <c r="AK463"/>
  <c r="AI463"/>
  <c r="AH463"/>
  <c r="AC463"/>
  <c r="AB463"/>
  <c r="Z463"/>
  <c r="Y463"/>
  <c r="V463"/>
  <c r="X463" s="1"/>
  <c r="W463" s="1"/>
  <c r="E463"/>
  <c r="BP463" s="1"/>
  <c r="BI462"/>
  <c r="AW462"/>
  <c r="AV462"/>
  <c r="AU462"/>
  <c r="AR462"/>
  <c r="AK462"/>
  <c r="AI462"/>
  <c r="AH462"/>
  <c r="AC462"/>
  <c r="AB462"/>
  <c r="Z462"/>
  <c r="Y462"/>
  <c r="V462"/>
  <c r="AJ462" s="1"/>
  <c r="E462"/>
  <c r="BP462" s="1"/>
  <c r="BI461"/>
  <c r="AW461"/>
  <c r="AV461"/>
  <c r="AU461"/>
  <c r="AR461"/>
  <c r="AK461"/>
  <c r="AI461"/>
  <c r="AH461"/>
  <c r="AC461"/>
  <c r="AB461"/>
  <c r="Z461"/>
  <c r="Y461"/>
  <c r="V461"/>
  <c r="W461" s="1"/>
  <c r="E461"/>
  <c r="BP461" s="1"/>
  <c r="BI460"/>
  <c r="AW460"/>
  <c r="AV460"/>
  <c r="AU460"/>
  <c r="AR460"/>
  <c r="AK460"/>
  <c r="AI460"/>
  <c r="AH460"/>
  <c r="AC460"/>
  <c r="AB460"/>
  <c r="Z460"/>
  <c r="Y460"/>
  <c r="V460"/>
  <c r="AJ460" s="1"/>
  <c r="E460"/>
  <c r="BP460" s="1"/>
  <c r="BI459"/>
  <c r="AW459"/>
  <c r="AV459"/>
  <c r="AU459"/>
  <c r="AR459"/>
  <c r="AK459"/>
  <c r="AI459"/>
  <c r="AH459"/>
  <c r="AC459"/>
  <c r="AB459"/>
  <c r="Z459"/>
  <c r="Y459"/>
  <c r="V459"/>
  <c r="X459" s="1"/>
  <c r="W459" s="1"/>
  <c r="E459"/>
  <c r="BP459" s="1"/>
  <c r="BI458"/>
  <c r="AW458"/>
  <c r="AV458"/>
  <c r="AU458"/>
  <c r="AR458"/>
  <c r="AK458"/>
  <c r="AI458"/>
  <c r="AH458"/>
  <c r="AC458"/>
  <c r="AB458"/>
  <c r="Z458"/>
  <c r="Y458"/>
  <c r="V458"/>
  <c r="X458" s="1"/>
  <c r="W458" s="1"/>
  <c r="E458"/>
  <c r="BP458" s="1"/>
  <c r="BI457"/>
  <c r="AW457"/>
  <c r="AV457"/>
  <c r="AU457"/>
  <c r="AR457"/>
  <c r="AK457"/>
  <c r="AI457"/>
  <c r="AH457"/>
  <c r="AC457"/>
  <c r="AB457"/>
  <c r="Z457"/>
  <c r="Y457"/>
  <c r="V457"/>
  <c r="AJ457" s="1"/>
  <c r="E457"/>
  <c r="BP457" s="1"/>
  <c r="BI456"/>
  <c r="AW456"/>
  <c r="AV456"/>
  <c r="AU456"/>
  <c r="AR456"/>
  <c r="AK456"/>
  <c r="AI456"/>
  <c r="AH456"/>
  <c r="AC456"/>
  <c r="AB456"/>
  <c r="Z456"/>
  <c r="Y456"/>
  <c r="V456"/>
  <c r="X456" s="1"/>
  <c r="E456"/>
  <c r="BP456" s="1"/>
  <c r="BI455"/>
  <c r="AW455"/>
  <c r="AV455"/>
  <c r="AU455"/>
  <c r="AR455"/>
  <c r="AK455"/>
  <c r="AI455"/>
  <c r="AH455"/>
  <c r="AC455"/>
  <c r="AB455"/>
  <c r="Z455"/>
  <c r="Y455"/>
  <c r="V455"/>
  <c r="X455" s="1"/>
  <c r="E455"/>
  <c r="BP455" s="1"/>
  <c r="BI454"/>
  <c r="AW454"/>
  <c r="AV454"/>
  <c r="AU454"/>
  <c r="AR454"/>
  <c r="AK454"/>
  <c r="AI454"/>
  <c r="AH454"/>
  <c r="AC454"/>
  <c r="AB454"/>
  <c r="Z454"/>
  <c r="Y454"/>
  <c r="V454"/>
  <c r="AJ454" s="1"/>
  <c r="E454"/>
  <c r="BP454" s="1"/>
  <c r="BI453"/>
  <c r="AW453"/>
  <c r="AV453"/>
  <c r="AU453"/>
  <c r="AR453"/>
  <c r="AK453"/>
  <c r="AI453"/>
  <c r="AH453"/>
  <c r="AC453"/>
  <c r="AB453"/>
  <c r="Z453"/>
  <c r="Y453"/>
  <c r="V453"/>
  <c r="AJ453" s="1"/>
  <c r="E453"/>
  <c r="BP453" s="1"/>
  <c r="BI452"/>
  <c r="AW452"/>
  <c r="AV452"/>
  <c r="AU452"/>
  <c r="AR452"/>
  <c r="AK452"/>
  <c r="AI452"/>
  <c r="AH452"/>
  <c r="AC452"/>
  <c r="AB452"/>
  <c r="Z452"/>
  <c r="Y452"/>
  <c r="V452"/>
  <c r="X452" s="1"/>
  <c r="E452"/>
  <c r="BP452" s="1"/>
  <c r="BI451"/>
  <c r="AW451"/>
  <c r="AV451"/>
  <c r="AU451"/>
  <c r="AR451"/>
  <c r="AK451"/>
  <c r="AI451"/>
  <c r="AH451"/>
  <c r="AC451"/>
  <c r="AB451"/>
  <c r="Z451"/>
  <c r="Y451"/>
  <c r="V451"/>
  <c r="X451" s="1"/>
  <c r="E451"/>
  <c r="BP451" s="1"/>
  <c r="BI450"/>
  <c r="AW450"/>
  <c r="AV450"/>
  <c r="AU450"/>
  <c r="AR450"/>
  <c r="AK450"/>
  <c r="AI450"/>
  <c r="AH450"/>
  <c r="AC450"/>
  <c r="AB450"/>
  <c r="Z450"/>
  <c r="Y450"/>
  <c r="V450"/>
  <c r="X450" s="1"/>
  <c r="E450"/>
  <c r="BP450" s="1"/>
  <c r="BI449"/>
  <c r="AW449"/>
  <c r="AV449"/>
  <c r="AU449"/>
  <c r="AR449"/>
  <c r="AK449"/>
  <c r="AI449"/>
  <c r="AH449"/>
  <c r="AC449"/>
  <c r="AB449"/>
  <c r="Z449"/>
  <c r="Y449"/>
  <c r="V449"/>
  <c r="AJ449" s="1"/>
  <c r="E449"/>
  <c r="BP449" s="1"/>
  <c r="BI448"/>
  <c r="AW448"/>
  <c r="AV448"/>
  <c r="AU448"/>
  <c r="AR448"/>
  <c r="AK448"/>
  <c r="AI448"/>
  <c r="AH448"/>
  <c r="AC448"/>
  <c r="AB448"/>
  <c r="Z448"/>
  <c r="Y448"/>
  <c r="V448"/>
  <c r="X448" s="1"/>
  <c r="E448"/>
  <c r="BP448" s="1"/>
  <c r="BI447"/>
  <c r="AW447"/>
  <c r="AV447"/>
  <c r="AU447"/>
  <c r="AR447"/>
  <c r="AK447"/>
  <c r="AI447"/>
  <c r="AH447"/>
  <c r="AC447"/>
  <c r="AB447"/>
  <c r="Z447"/>
  <c r="Y447"/>
  <c r="V447"/>
  <c r="AJ447" s="1"/>
  <c r="E447"/>
  <c r="BP447" s="1"/>
  <c r="BI446"/>
  <c r="AW446"/>
  <c r="AV446"/>
  <c r="AU446"/>
  <c r="AR446"/>
  <c r="AK446"/>
  <c r="AI446"/>
  <c r="AH446"/>
  <c r="AC446"/>
  <c r="AB446"/>
  <c r="Z446"/>
  <c r="Y446"/>
  <c r="V446"/>
  <c r="W446" s="1"/>
  <c r="AF446" s="1"/>
  <c r="E446"/>
  <c r="BP446" s="1"/>
  <c r="BI445"/>
  <c r="AW445"/>
  <c r="AV445"/>
  <c r="AU445"/>
  <c r="AR445"/>
  <c r="AK445"/>
  <c r="AI445"/>
  <c r="AH445"/>
  <c r="AC445"/>
  <c r="AB445"/>
  <c r="Z445"/>
  <c r="Y445"/>
  <c r="V445"/>
  <c r="X445" s="1"/>
  <c r="W445" s="1"/>
  <c r="E445"/>
  <c r="BP445" s="1"/>
  <c r="BI444"/>
  <c r="AW444"/>
  <c r="AV444"/>
  <c r="AU444"/>
  <c r="AR444"/>
  <c r="AK444"/>
  <c r="AI444"/>
  <c r="AH444"/>
  <c r="AC444"/>
  <c r="AB444"/>
  <c r="Z444"/>
  <c r="Y444"/>
  <c r="V444"/>
  <c r="AJ444" s="1"/>
  <c r="E444"/>
  <c r="BP444" s="1"/>
  <c r="BI443"/>
  <c r="AW443"/>
  <c r="AV443"/>
  <c r="AU443"/>
  <c r="AR443"/>
  <c r="AK443"/>
  <c r="AI443"/>
  <c r="AH443"/>
  <c r="AC443"/>
  <c r="AB443"/>
  <c r="Z443"/>
  <c r="Y443"/>
  <c r="V443"/>
  <c r="X443" s="1"/>
  <c r="AG443" s="1"/>
  <c r="E443"/>
  <c r="BP443" s="1"/>
  <c r="BI442"/>
  <c r="AW442"/>
  <c r="AV442"/>
  <c r="AU442"/>
  <c r="AR442"/>
  <c r="AK442"/>
  <c r="AI442"/>
  <c r="AH442"/>
  <c r="AC442"/>
  <c r="AB442"/>
  <c r="Z442"/>
  <c r="Y442"/>
  <c r="V442"/>
  <c r="W442" s="1"/>
  <c r="AF442" s="1"/>
  <c r="E442"/>
  <c r="BP442" s="1"/>
  <c r="BI441"/>
  <c r="AW441"/>
  <c r="AV441"/>
  <c r="AU441"/>
  <c r="AR441"/>
  <c r="AK441"/>
  <c r="AI441"/>
  <c r="AH441"/>
  <c r="AC441"/>
  <c r="AB441"/>
  <c r="Z441"/>
  <c r="Y441"/>
  <c r="V441"/>
  <c r="X441" s="1"/>
  <c r="E441"/>
  <c r="BP441" s="1"/>
  <c r="BI440"/>
  <c r="AW440"/>
  <c r="AV440"/>
  <c r="AU440"/>
  <c r="AR440"/>
  <c r="AK440"/>
  <c r="AI440"/>
  <c r="AH440"/>
  <c r="AC440"/>
  <c r="AB440"/>
  <c r="Z440"/>
  <c r="Y440"/>
  <c r="V440"/>
  <c r="AJ440" s="1"/>
  <c r="E440"/>
  <c r="BP440" s="1"/>
  <c r="BI439"/>
  <c r="AW439"/>
  <c r="AV439"/>
  <c r="AU439"/>
  <c r="AR439"/>
  <c r="AK439"/>
  <c r="AI439"/>
  <c r="AH439"/>
  <c r="AC439"/>
  <c r="AB439"/>
  <c r="Z439"/>
  <c r="Y439"/>
  <c r="V439"/>
  <c r="W439" s="1"/>
  <c r="AF439" s="1"/>
  <c r="E439"/>
  <c r="BP439" s="1"/>
  <c r="BI438"/>
  <c r="AW438"/>
  <c r="AV438"/>
  <c r="AU438"/>
  <c r="AR438"/>
  <c r="AK438"/>
  <c r="AI438"/>
  <c r="AH438"/>
  <c r="AC438"/>
  <c r="AB438"/>
  <c r="Z438"/>
  <c r="Y438"/>
  <c r="V438"/>
  <c r="AJ438" s="1"/>
  <c r="E438"/>
  <c r="BP438" s="1"/>
  <c r="BI437"/>
  <c r="AW437"/>
  <c r="AV437"/>
  <c r="AU437"/>
  <c r="AR437"/>
  <c r="AK437"/>
  <c r="AI437"/>
  <c r="AH437"/>
  <c r="AC437"/>
  <c r="AB437"/>
  <c r="Z437"/>
  <c r="Y437"/>
  <c r="V437"/>
  <c r="X437" s="1"/>
  <c r="E437"/>
  <c r="BP437" s="1"/>
  <c r="BI436"/>
  <c r="AW436"/>
  <c r="AV436"/>
  <c r="AU436"/>
  <c r="AR436"/>
  <c r="AK436"/>
  <c r="AI436"/>
  <c r="AH436"/>
  <c r="AC436"/>
  <c r="AB436"/>
  <c r="Z436"/>
  <c r="Y436"/>
  <c r="V436"/>
  <c r="X436" s="1"/>
  <c r="E436"/>
  <c r="BP436" s="1"/>
  <c r="BI435"/>
  <c r="AW435"/>
  <c r="AV435"/>
  <c r="AU435"/>
  <c r="AR435"/>
  <c r="AK435"/>
  <c r="AI435"/>
  <c r="AH435"/>
  <c r="AC435"/>
  <c r="AB435"/>
  <c r="Z435"/>
  <c r="Y435"/>
  <c r="V435"/>
  <c r="X435" s="1"/>
  <c r="AG435" s="1"/>
  <c r="E435"/>
  <c r="BP435" s="1"/>
  <c r="BI434"/>
  <c r="AW434"/>
  <c r="AV434"/>
  <c r="AU434"/>
  <c r="AR434"/>
  <c r="AK434"/>
  <c r="AI434"/>
  <c r="AH434"/>
  <c r="AC434"/>
  <c r="AB434"/>
  <c r="Z434"/>
  <c r="Y434"/>
  <c r="V434"/>
  <c r="W434" s="1"/>
  <c r="AF434" s="1"/>
  <c r="E434"/>
  <c r="BP434" s="1"/>
  <c r="BI433"/>
  <c r="AW433"/>
  <c r="AV433"/>
  <c r="AU433"/>
  <c r="AR433"/>
  <c r="AK433"/>
  <c r="AI433"/>
  <c r="AH433"/>
  <c r="AC433"/>
  <c r="AB433"/>
  <c r="Z433"/>
  <c r="Y433"/>
  <c r="V433"/>
  <c r="AJ433" s="1"/>
  <c r="E433"/>
  <c r="BP433" s="1"/>
  <c r="BI432"/>
  <c r="AW432"/>
  <c r="AV432"/>
  <c r="AU432"/>
  <c r="AR432"/>
  <c r="AK432"/>
  <c r="AI432"/>
  <c r="AH432"/>
  <c r="AC432"/>
  <c r="AB432"/>
  <c r="Z432"/>
  <c r="Y432"/>
  <c r="V432"/>
  <c r="AJ432" s="1"/>
  <c r="E432"/>
  <c r="BP432" s="1"/>
  <c r="BI431"/>
  <c r="AW431"/>
  <c r="AV431"/>
  <c r="AU431"/>
  <c r="AR431"/>
  <c r="AK431"/>
  <c r="AI431"/>
  <c r="AH431"/>
  <c r="AC431"/>
  <c r="AB431"/>
  <c r="Z431"/>
  <c r="Y431"/>
  <c r="V431"/>
  <c r="AJ431" s="1"/>
  <c r="E431"/>
  <c r="BP431" s="1"/>
  <c r="BI430"/>
  <c r="AW430"/>
  <c r="AV430"/>
  <c r="AU430"/>
  <c r="AR430"/>
  <c r="AK430"/>
  <c r="AI430"/>
  <c r="AH430"/>
  <c r="AC430"/>
  <c r="AB430"/>
  <c r="Z430"/>
  <c r="Y430"/>
  <c r="V430"/>
  <c r="X430" s="1"/>
  <c r="E430"/>
  <c r="BP430" s="1"/>
  <c r="BI429"/>
  <c r="AW429"/>
  <c r="AV429"/>
  <c r="AU429"/>
  <c r="AR429"/>
  <c r="AK429"/>
  <c r="AI429"/>
  <c r="AH429"/>
  <c r="AC429"/>
  <c r="AB429"/>
  <c r="Z429"/>
  <c r="Y429"/>
  <c r="V429"/>
  <c r="X429" s="1"/>
  <c r="E429"/>
  <c r="BP429" s="1"/>
  <c r="BI428"/>
  <c r="AW428"/>
  <c r="AV428"/>
  <c r="AU428"/>
  <c r="AR428"/>
  <c r="AK428"/>
  <c r="AI428"/>
  <c r="AH428"/>
  <c r="AC428"/>
  <c r="AB428"/>
  <c r="Z428"/>
  <c r="Y428"/>
  <c r="V428"/>
  <c r="AJ428" s="1"/>
  <c r="E428"/>
  <c r="BP428" s="1"/>
  <c r="BI427"/>
  <c r="AW427"/>
  <c r="AV427"/>
  <c r="AU427"/>
  <c r="AR427"/>
  <c r="AK427"/>
  <c r="AI427"/>
  <c r="AH427"/>
  <c r="AC427"/>
  <c r="AB427"/>
  <c r="Z427"/>
  <c r="Y427"/>
  <c r="V427"/>
  <c r="X427" s="1"/>
  <c r="E427"/>
  <c r="BP427" s="1"/>
  <c r="BI426"/>
  <c r="AW426"/>
  <c r="AV426"/>
  <c r="AU426"/>
  <c r="AR426"/>
  <c r="AK426"/>
  <c r="AI426"/>
  <c r="AH426"/>
  <c r="AC426"/>
  <c r="AB426"/>
  <c r="Z426"/>
  <c r="Y426"/>
  <c r="V426"/>
  <c r="W426" s="1"/>
  <c r="AF426" s="1"/>
  <c r="E426"/>
  <c r="BP426" s="1"/>
  <c r="BI425"/>
  <c r="AW425"/>
  <c r="AV425"/>
  <c r="AU425"/>
  <c r="AR425"/>
  <c r="AK425"/>
  <c r="AI425"/>
  <c r="AH425"/>
  <c r="AC425"/>
  <c r="AB425"/>
  <c r="Z425"/>
  <c r="Y425"/>
  <c r="V425"/>
  <c r="AJ425" s="1"/>
  <c r="E425"/>
  <c r="BP425" s="1"/>
  <c r="BI424"/>
  <c r="AW424"/>
  <c r="AV424"/>
  <c r="AU424"/>
  <c r="AR424"/>
  <c r="AK424"/>
  <c r="AI424"/>
  <c r="AH424"/>
  <c r="AC424"/>
  <c r="AB424"/>
  <c r="Z424"/>
  <c r="Y424"/>
  <c r="V424"/>
  <c r="X424" s="1"/>
  <c r="W424" s="1"/>
  <c r="AF424" s="1"/>
  <c r="E424"/>
  <c r="BP424" s="1"/>
  <c r="BI423"/>
  <c r="AW423"/>
  <c r="AV423"/>
  <c r="AU423"/>
  <c r="AR423"/>
  <c r="AK423"/>
  <c r="AI423"/>
  <c r="AH423"/>
  <c r="AC423"/>
  <c r="AB423"/>
  <c r="Z423"/>
  <c r="Y423"/>
  <c r="V423"/>
  <c r="X423" s="1"/>
  <c r="E423"/>
  <c r="BP423" s="1"/>
  <c r="BI422"/>
  <c r="AW422"/>
  <c r="AV422"/>
  <c r="AU422"/>
  <c r="AR422"/>
  <c r="AK422"/>
  <c r="AI422"/>
  <c r="AH422"/>
  <c r="AC422"/>
  <c r="AB422"/>
  <c r="Z422"/>
  <c r="Y422"/>
  <c r="V422"/>
  <c r="AJ422" s="1"/>
  <c r="E422"/>
  <c r="BP422" s="1"/>
  <c r="BI421"/>
  <c r="AW421"/>
  <c r="AV421"/>
  <c r="AU421"/>
  <c r="AR421"/>
  <c r="AK421"/>
  <c r="AI421"/>
  <c r="AH421"/>
  <c r="AC421"/>
  <c r="AB421"/>
  <c r="Z421"/>
  <c r="Y421"/>
  <c r="W421"/>
  <c r="AF421" s="1"/>
  <c r="V421"/>
  <c r="X421" s="1"/>
  <c r="AG421" s="1"/>
  <c r="E421"/>
  <c r="BP421" s="1"/>
  <c r="BI420"/>
  <c r="AW420"/>
  <c r="AV420"/>
  <c r="AU420"/>
  <c r="AR420"/>
  <c r="AK420"/>
  <c r="AI420"/>
  <c r="AH420"/>
  <c r="AC420"/>
  <c r="AB420"/>
  <c r="AE420" s="1"/>
  <c r="Z420"/>
  <c r="Y420"/>
  <c r="V420"/>
  <c r="AJ420" s="1"/>
  <c r="E420"/>
  <c r="BP420" s="1"/>
  <c r="BI419"/>
  <c r="AW419"/>
  <c r="AV419"/>
  <c r="AU419"/>
  <c r="AR419"/>
  <c r="AK419"/>
  <c r="AI419"/>
  <c r="AH419"/>
  <c r="AC419"/>
  <c r="AB419"/>
  <c r="Z419"/>
  <c r="Y419"/>
  <c r="V419"/>
  <c r="AJ419" s="1"/>
  <c r="E419"/>
  <c r="BP419" s="1"/>
  <c r="BI418"/>
  <c r="AW418"/>
  <c r="AV418"/>
  <c r="AU418"/>
  <c r="AR418"/>
  <c r="AK418"/>
  <c r="AI418"/>
  <c r="AH418"/>
  <c r="AC418"/>
  <c r="AB418"/>
  <c r="Z418"/>
  <c r="Y418"/>
  <c r="V418"/>
  <c r="AJ418" s="1"/>
  <c r="E418"/>
  <c r="BP418" s="1"/>
  <c r="BI417"/>
  <c r="AW417"/>
  <c r="AV417"/>
  <c r="AU417"/>
  <c r="AR417"/>
  <c r="AK417"/>
  <c r="AI417"/>
  <c r="AH417"/>
  <c r="AC417"/>
  <c r="AB417"/>
  <c r="Z417"/>
  <c r="Y417"/>
  <c r="V417"/>
  <c r="E417"/>
  <c r="BP417" s="1"/>
  <c r="BI416"/>
  <c r="AW416"/>
  <c r="AV416"/>
  <c r="AU416"/>
  <c r="AR416"/>
  <c r="AK416"/>
  <c r="AI416"/>
  <c r="AH416"/>
  <c r="AC416"/>
  <c r="AB416"/>
  <c r="Z416"/>
  <c r="Y416"/>
  <c r="V416"/>
  <c r="X416" s="1"/>
  <c r="E416"/>
  <c r="BP416" s="1"/>
  <c r="BI415"/>
  <c r="AW415"/>
  <c r="AV415"/>
  <c r="AU415"/>
  <c r="AR415"/>
  <c r="AK415"/>
  <c r="AI415"/>
  <c r="AH415"/>
  <c r="AC415"/>
  <c r="AB415"/>
  <c r="Z415"/>
  <c r="Y415"/>
  <c r="V415"/>
  <c r="X415" s="1"/>
  <c r="E415"/>
  <c r="BP415" s="1"/>
  <c r="BI414"/>
  <c r="AW414"/>
  <c r="AV414"/>
  <c r="AU414"/>
  <c r="AR414"/>
  <c r="AK414"/>
  <c r="AI414"/>
  <c r="AH414"/>
  <c r="AC414"/>
  <c r="AB414"/>
  <c r="Z414"/>
  <c r="Y414"/>
  <c r="V414"/>
  <c r="AJ414" s="1"/>
  <c r="E414"/>
  <c r="BP414" s="1"/>
  <c r="BI413"/>
  <c r="AW413"/>
  <c r="AV413"/>
  <c r="AU413"/>
  <c r="AR413"/>
  <c r="AK413"/>
  <c r="AI413"/>
  <c r="AH413"/>
  <c r="AC413"/>
  <c r="AB413"/>
  <c r="Z413"/>
  <c r="Y413"/>
  <c r="V413"/>
  <c r="AJ413" s="1"/>
  <c r="E413"/>
  <c r="BP413" s="1"/>
  <c r="BI412"/>
  <c r="AW412"/>
  <c r="AV412"/>
  <c r="AU412"/>
  <c r="AR412"/>
  <c r="AK412"/>
  <c r="AI412"/>
  <c r="AH412"/>
  <c r="AC412"/>
  <c r="AB412"/>
  <c r="Z412"/>
  <c r="BO412" s="1"/>
  <c r="Y412"/>
  <c r="V412"/>
  <c r="AJ412" s="1"/>
  <c r="E412"/>
  <c r="BP412" s="1"/>
  <c r="BI411"/>
  <c r="AW411"/>
  <c r="AV411"/>
  <c r="AU411"/>
  <c r="AR411"/>
  <c r="AK411"/>
  <c r="AI411"/>
  <c r="AH411"/>
  <c r="AC411"/>
  <c r="AB411"/>
  <c r="Z411"/>
  <c r="Y411"/>
  <c r="V411"/>
  <c r="W411" s="1"/>
  <c r="AF411" s="1"/>
  <c r="E411"/>
  <c r="BP411" s="1"/>
  <c r="BI410"/>
  <c r="AW410"/>
  <c r="AV410"/>
  <c r="AU410"/>
  <c r="AR410"/>
  <c r="AK410"/>
  <c r="AI410"/>
  <c r="AH410"/>
  <c r="AC410"/>
  <c r="AB410"/>
  <c r="Z410"/>
  <c r="Y410"/>
  <c r="V410"/>
  <c r="X410" s="1"/>
  <c r="AG410" s="1"/>
  <c r="E410"/>
  <c r="BP410" s="1"/>
  <c r="BI409"/>
  <c r="AW409"/>
  <c r="AV409"/>
  <c r="AU409"/>
  <c r="AR409"/>
  <c r="AK409"/>
  <c r="AI409"/>
  <c r="AH409"/>
  <c r="AC409"/>
  <c r="AB409"/>
  <c r="Z409"/>
  <c r="BO409" s="1"/>
  <c r="Y409"/>
  <c r="V409"/>
  <c r="W409" s="1"/>
  <c r="E409"/>
  <c r="BP409" s="1"/>
  <c r="BI408"/>
  <c r="AW408"/>
  <c r="AV408"/>
  <c r="AU408"/>
  <c r="AR408"/>
  <c r="AK408"/>
  <c r="AI408"/>
  <c r="AH408"/>
  <c r="AC408"/>
  <c r="AB408"/>
  <c r="Z408"/>
  <c r="Y408"/>
  <c r="V408"/>
  <c r="X408" s="1"/>
  <c r="W408" s="1"/>
  <c r="AF408" s="1"/>
  <c r="E408"/>
  <c r="BP408" s="1"/>
  <c r="BI407"/>
  <c r="AW407"/>
  <c r="AV407"/>
  <c r="AU407"/>
  <c r="AR407"/>
  <c r="AK407"/>
  <c r="AI407"/>
  <c r="AH407"/>
  <c r="AC407"/>
  <c r="AB407"/>
  <c r="Z407"/>
  <c r="Y407"/>
  <c r="V407"/>
  <c r="W407" s="1"/>
  <c r="AF407" s="1"/>
  <c r="E407"/>
  <c r="BP407" s="1"/>
  <c r="BI406"/>
  <c r="AW406"/>
  <c r="AV406"/>
  <c r="AU406"/>
  <c r="AR406"/>
  <c r="AK406"/>
  <c r="AI406"/>
  <c r="AH406"/>
  <c r="AC406"/>
  <c r="AB406"/>
  <c r="Z406"/>
  <c r="Y406"/>
  <c r="V406"/>
  <c r="AJ406" s="1"/>
  <c r="E406"/>
  <c r="BP406" s="1"/>
  <c r="BI405"/>
  <c r="AW405"/>
  <c r="AV405"/>
  <c r="AU405"/>
  <c r="AR405"/>
  <c r="AK405"/>
  <c r="AI405"/>
  <c r="AH405"/>
  <c r="AC405"/>
  <c r="AB405"/>
  <c r="Z405"/>
  <c r="Y405"/>
  <c r="V405"/>
  <c r="AJ405" s="1"/>
  <c r="E405"/>
  <c r="BP405" s="1"/>
  <c r="BI404"/>
  <c r="AW404"/>
  <c r="AV404"/>
  <c r="AU404"/>
  <c r="AR404"/>
  <c r="AK404"/>
  <c r="AI404"/>
  <c r="AH404"/>
  <c r="AC404"/>
  <c r="AB404"/>
  <c r="Z404"/>
  <c r="Y404"/>
  <c r="V404"/>
  <c r="AJ404" s="1"/>
  <c r="E404"/>
  <c r="BP404" s="1"/>
  <c r="BI403"/>
  <c r="AW403"/>
  <c r="AV403"/>
  <c r="AU403"/>
  <c r="AR403"/>
  <c r="AK403"/>
  <c r="AI403"/>
  <c r="AH403"/>
  <c r="AC403"/>
  <c r="AB403"/>
  <c r="Z403"/>
  <c r="BO403" s="1"/>
  <c r="Y403"/>
  <c r="V403"/>
  <c r="X403" s="1"/>
  <c r="E403"/>
  <c r="BP403" s="1"/>
  <c r="BI402"/>
  <c r="AW402"/>
  <c r="AV402"/>
  <c r="AU402"/>
  <c r="AR402"/>
  <c r="AK402"/>
  <c r="AI402"/>
  <c r="AH402"/>
  <c r="AC402"/>
  <c r="AB402"/>
  <c r="Z402"/>
  <c r="Y402"/>
  <c r="V402"/>
  <c r="X402" s="1"/>
  <c r="W402" s="1"/>
  <c r="E402"/>
  <c r="BP402" s="1"/>
  <c r="BI401"/>
  <c r="AW401"/>
  <c r="AV401"/>
  <c r="AU401"/>
  <c r="AR401"/>
  <c r="AK401"/>
  <c r="AI401"/>
  <c r="AH401"/>
  <c r="AC401"/>
  <c r="AB401"/>
  <c r="Z401"/>
  <c r="Y401"/>
  <c r="V401"/>
  <c r="AJ401" s="1"/>
  <c r="E401"/>
  <c r="BP401" s="1"/>
  <c r="BI400"/>
  <c r="AW400"/>
  <c r="AV400"/>
  <c r="AU400"/>
  <c r="AR400"/>
  <c r="AK400"/>
  <c r="AI400"/>
  <c r="AH400"/>
  <c r="AC400"/>
  <c r="AB400"/>
  <c r="Z400"/>
  <c r="BO400" s="1"/>
  <c r="Y400"/>
  <c r="V400"/>
  <c r="X400" s="1"/>
  <c r="E400"/>
  <c r="BP400" s="1"/>
  <c r="BI399"/>
  <c r="AW399"/>
  <c r="AV399"/>
  <c r="AU399"/>
  <c r="AR399"/>
  <c r="AK399"/>
  <c r="AI399"/>
  <c r="AH399"/>
  <c r="AC399"/>
  <c r="AB399"/>
  <c r="Z399"/>
  <c r="BO399" s="1"/>
  <c r="Y399"/>
  <c r="V399"/>
  <c r="W399" s="1"/>
  <c r="AF399" s="1"/>
  <c r="E399"/>
  <c r="BP399" s="1"/>
  <c r="BI398"/>
  <c r="AW398"/>
  <c r="AV398"/>
  <c r="AU398"/>
  <c r="AR398"/>
  <c r="AK398"/>
  <c r="AI398"/>
  <c r="AH398"/>
  <c r="AC398"/>
  <c r="AB398"/>
  <c r="Z398"/>
  <c r="BO398" s="1"/>
  <c r="Y398"/>
  <c r="V398"/>
  <c r="AJ398" s="1"/>
  <c r="E398"/>
  <c r="BP398" s="1"/>
  <c r="BI397"/>
  <c r="AW397"/>
  <c r="AV397"/>
  <c r="AU397"/>
  <c r="AR397"/>
  <c r="AK397"/>
  <c r="AI397"/>
  <c r="AH397"/>
  <c r="AC397"/>
  <c r="AB397"/>
  <c r="Z397"/>
  <c r="Y397"/>
  <c r="V397"/>
  <c r="X397" s="1"/>
  <c r="W397" s="1"/>
  <c r="AF397" s="1"/>
  <c r="E397"/>
  <c r="BP397" s="1"/>
  <c r="BI396"/>
  <c r="AW396"/>
  <c r="AV396"/>
  <c r="AU396"/>
  <c r="AR396"/>
  <c r="AK396"/>
  <c r="AI396"/>
  <c r="AH396"/>
  <c r="AC396"/>
  <c r="AB396"/>
  <c r="Z396"/>
  <c r="BO396" s="1"/>
  <c r="Y396"/>
  <c r="V396"/>
  <c r="W396" s="1"/>
  <c r="AF396" s="1"/>
  <c r="E396"/>
  <c r="BP396" s="1"/>
  <c r="BI395"/>
  <c r="AW395"/>
  <c r="AV395"/>
  <c r="AU395"/>
  <c r="AR395"/>
  <c r="AK395"/>
  <c r="AI395"/>
  <c r="AH395"/>
  <c r="AC395"/>
  <c r="AB395"/>
  <c r="Z395"/>
  <c r="Y395"/>
  <c r="V395"/>
  <c r="AJ395" s="1"/>
  <c r="E395"/>
  <c r="BP395" s="1"/>
  <c r="BI394"/>
  <c r="AW394"/>
  <c r="AV394"/>
  <c r="AU394"/>
  <c r="AR394"/>
  <c r="AK394"/>
  <c r="AI394"/>
  <c r="AH394"/>
  <c r="AC394"/>
  <c r="AB394"/>
  <c r="Z394"/>
  <c r="BO394" s="1"/>
  <c r="Y394"/>
  <c r="X394"/>
  <c r="W394" s="1"/>
  <c r="AF394" s="1"/>
  <c r="V394"/>
  <c r="E394"/>
  <c r="BP394" s="1"/>
  <c r="BI393"/>
  <c r="AW393"/>
  <c r="AV393"/>
  <c r="AU393"/>
  <c r="AR393"/>
  <c r="AK393"/>
  <c r="AI393"/>
  <c r="AH393"/>
  <c r="AC393"/>
  <c r="AB393"/>
  <c r="AE393" s="1"/>
  <c r="Z393"/>
  <c r="BO393" s="1"/>
  <c r="Y393"/>
  <c r="V393"/>
  <c r="X393" s="1"/>
  <c r="W393" s="1"/>
  <c r="E393"/>
  <c r="BP393" s="1"/>
  <c r="BI392"/>
  <c r="AW392"/>
  <c r="AV392"/>
  <c r="AU392"/>
  <c r="AR392"/>
  <c r="AK392"/>
  <c r="AI392"/>
  <c r="AH392"/>
  <c r="AC392"/>
  <c r="AB392"/>
  <c r="Z392"/>
  <c r="BO392" s="1"/>
  <c r="Y392"/>
  <c r="V392"/>
  <c r="W392" s="1"/>
  <c r="AF392" s="1"/>
  <c r="E392"/>
  <c r="BP392" s="1"/>
  <c r="BI391"/>
  <c r="AW391"/>
  <c r="AV391"/>
  <c r="AU391"/>
  <c r="AR391"/>
  <c r="AK391"/>
  <c r="AI391"/>
  <c r="AH391"/>
  <c r="AC391"/>
  <c r="AB391"/>
  <c r="AE391" s="1"/>
  <c r="Z391"/>
  <c r="BO391" s="1"/>
  <c r="Y391"/>
  <c r="V391"/>
  <c r="X391" s="1"/>
  <c r="E391"/>
  <c r="BP391" s="1"/>
  <c r="BI390"/>
  <c r="AW390"/>
  <c r="AV390"/>
  <c r="AU390"/>
  <c r="AR390"/>
  <c r="AK390"/>
  <c r="AI390"/>
  <c r="AH390"/>
  <c r="AC390"/>
  <c r="AB390"/>
  <c r="AE390" s="1"/>
  <c r="Z390"/>
  <c r="Y390"/>
  <c r="V390"/>
  <c r="X390" s="1"/>
  <c r="E390"/>
  <c r="BP390" s="1"/>
  <c r="BI389"/>
  <c r="AW389"/>
  <c r="AV389"/>
  <c r="AU389"/>
  <c r="AR389"/>
  <c r="AK389"/>
  <c r="AI389"/>
  <c r="AH389"/>
  <c r="AC389"/>
  <c r="AB389"/>
  <c r="Z389"/>
  <c r="BO389" s="1"/>
  <c r="Y389"/>
  <c r="V389"/>
  <c r="X389" s="1"/>
  <c r="E389"/>
  <c r="BP389" s="1"/>
  <c r="BI388"/>
  <c r="BH388"/>
  <c r="AW388"/>
  <c r="AV388"/>
  <c r="AU388"/>
  <c r="AR388"/>
  <c r="AK388"/>
  <c r="AI388"/>
  <c r="AH388"/>
  <c r="AC388"/>
  <c r="AB388"/>
  <c r="AA388"/>
  <c r="Z388"/>
  <c r="Y388"/>
  <c r="V388"/>
  <c r="AJ388" s="1"/>
  <c r="E388"/>
  <c r="BP388" s="1"/>
  <c r="BI387"/>
  <c r="AW387"/>
  <c r="AV387"/>
  <c r="AU387"/>
  <c r="AR387"/>
  <c r="AK387"/>
  <c r="AI387"/>
  <c r="AH387"/>
  <c r="AC387"/>
  <c r="AB387"/>
  <c r="AE387" s="1"/>
  <c r="Z387"/>
  <c r="BO387" s="1"/>
  <c r="Y387"/>
  <c r="V387"/>
  <c r="AJ387" s="1"/>
  <c r="E387"/>
  <c r="BP387" s="1"/>
  <c r="BI386"/>
  <c r="AW386"/>
  <c r="AV386"/>
  <c r="AU386"/>
  <c r="AR386"/>
  <c r="AK386"/>
  <c r="AI386"/>
  <c r="AH386"/>
  <c r="AC386"/>
  <c r="AB386"/>
  <c r="Z386"/>
  <c r="BO386" s="1"/>
  <c r="Y386"/>
  <c r="V386"/>
  <c r="AJ386" s="1"/>
  <c r="E386"/>
  <c r="BP386" s="1"/>
  <c r="BI385"/>
  <c r="AW385"/>
  <c r="AV385"/>
  <c r="AU385"/>
  <c r="AR385"/>
  <c r="AK385"/>
  <c r="AI385"/>
  <c r="AH385"/>
  <c r="AC385"/>
  <c r="AB385"/>
  <c r="Z385"/>
  <c r="BO385" s="1"/>
  <c r="Y385"/>
  <c r="V385"/>
  <c r="X385" s="1"/>
  <c r="E385"/>
  <c r="BP385" s="1"/>
  <c r="BI384"/>
  <c r="AW384"/>
  <c r="AV384"/>
  <c r="AU384"/>
  <c r="AR384"/>
  <c r="AK384"/>
  <c r="AI384"/>
  <c r="AH384"/>
  <c r="AC384"/>
  <c r="AB384"/>
  <c r="Z384"/>
  <c r="Y384"/>
  <c r="V384"/>
  <c r="AJ384" s="1"/>
  <c r="E384"/>
  <c r="BP384" s="1"/>
  <c r="BI383"/>
  <c r="AW383"/>
  <c r="AV383"/>
  <c r="AU383"/>
  <c r="AR383"/>
  <c r="AK383"/>
  <c r="AI383"/>
  <c r="AH383"/>
  <c r="AC383"/>
  <c r="AB383"/>
  <c r="Z383"/>
  <c r="Y383"/>
  <c r="V383"/>
  <c r="X383" s="1"/>
  <c r="E383"/>
  <c r="BP383" s="1"/>
  <c r="BI382"/>
  <c r="AW382"/>
  <c r="AV382"/>
  <c r="AU382"/>
  <c r="AR382"/>
  <c r="AK382"/>
  <c r="AI382"/>
  <c r="AH382"/>
  <c r="AC382"/>
  <c r="AB382"/>
  <c r="Z382"/>
  <c r="BO382" s="1"/>
  <c r="Y382"/>
  <c r="V382"/>
  <c r="AJ382" s="1"/>
  <c r="E382"/>
  <c r="BP382" s="1"/>
  <c r="BI381"/>
  <c r="AW381"/>
  <c r="AV381"/>
  <c r="AU381"/>
  <c r="AR381"/>
  <c r="AK381"/>
  <c r="AI381"/>
  <c r="AH381"/>
  <c r="AC381"/>
  <c r="AB381"/>
  <c r="Z381"/>
  <c r="Y381"/>
  <c r="V381"/>
  <c r="X381" s="1"/>
  <c r="E381"/>
  <c r="BP381" s="1"/>
  <c r="BI380"/>
  <c r="AW380"/>
  <c r="AV380"/>
  <c r="AU380"/>
  <c r="AR380"/>
  <c r="AK380"/>
  <c r="AI380"/>
  <c r="AH380"/>
  <c r="AC380"/>
  <c r="AB380"/>
  <c r="Z380"/>
  <c r="BO380" s="1"/>
  <c r="Y380"/>
  <c r="V380"/>
  <c r="AJ380" s="1"/>
  <c r="E380"/>
  <c r="BP380" s="1"/>
  <c r="BI379"/>
  <c r="AW379"/>
  <c r="AV379"/>
  <c r="AU379"/>
  <c r="AR379"/>
  <c r="AK379"/>
  <c r="AI379"/>
  <c r="AH379"/>
  <c r="AC379"/>
  <c r="AB379"/>
  <c r="Z379"/>
  <c r="Y379"/>
  <c r="V379"/>
  <c r="X379" s="1"/>
  <c r="E379"/>
  <c r="BP379" s="1"/>
  <c r="BI378"/>
  <c r="AW378"/>
  <c r="AV378"/>
  <c r="AU378"/>
  <c r="AR378"/>
  <c r="AK378"/>
  <c r="AI378"/>
  <c r="AH378"/>
  <c r="AC378"/>
  <c r="AB378"/>
  <c r="Z378"/>
  <c r="BO378" s="1"/>
  <c r="Y378"/>
  <c r="V378"/>
  <c r="W378" s="1"/>
  <c r="E378"/>
  <c r="BP378" s="1"/>
  <c r="BI377"/>
  <c r="AW377"/>
  <c r="AV377"/>
  <c r="AU377"/>
  <c r="AR377"/>
  <c r="AK377"/>
  <c r="AI377"/>
  <c r="AH377"/>
  <c r="AC377"/>
  <c r="AB377"/>
  <c r="Z377"/>
  <c r="Y377"/>
  <c r="V377"/>
  <c r="X377" s="1"/>
  <c r="AG377" s="1"/>
  <c r="E377"/>
  <c r="BP377" s="1"/>
  <c r="BI376"/>
  <c r="AW376"/>
  <c r="AV376"/>
  <c r="AU376"/>
  <c r="AR376"/>
  <c r="AK376"/>
  <c r="AI376"/>
  <c r="AH376"/>
  <c r="AC376"/>
  <c r="AB376"/>
  <c r="Z376"/>
  <c r="BO376" s="1"/>
  <c r="Y376"/>
  <c r="W376"/>
  <c r="AF376" s="1"/>
  <c r="V376"/>
  <c r="X376" s="1"/>
  <c r="AG376" s="1"/>
  <c r="E376"/>
  <c r="BP376" s="1"/>
  <c r="BI375"/>
  <c r="AW375"/>
  <c r="AV375"/>
  <c r="AU375"/>
  <c r="AR375"/>
  <c r="AK375"/>
  <c r="AI375"/>
  <c r="AH375"/>
  <c r="AC375"/>
  <c r="AB375"/>
  <c r="AE375" s="1"/>
  <c r="Z375"/>
  <c r="BO375" s="1"/>
  <c r="Y375"/>
  <c r="V375"/>
  <c r="W375" s="1"/>
  <c r="E375"/>
  <c r="BP375" s="1"/>
  <c r="BI374"/>
  <c r="AW374"/>
  <c r="AV374"/>
  <c r="AU374"/>
  <c r="AR374"/>
  <c r="AK374"/>
  <c r="AI374"/>
  <c r="AH374"/>
  <c r="AC374"/>
  <c r="AB374"/>
  <c r="AE374" s="1"/>
  <c r="Z374"/>
  <c r="Y374"/>
  <c r="V374"/>
  <c r="AJ374" s="1"/>
  <c r="E374"/>
  <c r="BP374" s="1"/>
  <c r="BI373"/>
  <c r="AW373"/>
  <c r="AV373"/>
  <c r="AU373"/>
  <c r="AR373"/>
  <c r="AK373"/>
  <c r="AI373"/>
  <c r="AH373"/>
  <c r="AC373"/>
  <c r="AB373"/>
  <c r="Z373"/>
  <c r="BO373" s="1"/>
  <c r="Y373"/>
  <c r="V373"/>
  <c r="W373" s="1"/>
  <c r="AF373" s="1"/>
  <c r="E373"/>
  <c r="BP373" s="1"/>
  <c r="BI372"/>
  <c r="AW372"/>
  <c r="AV372"/>
  <c r="AU372"/>
  <c r="AR372"/>
  <c r="AK372"/>
  <c r="AI372"/>
  <c r="AH372"/>
  <c r="AC372"/>
  <c r="AB372"/>
  <c r="AA372"/>
  <c r="Z372"/>
  <c r="Y372"/>
  <c r="V372"/>
  <c r="X372" s="1"/>
  <c r="E372"/>
  <c r="BP372" s="1"/>
  <c r="BI371"/>
  <c r="AW371"/>
  <c r="AV371"/>
  <c r="AU371"/>
  <c r="AR371"/>
  <c r="AK371"/>
  <c r="AI371"/>
  <c r="AH371"/>
  <c r="AC371"/>
  <c r="AB371"/>
  <c r="AE371" s="1"/>
  <c r="Z371"/>
  <c r="BO371" s="1"/>
  <c r="Y371"/>
  <c r="V371"/>
  <c r="W371" s="1"/>
  <c r="E371"/>
  <c r="BP371" s="1"/>
  <c r="BI370"/>
  <c r="AW370"/>
  <c r="AV370"/>
  <c r="AU370"/>
  <c r="AR370"/>
  <c r="AK370"/>
  <c r="AI370"/>
  <c r="AH370"/>
  <c r="AC370"/>
  <c r="AB370"/>
  <c r="AE370" s="1"/>
  <c r="Z370"/>
  <c r="Y370"/>
  <c r="V370"/>
  <c r="AJ370" s="1"/>
  <c r="E370"/>
  <c r="BP370" s="1"/>
  <c r="BI369"/>
  <c r="AW369"/>
  <c r="AV369"/>
  <c r="AU369"/>
  <c r="AR369"/>
  <c r="AK369"/>
  <c r="AI369"/>
  <c r="AH369"/>
  <c r="AC369"/>
  <c r="AB369"/>
  <c r="Z369"/>
  <c r="BO369" s="1"/>
  <c r="Y369"/>
  <c r="V369"/>
  <c r="X369" s="1"/>
  <c r="AG369" s="1"/>
  <c r="E369"/>
  <c r="BP369" s="1"/>
  <c r="BI368"/>
  <c r="AW368"/>
  <c r="AV368"/>
  <c r="AU368"/>
  <c r="AR368"/>
  <c r="AK368"/>
  <c r="AI368"/>
  <c r="AH368"/>
  <c r="AC368"/>
  <c r="AB368"/>
  <c r="Z368"/>
  <c r="Y368"/>
  <c r="V368"/>
  <c r="AJ368" s="1"/>
  <c r="E368"/>
  <c r="BP368" s="1"/>
  <c r="BI367"/>
  <c r="AW367"/>
  <c r="AV367"/>
  <c r="AU367"/>
  <c r="AR367"/>
  <c r="AK367"/>
  <c r="AI367"/>
  <c r="AH367"/>
  <c r="AC367"/>
  <c r="AB367"/>
  <c r="Z367"/>
  <c r="Y367"/>
  <c r="V367"/>
  <c r="X367" s="1"/>
  <c r="W367" s="1"/>
  <c r="E367"/>
  <c r="BP367" s="1"/>
  <c r="BI366"/>
  <c r="AW366"/>
  <c r="AV366"/>
  <c r="AU366"/>
  <c r="AR366"/>
  <c r="AK366"/>
  <c r="AI366"/>
  <c r="AH366"/>
  <c r="AC366"/>
  <c r="AB366"/>
  <c r="Z366"/>
  <c r="BO366" s="1"/>
  <c r="Y366"/>
  <c r="V366"/>
  <c r="AJ366" s="1"/>
  <c r="E366"/>
  <c r="BP366" s="1"/>
  <c r="BI365"/>
  <c r="AW365"/>
  <c r="AV365"/>
  <c r="AU365"/>
  <c r="AR365"/>
  <c r="AK365"/>
  <c r="AI365"/>
  <c r="AH365"/>
  <c r="AC365"/>
  <c r="AB365"/>
  <c r="Z365"/>
  <c r="Y365"/>
  <c r="V365"/>
  <c r="AJ365" s="1"/>
  <c r="E365"/>
  <c r="BP365" s="1"/>
  <c r="BI364"/>
  <c r="AW364"/>
  <c r="AV364"/>
  <c r="AU364"/>
  <c r="AR364"/>
  <c r="AK364"/>
  <c r="AI364"/>
  <c r="AH364"/>
  <c r="AC364"/>
  <c r="AB364"/>
  <c r="Z364"/>
  <c r="BO364" s="1"/>
  <c r="Y364"/>
  <c r="V364"/>
  <c r="AJ364" s="1"/>
  <c r="E364"/>
  <c r="BP364" s="1"/>
  <c r="BI363"/>
  <c r="AW363"/>
  <c r="AV363"/>
  <c r="AU363"/>
  <c r="AR363"/>
  <c r="AK363"/>
  <c r="AI363"/>
  <c r="AH363"/>
  <c r="AC363"/>
  <c r="AB363"/>
  <c r="Z363"/>
  <c r="BO363" s="1"/>
  <c r="Y363"/>
  <c r="V363"/>
  <c r="AJ363" s="1"/>
  <c r="E363"/>
  <c r="BP363" s="1"/>
  <c r="BI362"/>
  <c r="AW362"/>
  <c r="AV362"/>
  <c r="AU362"/>
  <c r="AR362"/>
  <c r="AK362"/>
  <c r="AI362"/>
  <c r="AH362"/>
  <c r="AC362"/>
  <c r="AB362"/>
  <c r="Z362"/>
  <c r="Y362"/>
  <c r="V362"/>
  <c r="W362" s="1"/>
  <c r="E362"/>
  <c r="BP362" s="1"/>
  <c r="BI361"/>
  <c r="AW361"/>
  <c r="AV361"/>
  <c r="AU361"/>
  <c r="AR361"/>
  <c r="AK361"/>
  <c r="AI361"/>
  <c r="AH361"/>
  <c r="AC361"/>
  <c r="AB361"/>
  <c r="Z361"/>
  <c r="BO361" s="1"/>
  <c r="Y361"/>
  <c r="V361"/>
  <c r="W361" s="1"/>
  <c r="AF361" s="1"/>
  <c r="E361"/>
  <c r="BP361" s="1"/>
  <c r="BI360"/>
  <c r="AW360"/>
  <c r="AV360"/>
  <c r="AU360"/>
  <c r="AR360"/>
  <c r="AK360"/>
  <c r="AI360"/>
  <c r="AH360"/>
  <c r="AC360"/>
  <c r="AB360"/>
  <c r="Z360"/>
  <c r="Y360"/>
  <c r="V360"/>
  <c r="AJ360" s="1"/>
  <c r="E360"/>
  <c r="BP360" s="1"/>
  <c r="BI359"/>
  <c r="AW359"/>
  <c r="AV359"/>
  <c r="AU359"/>
  <c r="AR359"/>
  <c r="AK359"/>
  <c r="AI359"/>
  <c r="AH359"/>
  <c r="AC359"/>
  <c r="AB359"/>
  <c r="Z359"/>
  <c r="BO359" s="1"/>
  <c r="Y359"/>
  <c r="V359"/>
  <c r="AJ359" s="1"/>
  <c r="E359"/>
  <c r="BP359" s="1"/>
  <c r="BI358"/>
  <c r="AW358"/>
  <c r="AV358"/>
  <c r="AU358"/>
  <c r="AR358"/>
  <c r="AK358"/>
  <c r="AI358"/>
  <c r="AH358"/>
  <c r="AC358"/>
  <c r="AB358"/>
  <c r="Z358"/>
  <c r="Y358"/>
  <c r="V358"/>
  <c r="X358" s="1"/>
  <c r="W358" s="1"/>
  <c r="E358"/>
  <c r="BP358" s="1"/>
  <c r="BI357"/>
  <c r="AW357"/>
  <c r="AV357"/>
  <c r="AU357"/>
  <c r="AR357"/>
  <c r="AK357"/>
  <c r="AI357"/>
  <c r="AH357"/>
  <c r="AC357"/>
  <c r="AB357"/>
  <c r="Z357"/>
  <c r="BO357" s="1"/>
  <c r="Y357"/>
  <c r="V357"/>
  <c r="W357" s="1"/>
  <c r="AF357" s="1"/>
  <c r="E357"/>
  <c r="BP357" s="1"/>
  <c r="BI356"/>
  <c r="AW356"/>
  <c r="AV356"/>
  <c r="AU356"/>
  <c r="AR356"/>
  <c r="AK356"/>
  <c r="AI356"/>
  <c r="AH356"/>
  <c r="AC356"/>
  <c r="AB356"/>
  <c r="Z356"/>
  <c r="Y356"/>
  <c r="V356"/>
  <c r="AJ356" s="1"/>
  <c r="E356"/>
  <c r="BP356" s="1"/>
  <c r="BI355"/>
  <c r="AW355"/>
  <c r="AV355"/>
  <c r="AU355"/>
  <c r="AR355"/>
  <c r="AK355"/>
  <c r="AI355"/>
  <c r="AH355"/>
  <c r="AC355"/>
  <c r="AB355"/>
  <c r="Z355"/>
  <c r="BO355" s="1"/>
  <c r="Y355"/>
  <c r="V355"/>
  <c r="AJ355" s="1"/>
  <c r="E355"/>
  <c r="BP355" s="1"/>
  <c r="BI354"/>
  <c r="AW354"/>
  <c r="AV354"/>
  <c r="AU354"/>
  <c r="AR354"/>
  <c r="AK354"/>
  <c r="AI354"/>
  <c r="AH354"/>
  <c r="AC354"/>
  <c r="AB354"/>
  <c r="Z354"/>
  <c r="BO354" s="1"/>
  <c r="Y354"/>
  <c r="V354"/>
  <c r="X354" s="1"/>
  <c r="W354" s="1"/>
  <c r="E354"/>
  <c r="BP354" s="1"/>
  <c r="BI353"/>
  <c r="AW353"/>
  <c r="AV353"/>
  <c r="AU353"/>
  <c r="AR353"/>
  <c r="AK353"/>
  <c r="AI353"/>
  <c r="AH353"/>
  <c r="AC353"/>
  <c r="AB353"/>
  <c r="Z353"/>
  <c r="BO353" s="1"/>
  <c r="Y353"/>
  <c r="V353"/>
  <c r="W353" s="1"/>
  <c r="AF353" s="1"/>
  <c r="E353"/>
  <c r="BP353" s="1"/>
  <c r="BI352"/>
  <c r="AW352"/>
  <c r="AV352"/>
  <c r="AU352"/>
  <c r="AR352"/>
  <c r="AK352"/>
  <c r="AI352"/>
  <c r="AH352"/>
  <c r="AC352"/>
  <c r="AB352"/>
  <c r="Z352"/>
  <c r="Y352"/>
  <c r="V352"/>
  <c r="W352" s="1"/>
  <c r="AF352" s="1"/>
  <c r="E352"/>
  <c r="BP352" s="1"/>
  <c r="BI351"/>
  <c r="AW351"/>
  <c r="AV351"/>
  <c r="AU351"/>
  <c r="AR351"/>
  <c r="AK351"/>
  <c r="AI351"/>
  <c r="AH351"/>
  <c r="AC351"/>
  <c r="AB351"/>
  <c r="Z351"/>
  <c r="BO351" s="1"/>
  <c r="Y351"/>
  <c r="V351"/>
  <c r="X351" s="1"/>
  <c r="W351" s="1"/>
  <c r="E351"/>
  <c r="BP351" s="1"/>
  <c r="BI350"/>
  <c r="AW350"/>
  <c r="AV350"/>
  <c r="AU350"/>
  <c r="AR350"/>
  <c r="AK350"/>
  <c r="AI350"/>
  <c r="AH350"/>
  <c r="AC350"/>
  <c r="AB350"/>
  <c r="Z350"/>
  <c r="Y350"/>
  <c r="V350"/>
  <c r="AJ350" s="1"/>
  <c r="E350"/>
  <c r="BP350" s="1"/>
  <c r="BI349"/>
  <c r="AW349"/>
  <c r="AV349"/>
  <c r="AU349"/>
  <c r="AR349"/>
  <c r="AK349"/>
  <c r="AI349"/>
  <c r="AH349"/>
  <c r="AC349"/>
  <c r="AB349"/>
  <c r="Z349"/>
  <c r="BO349" s="1"/>
  <c r="Y349"/>
  <c r="V349"/>
  <c r="AJ349" s="1"/>
  <c r="E349"/>
  <c r="BP349" s="1"/>
  <c r="BI348"/>
  <c r="AW348"/>
  <c r="AV348"/>
  <c r="AU348"/>
  <c r="AR348"/>
  <c r="AK348"/>
  <c r="AI348"/>
  <c r="AH348"/>
  <c r="AC348"/>
  <c r="AB348"/>
  <c r="Z348"/>
  <c r="Y348"/>
  <c r="V348"/>
  <c r="X348" s="1"/>
  <c r="W348" s="1"/>
  <c r="E348"/>
  <c r="BP348" s="1"/>
  <c r="BI347"/>
  <c r="AW347"/>
  <c r="AV347"/>
  <c r="AU347"/>
  <c r="AR347"/>
  <c r="AK347"/>
  <c r="AI347"/>
  <c r="AH347"/>
  <c r="AC347"/>
  <c r="AB347"/>
  <c r="Z347"/>
  <c r="BO347" s="1"/>
  <c r="Y347"/>
  <c r="V347"/>
  <c r="X347" s="1"/>
  <c r="E347"/>
  <c r="BP347" s="1"/>
  <c r="BI346"/>
  <c r="AW346"/>
  <c r="AV346"/>
  <c r="AU346"/>
  <c r="AR346"/>
  <c r="AK346"/>
  <c r="AI346"/>
  <c r="AH346"/>
  <c r="AC346"/>
  <c r="AB346"/>
  <c r="Z346"/>
  <c r="Y346"/>
  <c r="V346"/>
  <c r="AJ346" s="1"/>
  <c r="E346"/>
  <c r="BP346" s="1"/>
  <c r="BI345"/>
  <c r="AW345"/>
  <c r="AV345"/>
  <c r="AU345"/>
  <c r="AR345"/>
  <c r="AK345"/>
  <c r="AI345"/>
  <c r="AH345"/>
  <c r="AC345"/>
  <c r="AB345"/>
  <c r="Z345"/>
  <c r="BO345" s="1"/>
  <c r="Y345"/>
  <c r="V345"/>
  <c r="X345" s="1"/>
  <c r="E345"/>
  <c r="BP345" s="1"/>
  <c r="BI344"/>
  <c r="AW344"/>
  <c r="AV344"/>
  <c r="AU344"/>
  <c r="AR344"/>
  <c r="AK344"/>
  <c r="AI344"/>
  <c r="AH344"/>
  <c r="AC344"/>
  <c r="AB344"/>
  <c r="Z344"/>
  <c r="Y344"/>
  <c r="V344"/>
  <c r="AJ344" s="1"/>
  <c r="E344"/>
  <c r="BP344" s="1"/>
  <c r="BI343"/>
  <c r="AW343"/>
  <c r="AV343"/>
  <c r="AU343"/>
  <c r="AR343"/>
  <c r="AK343"/>
  <c r="AI343"/>
  <c r="AH343"/>
  <c r="AC343"/>
  <c r="AB343"/>
  <c r="Z343"/>
  <c r="BO343" s="1"/>
  <c r="Y343"/>
  <c r="V343"/>
  <c r="X343" s="1"/>
  <c r="E343"/>
  <c r="BP343" s="1"/>
  <c r="BI342"/>
  <c r="AW342"/>
  <c r="AV342"/>
  <c r="AU342"/>
  <c r="AR342"/>
  <c r="AK342"/>
  <c r="AI342"/>
  <c r="AH342"/>
  <c r="AC342"/>
  <c r="AB342"/>
  <c r="Z342"/>
  <c r="Y342"/>
  <c r="V342"/>
  <c r="W342" s="1"/>
  <c r="E342"/>
  <c r="BP342" s="1"/>
  <c r="BI341"/>
  <c r="AW341"/>
  <c r="AV341"/>
  <c r="AU341"/>
  <c r="AR341"/>
  <c r="AK341"/>
  <c r="AI341"/>
  <c r="AH341"/>
  <c r="AC341"/>
  <c r="AB341"/>
  <c r="Z341"/>
  <c r="BO341" s="1"/>
  <c r="Y341"/>
  <c r="V341"/>
  <c r="AJ341" s="1"/>
  <c r="E341"/>
  <c r="BP341" s="1"/>
  <c r="BI340"/>
  <c r="AW340"/>
  <c r="AV340"/>
  <c r="AU340"/>
  <c r="AR340"/>
  <c r="AK340"/>
  <c r="AI340"/>
  <c r="AH340"/>
  <c r="AC340"/>
  <c r="AB340"/>
  <c r="Z340"/>
  <c r="Y340"/>
  <c r="V340"/>
  <c r="X340" s="1"/>
  <c r="E340"/>
  <c r="BP340" s="1"/>
  <c r="BI339"/>
  <c r="AW339"/>
  <c r="AV339"/>
  <c r="AU339"/>
  <c r="AR339"/>
  <c r="AK339"/>
  <c r="AI339"/>
  <c r="AH339"/>
  <c r="AC339"/>
  <c r="AB339"/>
  <c r="Z339"/>
  <c r="Y339"/>
  <c r="V339"/>
  <c r="AJ339" s="1"/>
  <c r="E339"/>
  <c r="BP339" s="1"/>
  <c r="BI338"/>
  <c r="AW338"/>
  <c r="AV338"/>
  <c r="AU338"/>
  <c r="AR338"/>
  <c r="AK338"/>
  <c r="AI338"/>
  <c r="AH338"/>
  <c r="AC338"/>
  <c r="AB338"/>
  <c r="Z338"/>
  <c r="BO338" s="1"/>
  <c r="Y338"/>
  <c r="V338"/>
  <c r="W338" s="1"/>
  <c r="E338"/>
  <c r="BP338" s="1"/>
  <c r="BI337"/>
  <c r="AW337"/>
  <c r="AV337"/>
  <c r="AU337"/>
  <c r="AR337"/>
  <c r="AK337"/>
  <c r="AI337"/>
  <c r="AH337"/>
  <c r="AC337"/>
  <c r="AB337"/>
  <c r="Z337"/>
  <c r="Y337"/>
  <c r="V337"/>
  <c r="X337" s="1"/>
  <c r="W337" s="1"/>
  <c r="E337"/>
  <c r="BP337" s="1"/>
  <c r="BI336"/>
  <c r="AW336"/>
  <c r="AV336"/>
  <c r="AU336"/>
  <c r="AR336"/>
  <c r="AK336"/>
  <c r="AI336"/>
  <c r="AH336"/>
  <c r="AC336"/>
  <c r="AB336"/>
  <c r="Z336"/>
  <c r="Y336"/>
  <c r="V336"/>
  <c r="W336" s="1"/>
  <c r="E336"/>
  <c r="BP336" s="1"/>
  <c r="BI335"/>
  <c r="AW335"/>
  <c r="AV335"/>
  <c r="AU335"/>
  <c r="AR335"/>
  <c r="AK335"/>
  <c r="AI335"/>
  <c r="AH335"/>
  <c r="AC335"/>
  <c r="AB335"/>
  <c r="Z335"/>
  <c r="BO335" s="1"/>
  <c r="Y335"/>
  <c r="V335"/>
  <c r="X335" s="1"/>
  <c r="W335" s="1"/>
  <c r="E335"/>
  <c r="BP335" s="1"/>
  <c r="BI334"/>
  <c r="AW334"/>
  <c r="AV334"/>
  <c r="AU334"/>
  <c r="AR334"/>
  <c r="AK334"/>
  <c r="AI334"/>
  <c r="AH334"/>
  <c r="AC334"/>
  <c r="AB334"/>
  <c r="Z334"/>
  <c r="Y334"/>
  <c r="V334"/>
  <c r="AJ334" s="1"/>
  <c r="E334"/>
  <c r="BP334" s="1"/>
  <c r="BI333"/>
  <c r="AW333"/>
  <c r="AV333"/>
  <c r="AU333"/>
  <c r="AR333"/>
  <c r="AK333"/>
  <c r="AI333"/>
  <c r="AH333"/>
  <c r="AC333"/>
  <c r="AB333"/>
  <c r="Z333"/>
  <c r="BO333" s="1"/>
  <c r="Y333"/>
  <c r="V333"/>
  <c r="W333" s="1"/>
  <c r="AF333" s="1"/>
  <c r="E333"/>
  <c r="BP333" s="1"/>
  <c r="BI332"/>
  <c r="AW332"/>
  <c r="AV332"/>
  <c r="AU332"/>
  <c r="AR332"/>
  <c r="AK332"/>
  <c r="AI332"/>
  <c r="AH332"/>
  <c r="AC332"/>
  <c r="AB332"/>
  <c r="Z332"/>
  <c r="Y332"/>
  <c r="V332"/>
  <c r="W332" s="1"/>
  <c r="E332"/>
  <c r="BP332" s="1"/>
  <c r="BI331"/>
  <c r="AW331"/>
  <c r="AV331"/>
  <c r="AU331"/>
  <c r="AR331"/>
  <c r="AK331"/>
  <c r="AI331"/>
  <c r="AH331"/>
  <c r="AC331"/>
  <c r="AB331"/>
  <c r="Z331"/>
  <c r="BO331" s="1"/>
  <c r="Y331"/>
  <c r="V331"/>
  <c r="AJ331" s="1"/>
  <c r="E331"/>
  <c r="BP331" s="1"/>
  <c r="BI330"/>
  <c r="AW330"/>
  <c r="AV330"/>
  <c r="AU330"/>
  <c r="AR330"/>
  <c r="AK330"/>
  <c r="AI330"/>
  <c r="AH330"/>
  <c r="AC330"/>
  <c r="AB330"/>
  <c r="Z330"/>
  <c r="Y330"/>
  <c r="V330"/>
  <c r="AJ330" s="1"/>
  <c r="E330"/>
  <c r="BP330" s="1"/>
  <c r="BI329"/>
  <c r="AW329"/>
  <c r="AV329"/>
  <c r="AU329"/>
  <c r="AR329"/>
  <c r="AK329"/>
  <c r="AI329"/>
  <c r="AH329"/>
  <c r="AC329"/>
  <c r="AB329"/>
  <c r="Z329"/>
  <c r="BO329" s="1"/>
  <c r="Y329"/>
  <c r="V329"/>
  <c r="AJ329" s="1"/>
  <c r="E329"/>
  <c r="BP329" s="1"/>
  <c r="BI328"/>
  <c r="AW328"/>
  <c r="AV328"/>
  <c r="AU328"/>
  <c r="AR328"/>
  <c r="AK328"/>
  <c r="AI328"/>
  <c r="AH328"/>
  <c r="AC328"/>
  <c r="AB328"/>
  <c r="Z328"/>
  <c r="Y328"/>
  <c r="V328"/>
  <c r="X328" s="1"/>
  <c r="E328"/>
  <c r="BP328" s="1"/>
  <c r="BI327"/>
  <c r="AW327"/>
  <c r="AV327"/>
  <c r="AU327"/>
  <c r="AR327"/>
  <c r="AK327"/>
  <c r="AI327"/>
  <c r="AH327"/>
  <c r="AC327"/>
  <c r="AB327"/>
  <c r="Z327"/>
  <c r="BO327" s="1"/>
  <c r="Y327"/>
  <c r="V327"/>
  <c r="X327" s="1"/>
  <c r="E327"/>
  <c r="BP327" s="1"/>
  <c r="BI326"/>
  <c r="AW326"/>
  <c r="AV326"/>
  <c r="AU326"/>
  <c r="AR326"/>
  <c r="AK326"/>
  <c r="AI326"/>
  <c r="AH326"/>
  <c r="AC326"/>
  <c r="AB326"/>
  <c r="Z326"/>
  <c r="Y326"/>
  <c r="V326"/>
  <c r="X326" s="1"/>
  <c r="E326"/>
  <c r="BP326" s="1"/>
  <c r="BI325"/>
  <c r="AW325"/>
  <c r="AV325"/>
  <c r="AU325"/>
  <c r="AR325"/>
  <c r="AK325"/>
  <c r="AI325"/>
  <c r="AH325"/>
  <c r="AC325"/>
  <c r="AB325"/>
  <c r="Z325"/>
  <c r="BO325" s="1"/>
  <c r="Y325"/>
  <c r="V325"/>
  <c r="AJ325" s="1"/>
  <c r="E325"/>
  <c r="BP325" s="1"/>
  <c r="BI324"/>
  <c r="AW324"/>
  <c r="AV324"/>
  <c r="AU324"/>
  <c r="AR324"/>
  <c r="AK324"/>
  <c r="AI324"/>
  <c r="AH324"/>
  <c r="AC324"/>
  <c r="AB324"/>
  <c r="Z324"/>
  <c r="Y324"/>
  <c r="V324"/>
  <c r="X324" s="1"/>
  <c r="W324" s="1"/>
  <c r="E324"/>
  <c r="BP324" s="1"/>
  <c r="BI323"/>
  <c r="AW323"/>
  <c r="AV323"/>
  <c r="AU323"/>
  <c r="AR323"/>
  <c r="AK323"/>
  <c r="AI323"/>
  <c r="AH323"/>
  <c r="AC323"/>
  <c r="AB323"/>
  <c r="Z323"/>
  <c r="BO323" s="1"/>
  <c r="Y323"/>
  <c r="W323"/>
  <c r="AF323" s="1"/>
  <c r="V323"/>
  <c r="X323" s="1"/>
  <c r="AG323" s="1"/>
  <c r="E323"/>
  <c r="BP323" s="1"/>
  <c r="BI322"/>
  <c r="AW322"/>
  <c r="AV322"/>
  <c r="AU322"/>
  <c r="AR322"/>
  <c r="AK322"/>
  <c r="AI322"/>
  <c r="AH322"/>
  <c r="AC322"/>
  <c r="AB322"/>
  <c r="AE322" s="1"/>
  <c r="Z322"/>
  <c r="BO322" s="1"/>
  <c r="Y322"/>
  <c r="V322"/>
  <c r="AJ322" s="1"/>
  <c r="E322"/>
  <c r="BP322" s="1"/>
  <c r="BI321"/>
  <c r="AW321"/>
  <c r="AV321"/>
  <c r="AU321"/>
  <c r="AR321"/>
  <c r="AK321"/>
  <c r="AI321"/>
  <c r="AH321"/>
  <c r="AC321"/>
  <c r="AB321"/>
  <c r="Z321"/>
  <c r="BO321" s="1"/>
  <c r="Y321"/>
  <c r="V321"/>
  <c r="X321" s="1"/>
  <c r="E321"/>
  <c r="BP321" s="1"/>
  <c r="BI320"/>
  <c r="BH320"/>
  <c r="AW320"/>
  <c r="AV320"/>
  <c r="AU320"/>
  <c r="AR320"/>
  <c r="AK320"/>
  <c r="AI320"/>
  <c r="AH320"/>
  <c r="AC320"/>
  <c r="AB320"/>
  <c r="AA320"/>
  <c r="Z320"/>
  <c r="Y320"/>
  <c r="V320"/>
  <c r="E320"/>
  <c r="BP320" s="1"/>
  <c r="BI319"/>
  <c r="AW319"/>
  <c r="AV319"/>
  <c r="AU319"/>
  <c r="AR319"/>
  <c r="AK319"/>
  <c r="AI319"/>
  <c r="AH319"/>
  <c r="AC319"/>
  <c r="AB319"/>
  <c r="AE319" s="1"/>
  <c r="Z319"/>
  <c r="Y319"/>
  <c r="V319"/>
  <c r="E319"/>
  <c r="BP319" s="1"/>
  <c r="BI318"/>
  <c r="BH318"/>
  <c r="AW318"/>
  <c r="AV318"/>
  <c r="AU318"/>
  <c r="AR318"/>
  <c r="AK318"/>
  <c r="AI318"/>
  <c r="AH318"/>
  <c r="AC318"/>
  <c r="AB318"/>
  <c r="AA318"/>
  <c r="Z318"/>
  <c r="Y318"/>
  <c r="V318"/>
  <c r="AJ318" s="1"/>
  <c r="E318"/>
  <c r="BP318" s="1"/>
  <c r="BI317"/>
  <c r="AW317"/>
  <c r="AV317"/>
  <c r="AU317"/>
  <c r="AR317"/>
  <c r="AK317"/>
  <c r="AI317"/>
  <c r="AH317"/>
  <c r="AC317"/>
  <c r="AB317"/>
  <c r="Z317"/>
  <c r="Y317"/>
  <c r="V317"/>
  <c r="X317" s="1"/>
  <c r="E317"/>
  <c r="BP317" s="1"/>
  <c r="BI316"/>
  <c r="BH316"/>
  <c r="AW316"/>
  <c r="AV316"/>
  <c r="AU316"/>
  <c r="AR316"/>
  <c r="AK316"/>
  <c r="AI316"/>
  <c r="AH316"/>
  <c r="AC316"/>
  <c r="AB316"/>
  <c r="AA316"/>
  <c r="Z316"/>
  <c r="Y316"/>
  <c r="V316"/>
  <c r="AJ316" s="1"/>
  <c r="E316"/>
  <c r="BP316" s="1"/>
  <c r="BI315"/>
  <c r="AW315"/>
  <c r="AV315"/>
  <c r="AU315"/>
  <c r="AR315"/>
  <c r="AK315"/>
  <c r="AI315"/>
  <c r="AH315"/>
  <c r="AC315"/>
  <c r="AB315"/>
  <c r="AE315" s="1"/>
  <c r="Z315"/>
  <c r="BO315" s="1"/>
  <c r="Y315"/>
  <c r="V315"/>
  <c r="AJ315" s="1"/>
  <c r="E315"/>
  <c r="BP315" s="1"/>
  <c r="BI314"/>
  <c r="AW314"/>
  <c r="AV314"/>
  <c r="AU314"/>
  <c r="AR314"/>
  <c r="AK314"/>
  <c r="AI314"/>
  <c r="AH314"/>
  <c r="AC314"/>
  <c r="AB314"/>
  <c r="Z314"/>
  <c r="Y314"/>
  <c r="V314"/>
  <c r="AJ314" s="1"/>
  <c r="E314"/>
  <c r="BP314" s="1"/>
  <c r="BI313"/>
  <c r="AW313"/>
  <c r="AV313"/>
  <c r="AU313"/>
  <c r="AR313"/>
  <c r="AK313"/>
  <c r="AI313"/>
  <c r="AH313"/>
  <c r="AC313"/>
  <c r="AB313"/>
  <c r="AE313" s="1"/>
  <c r="Z313"/>
  <c r="Y313"/>
  <c r="V313"/>
  <c r="W313" s="1"/>
  <c r="AF313" s="1"/>
  <c r="E313"/>
  <c r="BP313" s="1"/>
  <c r="BI312"/>
  <c r="AW312"/>
  <c r="AV312"/>
  <c r="AU312"/>
  <c r="AR312"/>
  <c r="AK312"/>
  <c r="AI312"/>
  <c r="AH312"/>
  <c r="AC312"/>
  <c r="AB312"/>
  <c r="AE312" s="1"/>
  <c r="Z312"/>
  <c r="Y312"/>
  <c r="V312"/>
  <c r="AJ312" s="1"/>
  <c r="E312"/>
  <c r="BP312" s="1"/>
  <c r="BI311"/>
  <c r="AW311"/>
  <c r="AV311"/>
  <c r="AU311"/>
  <c r="AR311"/>
  <c r="AK311"/>
  <c r="AI311"/>
  <c r="AH311"/>
  <c r="AC311"/>
  <c r="AB311"/>
  <c r="Z311"/>
  <c r="BO311" s="1"/>
  <c r="Y311"/>
  <c r="V311"/>
  <c r="X311" s="1"/>
  <c r="E311"/>
  <c r="BP311" s="1"/>
  <c r="BI310"/>
  <c r="BH310"/>
  <c r="AW310"/>
  <c r="AV310"/>
  <c r="AU310"/>
  <c r="AR310"/>
  <c r="AK310"/>
  <c r="AI310"/>
  <c r="AH310"/>
  <c r="AC310"/>
  <c r="AB310"/>
  <c r="AA310"/>
  <c r="Z310"/>
  <c r="Y310"/>
  <c r="V310"/>
  <c r="AJ310" s="1"/>
  <c r="E310"/>
  <c r="BP310" s="1"/>
  <c r="BI309"/>
  <c r="AW309"/>
  <c r="AV309"/>
  <c r="AU309"/>
  <c r="AR309"/>
  <c r="AK309"/>
  <c r="AI309"/>
  <c r="AH309"/>
  <c r="AC309"/>
  <c r="AB309"/>
  <c r="Z309"/>
  <c r="Y309"/>
  <c r="V309"/>
  <c r="X309" s="1"/>
  <c r="AG309" s="1"/>
  <c r="E309"/>
  <c r="BP309" s="1"/>
  <c r="BI308"/>
  <c r="BH308"/>
  <c r="AW308"/>
  <c r="AV308"/>
  <c r="AU308"/>
  <c r="AR308"/>
  <c r="AK308"/>
  <c r="AI308"/>
  <c r="AH308"/>
  <c r="AC308"/>
  <c r="AB308"/>
  <c r="AA308"/>
  <c r="Z308"/>
  <c r="Y308"/>
  <c r="V308"/>
  <c r="X308" s="1"/>
  <c r="W308" s="1"/>
  <c r="E308"/>
  <c r="BP308" s="1"/>
  <c r="BI307"/>
  <c r="AW307"/>
  <c r="AV307"/>
  <c r="AU307"/>
  <c r="AR307"/>
  <c r="AK307"/>
  <c r="AI307"/>
  <c r="AH307"/>
  <c r="AC307"/>
  <c r="AB307"/>
  <c r="AE307" s="1"/>
  <c r="Z307"/>
  <c r="BO307" s="1"/>
  <c r="Y307"/>
  <c r="V307"/>
  <c r="X307" s="1"/>
  <c r="W307" s="1"/>
  <c r="E307"/>
  <c r="BP307" s="1"/>
  <c r="BI306"/>
  <c r="AW306"/>
  <c r="AV306"/>
  <c r="AU306"/>
  <c r="AR306"/>
  <c r="AK306"/>
  <c r="AI306"/>
  <c r="AH306"/>
  <c r="AC306"/>
  <c r="AB306"/>
  <c r="AE306" s="1"/>
  <c r="Z306"/>
  <c r="Y306"/>
  <c r="V306"/>
  <c r="E306"/>
  <c r="BP306" s="1"/>
  <c r="BI305"/>
  <c r="AW305"/>
  <c r="AV305"/>
  <c r="AU305"/>
  <c r="AR305"/>
  <c r="AK305"/>
  <c r="AI305"/>
  <c r="AH305"/>
  <c r="AC305"/>
  <c r="AB305"/>
  <c r="Z305"/>
  <c r="BO305" s="1"/>
  <c r="Y305"/>
  <c r="V305"/>
  <c r="X305" s="1"/>
  <c r="AG305" s="1"/>
  <c r="E305"/>
  <c r="BP305" s="1"/>
  <c r="BI304"/>
  <c r="AW304"/>
  <c r="AV304"/>
  <c r="AU304"/>
  <c r="AR304"/>
  <c r="AK304"/>
  <c r="AI304"/>
  <c r="AH304"/>
  <c r="AC304"/>
  <c r="AB304"/>
  <c r="Z304"/>
  <c r="BO304" s="1"/>
  <c r="Y304"/>
  <c r="V304"/>
  <c r="AJ304" s="1"/>
  <c r="E304"/>
  <c r="BP304" s="1"/>
  <c r="BI303"/>
  <c r="AW303"/>
  <c r="AV303"/>
  <c r="AU303"/>
  <c r="AR303"/>
  <c r="AK303"/>
  <c r="AI303"/>
  <c r="AH303"/>
  <c r="AC303"/>
  <c r="AB303"/>
  <c r="Z303"/>
  <c r="BO303" s="1"/>
  <c r="Y303"/>
  <c r="V303"/>
  <c r="X303" s="1"/>
  <c r="E303"/>
  <c r="BP303" s="1"/>
  <c r="BI302"/>
  <c r="AW302"/>
  <c r="AV302"/>
  <c r="AU302"/>
  <c r="AR302"/>
  <c r="AK302"/>
  <c r="AI302"/>
  <c r="AH302"/>
  <c r="AC302"/>
  <c r="AB302"/>
  <c r="Z302"/>
  <c r="Y302"/>
  <c r="V302"/>
  <c r="X302" s="1"/>
  <c r="E302"/>
  <c r="BP302" s="1"/>
  <c r="BI301"/>
  <c r="AW301"/>
  <c r="AV301"/>
  <c r="AU301"/>
  <c r="AR301"/>
  <c r="AK301"/>
  <c r="AI301"/>
  <c r="AH301"/>
  <c r="AC301"/>
  <c r="AB301"/>
  <c r="Z301"/>
  <c r="BO301" s="1"/>
  <c r="Y301"/>
  <c r="V301"/>
  <c r="E301"/>
  <c r="BP301" s="1"/>
  <c r="BI300"/>
  <c r="AW300"/>
  <c r="AV300"/>
  <c r="AU300"/>
  <c r="AR300"/>
  <c r="AK300"/>
  <c r="AI300"/>
  <c r="AH300"/>
  <c r="AC300"/>
  <c r="AB300"/>
  <c r="Z300"/>
  <c r="BO300" s="1"/>
  <c r="Y300"/>
  <c r="V300"/>
  <c r="AJ300" s="1"/>
  <c r="E300"/>
  <c r="BP300" s="1"/>
  <c r="BI299"/>
  <c r="AW299"/>
  <c r="AV299"/>
  <c r="AU299"/>
  <c r="AR299"/>
  <c r="AK299"/>
  <c r="AI299"/>
  <c r="AH299"/>
  <c r="AC299"/>
  <c r="AB299"/>
  <c r="Z299"/>
  <c r="Y299"/>
  <c r="V299"/>
  <c r="X299" s="1"/>
  <c r="E299"/>
  <c r="BP299" s="1"/>
  <c r="BI298"/>
  <c r="AW298"/>
  <c r="AV298"/>
  <c r="AU298"/>
  <c r="AR298"/>
  <c r="AK298"/>
  <c r="AI298"/>
  <c r="AH298"/>
  <c r="AC298"/>
  <c r="AB298"/>
  <c r="Z298"/>
  <c r="BO298" s="1"/>
  <c r="Y298"/>
  <c r="V298"/>
  <c r="X298" s="1"/>
  <c r="E298"/>
  <c r="BP298" s="1"/>
  <c r="BI297"/>
  <c r="AW297"/>
  <c r="AV297"/>
  <c r="AU297"/>
  <c r="AR297"/>
  <c r="AK297"/>
  <c r="AI297"/>
  <c r="AH297"/>
  <c r="AC297"/>
  <c r="AB297"/>
  <c r="Z297"/>
  <c r="BO297" s="1"/>
  <c r="Y297"/>
  <c r="V297"/>
  <c r="AJ297" s="1"/>
  <c r="E297"/>
  <c r="BP297" s="1"/>
  <c r="BI296"/>
  <c r="AW296"/>
  <c r="AV296"/>
  <c r="AU296"/>
  <c r="AR296"/>
  <c r="AK296"/>
  <c r="AI296"/>
  <c r="AH296"/>
  <c r="AC296"/>
  <c r="AB296"/>
  <c r="Z296"/>
  <c r="BO296" s="1"/>
  <c r="Y296"/>
  <c r="V296"/>
  <c r="AJ296" s="1"/>
  <c r="E296"/>
  <c r="BP296" s="1"/>
  <c r="BI295"/>
  <c r="AW295"/>
  <c r="AV295"/>
  <c r="AU295"/>
  <c r="AR295"/>
  <c r="AK295"/>
  <c r="AI295"/>
  <c r="AH295"/>
  <c r="AC295"/>
  <c r="AB295"/>
  <c r="Z295"/>
  <c r="BO295" s="1"/>
  <c r="Y295"/>
  <c r="V295"/>
  <c r="AJ295" s="1"/>
  <c r="E295"/>
  <c r="BP295" s="1"/>
  <c r="BI294"/>
  <c r="AW294"/>
  <c r="AV294"/>
  <c r="AU294"/>
  <c r="AR294"/>
  <c r="AK294"/>
  <c r="AI294"/>
  <c r="AH294"/>
  <c r="AC294"/>
  <c r="AB294"/>
  <c r="Z294"/>
  <c r="Y294"/>
  <c r="V294"/>
  <c r="AJ294" s="1"/>
  <c r="E294"/>
  <c r="BP294" s="1"/>
  <c r="BI293"/>
  <c r="AW293"/>
  <c r="AV293"/>
  <c r="AU293"/>
  <c r="AR293"/>
  <c r="AK293"/>
  <c r="AI293"/>
  <c r="AH293"/>
  <c r="AC293"/>
  <c r="AB293"/>
  <c r="Z293"/>
  <c r="BO293" s="1"/>
  <c r="Y293"/>
  <c r="V293"/>
  <c r="X293" s="1"/>
  <c r="AG293" s="1"/>
  <c r="E293"/>
  <c r="BP293" s="1"/>
  <c r="BI292"/>
  <c r="AW292"/>
  <c r="AV292"/>
  <c r="AU292"/>
  <c r="AR292"/>
  <c r="AK292"/>
  <c r="AI292"/>
  <c r="AH292"/>
  <c r="AC292"/>
  <c r="AB292"/>
  <c r="Z292"/>
  <c r="Y292"/>
  <c r="V292"/>
  <c r="AJ292" s="1"/>
  <c r="E292"/>
  <c r="BP292" s="1"/>
  <c r="BI291"/>
  <c r="AW291"/>
  <c r="AV291"/>
  <c r="AU291"/>
  <c r="AR291"/>
  <c r="AK291"/>
  <c r="AI291"/>
  <c r="AH291"/>
  <c r="AC291"/>
  <c r="AB291"/>
  <c r="Z291"/>
  <c r="BO291" s="1"/>
  <c r="Y291"/>
  <c r="V291"/>
  <c r="X291" s="1"/>
  <c r="E291"/>
  <c r="BP291" s="1"/>
  <c r="BI290"/>
  <c r="AW290"/>
  <c r="AV290"/>
  <c r="AU290"/>
  <c r="AR290"/>
  <c r="AK290"/>
  <c r="AI290"/>
  <c r="AH290"/>
  <c r="AC290"/>
  <c r="AB290"/>
  <c r="Z290"/>
  <c r="Y290"/>
  <c r="V290"/>
  <c r="X290" s="1"/>
  <c r="E290"/>
  <c r="BP290" s="1"/>
  <c r="BI289"/>
  <c r="AW289"/>
  <c r="AV289"/>
  <c r="AU289"/>
  <c r="AR289"/>
  <c r="AK289"/>
  <c r="AI289"/>
  <c r="AH289"/>
  <c r="AC289"/>
  <c r="AB289"/>
  <c r="Z289"/>
  <c r="BO289" s="1"/>
  <c r="Y289"/>
  <c r="V289"/>
  <c r="X289" s="1"/>
  <c r="E289"/>
  <c r="BP289" s="1"/>
  <c r="BI288"/>
  <c r="AW288"/>
  <c r="AV288"/>
  <c r="AU288"/>
  <c r="AR288"/>
  <c r="AK288"/>
  <c r="AI288"/>
  <c r="AH288"/>
  <c r="AC288"/>
  <c r="AB288"/>
  <c r="Z288"/>
  <c r="Y288"/>
  <c r="V288"/>
  <c r="AJ288" s="1"/>
  <c r="E288"/>
  <c r="BP288" s="1"/>
  <c r="BI287"/>
  <c r="AW287"/>
  <c r="AV287"/>
  <c r="AU287"/>
  <c r="AR287"/>
  <c r="AK287"/>
  <c r="AI287"/>
  <c r="AH287"/>
  <c r="AC287"/>
  <c r="AB287"/>
  <c r="Z287"/>
  <c r="BO287" s="1"/>
  <c r="Y287"/>
  <c r="V287"/>
  <c r="X287" s="1"/>
  <c r="E287"/>
  <c r="BP287" s="1"/>
  <c r="BI286"/>
  <c r="AW286"/>
  <c r="AV286"/>
  <c r="AU286"/>
  <c r="AR286"/>
  <c r="AK286"/>
  <c r="AI286"/>
  <c r="AH286"/>
  <c r="AC286"/>
  <c r="AB286"/>
  <c r="Z286"/>
  <c r="Y286"/>
  <c r="V286"/>
  <c r="AJ286" s="1"/>
  <c r="E286"/>
  <c r="BP286" s="1"/>
  <c r="BI285"/>
  <c r="AW285"/>
  <c r="AV285"/>
  <c r="AU285"/>
  <c r="AR285"/>
  <c r="AK285"/>
  <c r="AI285"/>
  <c r="AH285"/>
  <c r="AC285"/>
  <c r="AB285"/>
  <c r="Z285"/>
  <c r="BO285" s="1"/>
  <c r="Y285"/>
  <c r="V285"/>
  <c r="AJ285" s="1"/>
  <c r="E285"/>
  <c r="BP285" s="1"/>
  <c r="BI284"/>
  <c r="AW284"/>
  <c r="AV284"/>
  <c r="AU284"/>
  <c r="AR284"/>
  <c r="AK284"/>
  <c r="AI284"/>
  <c r="AH284"/>
  <c r="AC284"/>
  <c r="AB284"/>
  <c r="Z284"/>
  <c r="Y284"/>
  <c r="V284"/>
  <c r="AJ284" s="1"/>
  <c r="E284"/>
  <c r="BP284" s="1"/>
  <c r="BI283"/>
  <c r="AW283"/>
  <c r="AV283"/>
  <c r="AU283"/>
  <c r="AR283"/>
  <c r="AK283"/>
  <c r="AI283"/>
  <c r="AH283"/>
  <c r="AC283"/>
  <c r="AB283"/>
  <c r="Z283"/>
  <c r="BO283" s="1"/>
  <c r="Y283"/>
  <c r="V283"/>
  <c r="AJ283" s="1"/>
  <c r="E283"/>
  <c r="BP283" s="1"/>
  <c r="BI282"/>
  <c r="AW282"/>
  <c r="AV282"/>
  <c r="AU282"/>
  <c r="AR282"/>
  <c r="AK282"/>
  <c r="AI282"/>
  <c r="AH282"/>
  <c r="AC282"/>
  <c r="AB282"/>
  <c r="Z282"/>
  <c r="Y282"/>
  <c r="V282"/>
  <c r="X282" s="1"/>
  <c r="W282" s="1"/>
  <c r="E282"/>
  <c r="BP282" s="1"/>
  <c r="BI281"/>
  <c r="AW281"/>
  <c r="AV281"/>
  <c r="AU281"/>
  <c r="AR281"/>
  <c r="AK281"/>
  <c r="AI281"/>
  <c r="AH281"/>
  <c r="AC281"/>
  <c r="AB281"/>
  <c r="Z281"/>
  <c r="BO281" s="1"/>
  <c r="Y281"/>
  <c r="V281"/>
  <c r="AJ281" s="1"/>
  <c r="E281"/>
  <c r="BP281" s="1"/>
  <c r="BI280"/>
  <c r="AW280"/>
  <c r="AV280"/>
  <c r="AU280"/>
  <c r="AR280"/>
  <c r="AK280"/>
  <c r="AI280"/>
  <c r="AH280"/>
  <c r="AC280"/>
  <c r="AB280"/>
  <c r="Z280"/>
  <c r="Y280"/>
  <c r="V280"/>
  <c r="X280" s="1"/>
  <c r="W280" s="1"/>
  <c r="E280"/>
  <c r="BP280" s="1"/>
  <c r="BI279"/>
  <c r="AW279"/>
  <c r="AV279"/>
  <c r="AU279"/>
  <c r="AR279"/>
  <c r="AK279"/>
  <c r="AI279"/>
  <c r="AH279"/>
  <c r="AC279"/>
  <c r="AB279"/>
  <c r="Z279"/>
  <c r="BO279" s="1"/>
  <c r="Y279"/>
  <c r="V279"/>
  <c r="AJ279" s="1"/>
  <c r="E279"/>
  <c r="BP279" s="1"/>
  <c r="BI278"/>
  <c r="AW278"/>
  <c r="AV278"/>
  <c r="AU278"/>
  <c r="AR278"/>
  <c r="AK278"/>
  <c r="AI278"/>
  <c r="AH278"/>
  <c r="AC278"/>
  <c r="AB278"/>
  <c r="Z278"/>
  <c r="Y278"/>
  <c r="V278"/>
  <c r="X278" s="1"/>
  <c r="E278"/>
  <c r="BP278" s="1"/>
  <c r="BI277"/>
  <c r="AW277"/>
  <c r="AV277"/>
  <c r="AU277"/>
  <c r="AR277"/>
  <c r="AK277"/>
  <c r="AI277"/>
  <c r="AH277"/>
  <c r="AC277"/>
  <c r="AB277"/>
  <c r="Z277"/>
  <c r="BO277" s="1"/>
  <c r="Y277"/>
  <c r="V277"/>
  <c r="X277" s="1"/>
  <c r="E277"/>
  <c r="BP277" s="1"/>
  <c r="BI276"/>
  <c r="AW276"/>
  <c r="AV276"/>
  <c r="AU276"/>
  <c r="AR276"/>
  <c r="AK276"/>
  <c r="AI276"/>
  <c r="AH276"/>
  <c r="AC276"/>
  <c r="AB276"/>
  <c r="Z276"/>
  <c r="Y276"/>
  <c r="V276"/>
  <c r="AJ276" s="1"/>
  <c r="E276"/>
  <c r="BP276" s="1"/>
  <c r="BI275"/>
  <c r="AW275"/>
  <c r="AV275"/>
  <c r="AU275"/>
  <c r="AR275"/>
  <c r="AK275"/>
  <c r="AI275"/>
  <c r="AH275"/>
  <c r="AC275"/>
  <c r="AB275"/>
  <c r="Z275"/>
  <c r="BO275" s="1"/>
  <c r="Y275"/>
  <c r="V275"/>
  <c r="AJ275" s="1"/>
  <c r="E275"/>
  <c r="BP275" s="1"/>
  <c r="BI274"/>
  <c r="AW274"/>
  <c r="AV274"/>
  <c r="AU274"/>
  <c r="AR274"/>
  <c r="AK274"/>
  <c r="AI274"/>
  <c r="AH274"/>
  <c r="AC274"/>
  <c r="AB274"/>
  <c r="Z274"/>
  <c r="Y274"/>
  <c r="V274"/>
  <c r="W274" s="1"/>
  <c r="E274"/>
  <c r="BP274" s="1"/>
  <c r="BI273"/>
  <c r="AW273"/>
  <c r="AV273"/>
  <c r="AU273"/>
  <c r="AR273"/>
  <c r="AK273"/>
  <c r="AI273"/>
  <c r="AH273"/>
  <c r="AC273"/>
  <c r="AB273"/>
  <c r="Z273"/>
  <c r="BO273" s="1"/>
  <c r="Y273"/>
  <c r="V273"/>
  <c r="X273" s="1"/>
  <c r="AG273" s="1"/>
  <c r="E273"/>
  <c r="BP273" s="1"/>
  <c r="BI272"/>
  <c r="AW272"/>
  <c r="AV272"/>
  <c r="AU272"/>
  <c r="AR272"/>
  <c r="AK272"/>
  <c r="AI272"/>
  <c r="AH272"/>
  <c r="AC272"/>
  <c r="AB272"/>
  <c r="Z272"/>
  <c r="Y272"/>
  <c r="V272"/>
  <c r="AJ272" s="1"/>
  <c r="E272"/>
  <c r="BP272" s="1"/>
  <c r="BI271"/>
  <c r="AW271"/>
  <c r="AV271"/>
  <c r="AU271"/>
  <c r="AR271"/>
  <c r="AK271"/>
  <c r="AI271"/>
  <c r="AH271"/>
  <c r="AC271"/>
  <c r="AB271"/>
  <c r="Z271"/>
  <c r="Y271"/>
  <c r="V271"/>
  <c r="X271" s="1"/>
  <c r="E271"/>
  <c r="BP271" s="1"/>
  <c r="BI270"/>
  <c r="AW270"/>
  <c r="AV270"/>
  <c r="AU270"/>
  <c r="AR270"/>
  <c r="AK270"/>
  <c r="AI270"/>
  <c r="AH270"/>
  <c r="AC270"/>
  <c r="AB270"/>
  <c r="Z270"/>
  <c r="BO270" s="1"/>
  <c r="Y270"/>
  <c r="V270"/>
  <c r="X270" s="1"/>
  <c r="E270"/>
  <c r="BP270" s="1"/>
  <c r="BI269"/>
  <c r="AW269"/>
  <c r="AV269"/>
  <c r="AU269"/>
  <c r="AR269"/>
  <c r="AK269"/>
  <c r="AI269"/>
  <c r="AH269"/>
  <c r="AC269"/>
  <c r="AB269"/>
  <c r="Z269"/>
  <c r="Y269"/>
  <c r="V269"/>
  <c r="W269" s="1"/>
  <c r="AF269" s="1"/>
  <c r="E269"/>
  <c r="BP269" s="1"/>
  <c r="BI268"/>
  <c r="AW268"/>
  <c r="AV268"/>
  <c r="AU268"/>
  <c r="AR268"/>
  <c r="AK268"/>
  <c r="AI268"/>
  <c r="AH268"/>
  <c r="AC268"/>
  <c r="AB268"/>
  <c r="Z268"/>
  <c r="BO268" s="1"/>
  <c r="Y268"/>
  <c r="V268"/>
  <c r="AJ268" s="1"/>
  <c r="E268"/>
  <c r="BP268" s="1"/>
  <c r="BI267"/>
  <c r="AW267"/>
  <c r="AV267"/>
  <c r="AU267"/>
  <c r="AR267"/>
  <c r="AK267"/>
  <c r="AI267"/>
  <c r="AH267"/>
  <c r="AC267"/>
  <c r="AB267"/>
  <c r="Z267"/>
  <c r="Y267"/>
  <c r="V267"/>
  <c r="AJ267" s="1"/>
  <c r="E267"/>
  <c r="BP267" s="1"/>
  <c r="BI266"/>
  <c r="AW266"/>
  <c r="AV266"/>
  <c r="AU266"/>
  <c r="AR266"/>
  <c r="AK266"/>
  <c r="AI266"/>
  <c r="AH266"/>
  <c r="AC266"/>
  <c r="AB266"/>
  <c r="Z266"/>
  <c r="Y266"/>
  <c r="V266"/>
  <c r="W266" s="1"/>
  <c r="E266"/>
  <c r="BP266" s="1"/>
  <c r="BI265"/>
  <c r="AW265"/>
  <c r="AV265"/>
  <c r="AU265"/>
  <c r="AR265"/>
  <c r="AK265"/>
  <c r="AI265"/>
  <c r="AH265"/>
  <c r="AC265"/>
  <c r="AB265"/>
  <c r="Z265"/>
  <c r="BO265" s="1"/>
  <c r="Y265"/>
  <c r="V265"/>
  <c r="W265" s="1"/>
  <c r="E265"/>
  <c r="BP265" s="1"/>
  <c r="BI264"/>
  <c r="AW264"/>
  <c r="AV264"/>
  <c r="AU264"/>
  <c r="AR264"/>
  <c r="AK264"/>
  <c r="AI264"/>
  <c r="AH264"/>
  <c r="AC264"/>
  <c r="AB264"/>
  <c r="Z264"/>
  <c r="Y264"/>
  <c r="V264"/>
  <c r="AJ264" s="1"/>
  <c r="E264"/>
  <c r="BP264" s="1"/>
  <c r="BI263"/>
  <c r="AW263"/>
  <c r="AV263"/>
  <c r="AU263"/>
  <c r="AR263"/>
  <c r="AK263"/>
  <c r="AI263"/>
  <c r="AH263"/>
  <c r="AC263"/>
  <c r="AB263"/>
  <c r="Z263"/>
  <c r="BO263" s="1"/>
  <c r="Y263"/>
  <c r="V263"/>
  <c r="X263" s="1"/>
  <c r="E263"/>
  <c r="BP263" s="1"/>
  <c r="BI262"/>
  <c r="AW262"/>
  <c r="AV262"/>
  <c r="AU262"/>
  <c r="AR262"/>
  <c r="AK262"/>
  <c r="AI262"/>
  <c r="AH262"/>
  <c r="AC262"/>
  <c r="AB262"/>
  <c r="Z262"/>
  <c r="Y262"/>
  <c r="V262"/>
  <c r="X262" s="1"/>
  <c r="E262"/>
  <c r="BP262" s="1"/>
  <c r="BI261"/>
  <c r="AW261"/>
  <c r="AV261"/>
  <c r="AU261"/>
  <c r="AR261"/>
  <c r="AK261"/>
  <c r="AI261"/>
  <c r="AH261"/>
  <c r="AC261"/>
  <c r="AB261"/>
  <c r="Z261"/>
  <c r="BO261" s="1"/>
  <c r="Y261"/>
  <c r="V261"/>
  <c r="X261" s="1"/>
  <c r="AG261" s="1"/>
  <c r="E261"/>
  <c r="BP261" s="1"/>
  <c r="BI260"/>
  <c r="AW260"/>
  <c r="AV260"/>
  <c r="AU260"/>
  <c r="AR260"/>
  <c r="AK260"/>
  <c r="AI260"/>
  <c r="AH260"/>
  <c r="AC260"/>
  <c r="AB260"/>
  <c r="Z260"/>
  <c r="Y260"/>
  <c r="V260"/>
  <c r="AJ260" s="1"/>
  <c r="E260"/>
  <c r="BP260" s="1"/>
  <c r="BI259"/>
  <c r="AW259"/>
  <c r="AV259"/>
  <c r="AU259"/>
  <c r="AR259"/>
  <c r="AK259"/>
  <c r="AI259"/>
  <c r="AH259"/>
  <c r="AC259"/>
  <c r="AB259"/>
  <c r="Z259"/>
  <c r="BO259" s="1"/>
  <c r="Y259"/>
  <c r="V259"/>
  <c r="X259" s="1"/>
  <c r="E259"/>
  <c r="BP259" s="1"/>
  <c r="BI258"/>
  <c r="AW258"/>
  <c r="AV258"/>
  <c r="AU258"/>
  <c r="AR258"/>
  <c r="AK258"/>
  <c r="AI258"/>
  <c r="AH258"/>
  <c r="AC258"/>
  <c r="AB258"/>
  <c r="Z258"/>
  <c r="BO258" s="1"/>
  <c r="Y258"/>
  <c r="V258"/>
  <c r="W258" s="1"/>
  <c r="E258"/>
  <c r="BP258" s="1"/>
  <c r="BI257"/>
  <c r="AW257"/>
  <c r="AV257"/>
  <c r="AU257"/>
  <c r="AR257"/>
  <c r="AK257"/>
  <c r="AI257"/>
  <c r="AH257"/>
  <c r="AC257"/>
  <c r="AB257"/>
  <c r="Z257"/>
  <c r="BO257" s="1"/>
  <c r="Y257"/>
  <c r="W257"/>
  <c r="AF257" s="1"/>
  <c r="V257"/>
  <c r="X257" s="1"/>
  <c r="E257"/>
  <c r="BP257" s="1"/>
  <c r="BI256"/>
  <c r="AW256"/>
  <c r="AV256"/>
  <c r="AU256"/>
  <c r="AR256"/>
  <c r="AK256"/>
  <c r="AI256"/>
  <c r="AH256"/>
  <c r="AC256"/>
  <c r="AB256"/>
  <c r="AE256" s="1"/>
  <c r="Z256"/>
  <c r="BO256" s="1"/>
  <c r="Y256"/>
  <c r="V256"/>
  <c r="AJ256" s="1"/>
  <c r="E256"/>
  <c r="BP256" s="1"/>
  <c r="BI255"/>
  <c r="AW255"/>
  <c r="AV255"/>
  <c r="AU255"/>
  <c r="AR255"/>
  <c r="AK255"/>
  <c r="AI255"/>
  <c r="AH255"/>
  <c r="AC255"/>
  <c r="AB255"/>
  <c r="Z255"/>
  <c r="BO255" s="1"/>
  <c r="Y255"/>
  <c r="V255"/>
  <c r="X255" s="1"/>
  <c r="E255"/>
  <c r="BP255" s="1"/>
  <c r="BI254"/>
  <c r="AW254"/>
  <c r="AV254"/>
  <c r="AU254"/>
  <c r="AR254"/>
  <c r="AK254"/>
  <c r="AI254"/>
  <c r="AH254"/>
  <c r="AC254"/>
  <c r="AB254"/>
  <c r="Z254"/>
  <c r="BO254" s="1"/>
  <c r="Y254"/>
  <c r="V254"/>
  <c r="AJ254" s="1"/>
  <c r="E254"/>
  <c r="BP254" s="1"/>
  <c r="BI253"/>
  <c r="AW253"/>
  <c r="AV253"/>
  <c r="AU253"/>
  <c r="AR253"/>
  <c r="AK253"/>
  <c r="AI253"/>
  <c r="AH253"/>
  <c r="AC253"/>
  <c r="AB253"/>
  <c r="Z253"/>
  <c r="Y253"/>
  <c r="V253"/>
  <c r="AJ253" s="1"/>
  <c r="E253"/>
  <c r="BP253" s="1"/>
  <c r="BI252"/>
  <c r="AW252"/>
  <c r="AV252"/>
  <c r="AU252"/>
  <c r="AR252"/>
  <c r="AK252"/>
  <c r="AI252"/>
  <c r="AH252"/>
  <c r="AC252"/>
  <c r="AB252"/>
  <c r="Z252"/>
  <c r="BO252" s="1"/>
  <c r="Y252"/>
  <c r="V252"/>
  <c r="AJ252" s="1"/>
  <c r="E252"/>
  <c r="BP252" s="1"/>
  <c r="BI251"/>
  <c r="AW251"/>
  <c r="AV251"/>
  <c r="AU251"/>
  <c r="AR251"/>
  <c r="AK251"/>
  <c r="AI251"/>
  <c r="AH251"/>
  <c r="AC251"/>
  <c r="AB251"/>
  <c r="Z251"/>
  <c r="Y251"/>
  <c r="V251"/>
  <c r="W251" s="1"/>
  <c r="AF251" s="1"/>
  <c r="E251"/>
  <c r="BP251" s="1"/>
  <c r="BI250"/>
  <c r="AW250"/>
  <c r="AV250"/>
  <c r="AU250"/>
  <c r="AR250"/>
  <c r="AK250"/>
  <c r="AI250"/>
  <c r="AH250"/>
  <c r="AC250"/>
  <c r="AB250"/>
  <c r="Z250"/>
  <c r="BO250" s="1"/>
  <c r="Y250"/>
  <c r="V250"/>
  <c r="AJ250" s="1"/>
  <c r="E250"/>
  <c r="BP250" s="1"/>
  <c r="BI249"/>
  <c r="AW249"/>
  <c r="AV249"/>
  <c r="AU249"/>
  <c r="AR249"/>
  <c r="AK249"/>
  <c r="AI249"/>
  <c r="AH249"/>
  <c r="AC249"/>
  <c r="AB249"/>
  <c r="Z249"/>
  <c r="Y249"/>
  <c r="V249"/>
  <c r="AJ249" s="1"/>
  <c r="E249"/>
  <c r="BP249" s="1"/>
  <c r="BI248"/>
  <c r="AW248"/>
  <c r="AV248"/>
  <c r="AU248"/>
  <c r="AR248"/>
  <c r="AK248"/>
  <c r="AI248"/>
  <c r="AH248"/>
  <c r="AC248"/>
  <c r="AB248"/>
  <c r="Z248"/>
  <c r="BO248" s="1"/>
  <c r="Y248"/>
  <c r="V248"/>
  <c r="AJ248" s="1"/>
  <c r="E248"/>
  <c r="BP248" s="1"/>
  <c r="BI247"/>
  <c r="AW247"/>
  <c r="AV247"/>
  <c r="AU247"/>
  <c r="AR247"/>
  <c r="AK247"/>
  <c r="AI247"/>
  <c r="AH247"/>
  <c r="AC247"/>
  <c r="AB247"/>
  <c r="Z247"/>
  <c r="Y247"/>
  <c r="V247"/>
  <c r="X247" s="1"/>
  <c r="E247"/>
  <c r="BP247" s="1"/>
  <c r="BI246"/>
  <c r="AW246"/>
  <c r="AV246"/>
  <c r="AU246"/>
  <c r="AR246"/>
  <c r="AK246"/>
  <c r="AI246"/>
  <c r="AH246"/>
  <c r="AC246"/>
  <c r="AB246"/>
  <c r="Z246"/>
  <c r="BO246" s="1"/>
  <c r="Y246"/>
  <c r="V246"/>
  <c r="X246" s="1"/>
  <c r="E246"/>
  <c r="BP246" s="1"/>
  <c r="BI245"/>
  <c r="AW245"/>
  <c r="AV245"/>
  <c r="AU245"/>
  <c r="AR245"/>
  <c r="AK245"/>
  <c r="AI245"/>
  <c r="AH245"/>
  <c r="AC245"/>
  <c r="AB245"/>
  <c r="Z245"/>
  <c r="Y245"/>
  <c r="V245"/>
  <c r="AJ245" s="1"/>
  <c r="E245"/>
  <c r="BP245" s="1"/>
  <c r="BI244"/>
  <c r="AW244"/>
  <c r="AV244"/>
  <c r="AU244"/>
  <c r="AR244"/>
  <c r="AK244"/>
  <c r="AI244"/>
  <c r="AH244"/>
  <c r="AC244"/>
  <c r="AB244"/>
  <c r="Z244"/>
  <c r="BO244" s="1"/>
  <c r="Y244"/>
  <c r="V244"/>
  <c r="AJ244" s="1"/>
  <c r="E244"/>
  <c r="BP244" s="1"/>
  <c r="BI243"/>
  <c r="AW243"/>
  <c r="AV243"/>
  <c r="AU243"/>
  <c r="AR243"/>
  <c r="AK243"/>
  <c r="AI243"/>
  <c r="AH243"/>
  <c r="AC243"/>
  <c r="AB243"/>
  <c r="Z243"/>
  <c r="Y243"/>
  <c r="V243"/>
  <c r="AJ243" s="1"/>
  <c r="E243"/>
  <c r="BP243" s="1"/>
  <c r="BI242"/>
  <c r="AW242"/>
  <c r="AV242"/>
  <c r="AU242"/>
  <c r="AR242"/>
  <c r="AK242"/>
  <c r="AI242"/>
  <c r="AH242"/>
  <c r="AC242"/>
  <c r="AB242"/>
  <c r="Z242"/>
  <c r="BO242" s="1"/>
  <c r="Y242"/>
  <c r="V242"/>
  <c r="AJ242" s="1"/>
  <c r="E242"/>
  <c r="BP242" s="1"/>
  <c r="BI241"/>
  <c r="AW241"/>
  <c r="AV241"/>
  <c r="AU241"/>
  <c r="AR241"/>
  <c r="AK241"/>
  <c r="AI241"/>
  <c r="AH241"/>
  <c r="AC241"/>
  <c r="AB241"/>
  <c r="Z241"/>
  <c r="Y241"/>
  <c r="V241"/>
  <c r="W241" s="1"/>
  <c r="AF241" s="1"/>
  <c r="E241"/>
  <c r="BP241" s="1"/>
  <c r="BI240"/>
  <c r="AW240"/>
  <c r="AV240"/>
  <c r="AU240"/>
  <c r="AR240"/>
  <c r="AK240"/>
  <c r="AI240"/>
  <c r="AH240"/>
  <c r="AC240"/>
  <c r="AB240"/>
  <c r="Z240"/>
  <c r="BO240" s="1"/>
  <c r="Y240"/>
  <c r="V240"/>
  <c r="AJ240" s="1"/>
  <c r="E240"/>
  <c r="BP240" s="1"/>
  <c r="BI239"/>
  <c r="AW239"/>
  <c r="AV239"/>
  <c r="AU239"/>
  <c r="AR239"/>
  <c r="AK239"/>
  <c r="AI239"/>
  <c r="AH239"/>
  <c r="AC239"/>
  <c r="AB239"/>
  <c r="Z239"/>
  <c r="Y239"/>
  <c r="V239"/>
  <c r="AJ239" s="1"/>
  <c r="E239"/>
  <c r="BP239" s="1"/>
  <c r="BI238"/>
  <c r="AW238"/>
  <c r="AV238"/>
  <c r="AU238"/>
  <c r="AR238"/>
  <c r="AK238"/>
  <c r="AI238"/>
  <c r="AH238"/>
  <c r="AC238"/>
  <c r="AB238"/>
  <c r="Z238"/>
  <c r="BO238" s="1"/>
  <c r="Y238"/>
  <c r="V238"/>
  <c r="AJ238" s="1"/>
  <c r="E238"/>
  <c r="BP238" s="1"/>
  <c r="BI237"/>
  <c r="AW237"/>
  <c r="AV237"/>
  <c r="AU237"/>
  <c r="AR237"/>
  <c r="AK237"/>
  <c r="AI237"/>
  <c r="AH237"/>
  <c r="AC237"/>
  <c r="AB237"/>
  <c r="Z237"/>
  <c r="BO237" s="1"/>
  <c r="Y237"/>
  <c r="V237"/>
  <c r="X237" s="1"/>
  <c r="AG237" s="1"/>
  <c r="E237"/>
  <c r="BP237" s="1"/>
  <c r="BI236"/>
  <c r="AW236"/>
  <c r="AV236"/>
  <c r="AU236"/>
  <c r="AR236"/>
  <c r="AK236"/>
  <c r="AI236"/>
  <c r="AH236"/>
  <c r="AC236"/>
  <c r="AB236"/>
  <c r="Z236"/>
  <c r="Y236"/>
  <c r="V236"/>
  <c r="AJ236" s="1"/>
  <c r="E236"/>
  <c r="BP236" s="1"/>
  <c r="BI235"/>
  <c r="AW235"/>
  <c r="AV235"/>
  <c r="AU235"/>
  <c r="AR235"/>
  <c r="AK235"/>
  <c r="AI235"/>
  <c r="AH235"/>
  <c r="AC235"/>
  <c r="AB235"/>
  <c r="Z235"/>
  <c r="Y235"/>
  <c r="V235"/>
  <c r="AJ235" s="1"/>
  <c r="E235"/>
  <c r="BP235" s="1"/>
  <c r="BI234"/>
  <c r="AW234"/>
  <c r="AV234"/>
  <c r="AU234"/>
  <c r="AR234"/>
  <c r="AK234"/>
  <c r="AI234"/>
  <c r="AH234"/>
  <c r="AC234"/>
  <c r="AB234"/>
  <c r="Z234"/>
  <c r="Y234"/>
  <c r="V234"/>
  <c r="AJ234" s="1"/>
  <c r="E234"/>
  <c r="BP234" s="1"/>
  <c r="BI233"/>
  <c r="AW233"/>
  <c r="AV233"/>
  <c r="AU233"/>
  <c r="AR233"/>
  <c r="AK233"/>
  <c r="AI233"/>
  <c r="AH233"/>
  <c r="AC233"/>
  <c r="AB233"/>
  <c r="Z233"/>
  <c r="BO233" s="1"/>
  <c r="Y233"/>
  <c r="V233"/>
  <c r="AJ233" s="1"/>
  <c r="E233"/>
  <c r="BP233" s="1"/>
  <c r="BI232"/>
  <c r="AW232"/>
  <c r="AV232"/>
  <c r="AU232"/>
  <c r="AR232"/>
  <c r="AK232"/>
  <c r="AI232"/>
  <c r="AH232"/>
  <c r="AC232"/>
  <c r="AB232"/>
  <c r="Z232"/>
  <c r="Y232"/>
  <c r="V232"/>
  <c r="W232" s="1"/>
  <c r="E232"/>
  <c r="BP232" s="1"/>
  <c r="BI231"/>
  <c r="AW231"/>
  <c r="AV231"/>
  <c r="AU231"/>
  <c r="AR231"/>
  <c r="AK231"/>
  <c r="AI231"/>
  <c r="AH231"/>
  <c r="AC231"/>
  <c r="AB231"/>
  <c r="Z231"/>
  <c r="BO231" s="1"/>
  <c r="Y231"/>
  <c r="V231"/>
  <c r="W231" s="1"/>
  <c r="AF231" s="1"/>
  <c r="E231"/>
  <c r="BP231" s="1"/>
  <c r="BI230"/>
  <c r="AW230"/>
  <c r="AV230"/>
  <c r="AU230"/>
  <c r="AR230"/>
  <c r="AK230"/>
  <c r="AI230"/>
  <c r="AH230"/>
  <c r="AC230"/>
  <c r="AB230"/>
  <c r="Z230"/>
  <c r="Y230"/>
  <c r="V230"/>
  <c r="AJ230" s="1"/>
  <c r="E230"/>
  <c r="BP230" s="1"/>
  <c r="BI229"/>
  <c r="AW229"/>
  <c r="AV229"/>
  <c r="AU229"/>
  <c r="AR229"/>
  <c r="AK229"/>
  <c r="AI229"/>
  <c r="AH229"/>
  <c r="AC229"/>
  <c r="AB229"/>
  <c r="Z229"/>
  <c r="Y229"/>
  <c r="V229"/>
  <c r="AJ229" s="1"/>
  <c r="E229"/>
  <c r="BP229" s="1"/>
  <c r="BI228"/>
  <c r="AW228"/>
  <c r="AV228"/>
  <c r="AU228"/>
  <c r="AR228"/>
  <c r="AK228"/>
  <c r="AI228"/>
  <c r="AH228"/>
  <c r="AC228"/>
  <c r="AB228"/>
  <c r="Z228"/>
  <c r="BO228" s="1"/>
  <c r="Y228"/>
  <c r="V228"/>
  <c r="AJ228" s="1"/>
  <c r="E228"/>
  <c r="BP228" s="1"/>
  <c r="BI227"/>
  <c r="AW227"/>
  <c r="AV227"/>
  <c r="AU227"/>
  <c r="AR227"/>
  <c r="AK227"/>
  <c r="AI227"/>
  <c r="AH227"/>
  <c r="AC227"/>
  <c r="AB227"/>
  <c r="Z227"/>
  <c r="Y227"/>
  <c r="V227"/>
  <c r="AJ227" s="1"/>
  <c r="E227"/>
  <c r="BP227" s="1"/>
  <c r="BI226"/>
  <c r="AW226"/>
  <c r="AV226"/>
  <c r="AU226"/>
  <c r="AR226"/>
  <c r="AK226"/>
  <c r="AI226"/>
  <c r="AH226"/>
  <c r="AC226"/>
  <c r="AB226"/>
  <c r="Z226"/>
  <c r="Y226"/>
  <c r="V226"/>
  <c r="W226" s="1"/>
  <c r="E226"/>
  <c r="BP226" s="1"/>
  <c r="BI225"/>
  <c r="AW225"/>
  <c r="AV225"/>
  <c r="AU225"/>
  <c r="AR225"/>
  <c r="AK225"/>
  <c r="AI225"/>
  <c r="AH225"/>
  <c r="AC225"/>
  <c r="AB225"/>
  <c r="Z225"/>
  <c r="BO225" s="1"/>
  <c r="Y225"/>
  <c r="V225"/>
  <c r="AJ225" s="1"/>
  <c r="E225"/>
  <c r="BP225" s="1"/>
  <c r="BI224"/>
  <c r="AW224"/>
  <c r="AV224"/>
  <c r="AU224"/>
  <c r="AR224"/>
  <c r="AK224"/>
  <c r="AI224"/>
  <c r="AH224"/>
  <c r="AC224"/>
  <c r="AB224"/>
  <c r="Z224"/>
  <c r="Y224"/>
  <c r="V224"/>
  <c r="AJ224" s="1"/>
  <c r="E224"/>
  <c r="BP224" s="1"/>
  <c r="BI223"/>
  <c r="AW223"/>
  <c r="AV223"/>
  <c r="AU223"/>
  <c r="AR223"/>
  <c r="AK223"/>
  <c r="AI223"/>
  <c r="AH223"/>
  <c r="AC223"/>
  <c r="AB223"/>
  <c r="Z223"/>
  <c r="Y223"/>
  <c r="V223"/>
  <c r="E223"/>
  <c r="BP223" s="1"/>
  <c r="BI222"/>
  <c r="AW222"/>
  <c r="AV222"/>
  <c r="AU222"/>
  <c r="AR222"/>
  <c r="AK222"/>
  <c r="AI222"/>
  <c r="AH222"/>
  <c r="AC222"/>
  <c r="AB222"/>
  <c r="Z222"/>
  <c r="BO222" s="1"/>
  <c r="Y222"/>
  <c r="V222"/>
  <c r="X222" s="1"/>
  <c r="E222"/>
  <c r="BP222" s="1"/>
  <c r="BI221"/>
  <c r="AW221"/>
  <c r="AV221"/>
  <c r="AU221"/>
  <c r="AR221"/>
  <c r="AK221"/>
  <c r="AI221"/>
  <c r="AH221"/>
  <c r="AC221"/>
  <c r="AB221"/>
  <c r="Z221"/>
  <c r="Y221"/>
  <c r="V221"/>
  <c r="X221" s="1"/>
  <c r="E221"/>
  <c r="BP221" s="1"/>
  <c r="BI220"/>
  <c r="AW220"/>
  <c r="AV220"/>
  <c r="AU220"/>
  <c r="AR220"/>
  <c r="AK220"/>
  <c r="AI220"/>
  <c r="AH220"/>
  <c r="AC220"/>
  <c r="AB220"/>
  <c r="Z220"/>
  <c r="BO220" s="1"/>
  <c r="Y220"/>
  <c r="V220"/>
  <c r="AJ220" s="1"/>
  <c r="E220"/>
  <c r="BP220" s="1"/>
  <c r="BI219"/>
  <c r="AW219"/>
  <c r="AV219"/>
  <c r="AU219"/>
  <c r="AR219"/>
  <c r="AK219"/>
  <c r="AI219"/>
  <c r="AH219"/>
  <c r="AC219"/>
  <c r="AB219"/>
  <c r="Z219"/>
  <c r="BO219" s="1"/>
  <c r="Y219"/>
  <c r="V219"/>
  <c r="W219" s="1"/>
  <c r="AF219" s="1"/>
  <c r="E219"/>
  <c r="BP219" s="1"/>
  <c r="BI218"/>
  <c r="AW218"/>
  <c r="AV218"/>
  <c r="AU218"/>
  <c r="AR218"/>
  <c r="AK218"/>
  <c r="AI218"/>
  <c r="AH218"/>
  <c r="AC218"/>
  <c r="AB218"/>
  <c r="Z218"/>
  <c r="BO218" s="1"/>
  <c r="Y218"/>
  <c r="V218"/>
  <c r="E218"/>
  <c r="BP218" s="1"/>
  <c r="BI217"/>
  <c r="AW217"/>
  <c r="AV217"/>
  <c r="AU217"/>
  <c r="AR217"/>
  <c r="AK217"/>
  <c r="AI217"/>
  <c r="AH217"/>
  <c r="AC217"/>
  <c r="AB217"/>
  <c r="Z217"/>
  <c r="Y217"/>
  <c r="V217"/>
  <c r="X217" s="1"/>
  <c r="AG217" s="1"/>
  <c r="E217"/>
  <c r="BP217" s="1"/>
  <c r="BI216"/>
  <c r="AW216"/>
  <c r="AV216"/>
  <c r="AU216"/>
  <c r="AR216"/>
  <c r="AK216"/>
  <c r="AI216"/>
  <c r="AH216"/>
  <c r="AC216"/>
  <c r="AB216"/>
  <c r="Z216"/>
  <c r="BO216" s="1"/>
  <c r="Y216"/>
  <c r="V216"/>
  <c r="AJ216" s="1"/>
  <c r="E216"/>
  <c r="BP216" s="1"/>
  <c r="BI215"/>
  <c r="AW215"/>
  <c r="AV215"/>
  <c r="AU215"/>
  <c r="AR215"/>
  <c r="AK215"/>
  <c r="AI215"/>
  <c r="AH215"/>
  <c r="AC215"/>
  <c r="AB215"/>
  <c r="Z215"/>
  <c r="Y215"/>
  <c r="V215"/>
  <c r="AJ215" s="1"/>
  <c r="E215"/>
  <c r="BP215" s="1"/>
  <c r="BI214"/>
  <c r="AW214"/>
  <c r="AV214"/>
  <c r="AU214"/>
  <c r="AR214"/>
  <c r="AK214"/>
  <c r="AI214"/>
  <c r="AH214"/>
  <c r="AC214"/>
  <c r="AB214"/>
  <c r="Z214"/>
  <c r="BO214" s="1"/>
  <c r="Y214"/>
  <c r="V214"/>
  <c r="X214" s="1"/>
  <c r="E214"/>
  <c r="BP214" s="1"/>
  <c r="BI213"/>
  <c r="AW213"/>
  <c r="AV213"/>
  <c r="AU213"/>
  <c r="AR213"/>
  <c r="AK213"/>
  <c r="AI213"/>
  <c r="AH213"/>
  <c r="AC213"/>
  <c r="AB213"/>
  <c r="Z213"/>
  <c r="Y213"/>
  <c r="V213"/>
  <c r="W213" s="1"/>
  <c r="E213"/>
  <c r="BP213" s="1"/>
  <c r="BI212"/>
  <c r="AW212"/>
  <c r="AV212"/>
  <c r="AU212"/>
  <c r="AR212"/>
  <c r="AK212"/>
  <c r="AI212"/>
  <c r="AH212"/>
  <c r="AC212"/>
  <c r="AB212"/>
  <c r="Z212"/>
  <c r="BO212" s="1"/>
  <c r="Y212"/>
  <c r="V212"/>
  <c r="X212" s="1"/>
  <c r="E212"/>
  <c r="BP212" s="1"/>
  <c r="BI211"/>
  <c r="AW211"/>
  <c r="AV211"/>
  <c r="AU211"/>
  <c r="AR211"/>
  <c r="AK211"/>
  <c r="AI211"/>
  <c r="AH211"/>
  <c r="AC211"/>
  <c r="AB211"/>
  <c r="Z211"/>
  <c r="Y211"/>
  <c r="V211"/>
  <c r="AJ211" s="1"/>
  <c r="E211"/>
  <c r="BP211" s="1"/>
  <c r="BI210"/>
  <c r="AW210"/>
  <c r="AV210"/>
  <c r="AU210"/>
  <c r="AR210"/>
  <c r="AK210"/>
  <c r="AI210"/>
  <c r="AH210"/>
  <c r="AC210"/>
  <c r="AB210"/>
  <c r="Z210"/>
  <c r="BO210" s="1"/>
  <c r="Y210"/>
  <c r="V210"/>
  <c r="AJ210" s="1"/>
  <c r="E210"/>
  <c r="BP210" s="1"/>
  <c r="BI209"/>
  <c r="AW209"/>
  <c r="AV209"/>
  <c r="AU209"/>
  <c r="AR209"/>
  <c r="AK209"/>
  <c r="AI209"/>
  <c r="AH209"/>
  <c r="AC209"/>
  <c r="AB209"/>
  <c r="Z209"/>
  <c r="Y209"/>
  <c r="V209"/>
  <c r="AJ209" s="1"/>
  <c r="E209"/>
  <c r="BP209" s="1"/>
  <c r="BI208"/>
  <c r="AW208"/>
  <c r="AV208"/>
  <c r="AU208"/>
  <c r="AR208"/>
  <c r="AK208"/>
  <c r="AI208"/>
  <c r="AH208"/>
  <c r="AC208"/>
  <c r="AB208"/>
  <c r="Z208"/>
  <c r="Y208"/>
  <c r="V208"/>
  <c r="AJ208" s="1"/>
  <c r="E208"/>
  <c r="BP208" s="1"/>
  <c r="BI207"/>
  <c r="AW207"/>
  <c r="AV207"/>
  <c r="AU207"/>
  <c r="AR207"/>
  <c r="AK207"/>
  <c r="AI207"/>
  <c r="AH207"/>
  <c r="AC207"/>
  <c r="AB207"/>
  <c r="Z207"/>
  <c r="BO207" s="1"/>
  <c r="Y207"/>
  <c r="V207"/>
  <c r="AJ207" s="1"/>
  <c r="E207"/>
  <c r="BP207" s="1"/>
  <c r="BI206"/>
  <c r="AW206"/>
  <c r="AV206"/>
  <c r="AU206"/>
  <c r="AR206"/>
  <c r="AK206"/>
  <c r="AI206"/>
  <c r="AH206"/>
  <c r="AC206"/>
  <c r="AB206"/>
  <c r="Z206"/>
  <c r="Y206"/>
  <c r="V206"/>
  <c r="X206" s="1"/>
  <c r="E206"/>
  <c r="BP206" s="1"/>
  <c r="BI205"/>
  <c r="AW205"/>
  <c r="AV205"/>
  <c r="AU205"/>
  <c r="AR205"/>
  <c r="AK205"/>
  <c r="AI205"/>
  <c r="AH205"/>
  <c r="AC205"/>
  <c r="AB205"/>
  <c r="Z205"/>
  <c r="Y205"/>
  <c r="V205"/>
  <c r="X205" s="1"/>
  <c r="E205"/>
  <c r="BP205" s="1"/>
  <c r="BI204"/>
  <c r="AW204"/>
  <c r="AV204"/>
  <c r="AU204"/>
  <c r="AR204"/>
  <c r="AK204"/>
  <c r="AI204"/>
  <c r="AH204"/>
  <c r="AC204"/>
  <c r="AB204"/>
  <c r="Z204"/>
  <c r="Y204"/>
  <c r="V204"/>
  <c r="X204" s="1"/>
  <c r="E204"/>
  <c r="BP204" s="1"/>
  <c r="BI203"/>
  <c r="AW203"/>
  <c r="AV203"/>
  <c r="AU203"/>
  <c r="AR203"/>
  <c r="AK203"/>
  <c r="AI203"/>
  <c r="AH203"/>
  <c r="AC203"/>
  <c r="AB203"/>
  <c r="Z203"/>
  <c r="BO203" s="1"/>
  <c r="Y203"/>
  <c r="V203"/>
  <c r="AJ203" s="1"/>
  <c r="E203"/>
  <c r="BP203" s="1"/>
  <c r="BI202"/>
  <c r="AW202"/>
  <c r="AV202"/>
  <c r="AU202"/>
  <c r="AR202"/>
  <c r="AK202"/>
  <c r="AI202"/>
  <c r="AH202"/>
  <c r="AC202"/>
  <c r="AB202"/>
  <c r="Z202"/>
  <c r="Y202"/>
  <c r="V202"/>
  <c r="AJ202" s="1"/>
  <c r="E202"/>
  <c r="BP202" s="1"/>
  <c r="BI201"/>
  <c r="AW201"/>
  <c r="AV201"/>
  <c r="AU201"/>
  <c r="AR201"/>
  <c r="AK201"/>
  <c r="AI201"/>
  <c r="AH201"/>
  <c r="AC201"/>
  <c r="AB201"/>
  <c r="Z201"/>
  <c r="Y201"/>
  <c r="V201"/>
  <c r="X201" s="1"/>
  <c r="E201"/>
  <c r="BP201" s="1"/>
  <c r="BI200"/>
  <c r="AW200"/>
  <c r="AV200"/>
  <c r="AU200"/>
  <c r="AR200"/>
  <c r="AK200"/>
  <c r="AI200"/>
  <c r="AH200"/>
  <c r="AC200"/>
  <c r="AB200"/>
  <c r="Z200"/>
  <c r="BO200" s="1"/>
  <c r="Y200"/>
  <c r="V200"/>
  <c r="X200" s="1"/>
  <c r="E200"/>
  <c r="BP200" s="1"/>
  <c r="BI199"/>
  <c r="AW199"/>
  <c r="AV199"/>
  <c r="AU199"/>
  <c r="AR199"/>
  <c r="AK199"/>
  <c r="AI199"/>
  <c r="AH199"/>
  <c r="AC199"/>
  <c r="AB199"/>
  <c r="Z199"/>
  <c r="Y199"/>
  <c r="V199"/>
  <c r="AJ199" s="1"/>
  <c r="E199"/>
  <c r="BP199" s="1"/>
  <c r="BI198"/>
  <c r="AW198"/>
  <c r="AV198"/>
  <c r="AU198"/>
  <c r="AR198"/>
  <c r="AK198"/>
  <c r="AI198"/>
  <c r="AH198"/>
  <c r="AC198"/>
  <c r="AB198"/>
  <c r="Z198"/>
  <c r="BO198" s="1"/>
  <c r="Y198"/>
  <c r="V198"/>
  <c r="X198" s="1"/>
  <c r="E198"/>
  <c r="BP198" s="1"/>
  <c r="BI197"/>
  <c r="AW197"/>
  <c r="AV197"/>
  <c r="AU197"/>
  <c r="AR197"/>
  <c r="AK197"/>
  <c r="AI197"/>
  <c r="AH197"/>
  <c r="AC197"/>
  <c r="AB197"/>
  <c r="Z197"/>
  <c r="BO197" s="1"/>
  <c r="Y197"/>
  <c r="V197"/>
  <c r="X197" s="1"/>
  <c r="E197"/>
  <c r="BP197" s="1"/>
  <c r="BI196"/>
  <c r="AW196"/>
  <c r="AV196"/>
  <c r="AU196"/>
  <c r="AR196"/>
  <c r="AK196"/>
  <c r="AI196"/>
  <c r="AH196"/>
  <c r="AC196"/>
  <c r="AB196"/>
  <c r="Z196"/>
  <c r="Y196"/>
  <c r="V196"/>
  <c r="X196" s="1"/>
  <c r="E196"/>
  <c r="BP196" s="1"/>
  <c r="BI195"/>
  <c r="AW195"/>
  <c r="AV195"/>
  <c r="AU195"/>
  <c r="AR195"/>
  <c r="AK195"/>
  <c r="AI195"/>
  <c r="AH195"/>
  <c r="AC195"/>
  <c r="AB195"/>
  <c r="Z195"/>
  <c r="BO195" s="1"/>
  <c r="Y195"/>
  <c r="V195"/>
  <c r="AJ195" s="1"/>
  <c r="E195"/>
  <c r="BP195" s="1"/>
  <c r="BI194"/>
  <c r="AW194"/>
  <c r="AV194"/>
  <c r="AU194"/>
  <c r="AR194"/>
  <c r="AK194"/>
  <c r="AI194"/>
  <c r="AH194"/>
  <c r="AC194"/>
  <c r="AB194"/>
  <c r="Z194"/>
  <c r="Y194"/>
  <c r="V194"/>
  <c r="AJ194" s="1"/>
  <c r="E194"/>
  <c r="BP194" s="1"/>
  <c r="BI193"/>
  <c r="AW193"/>
  <c r="AV193"/>
  <c r="AU193"/>
  <c r="AR193"/>
  <c r="AK193"/>
  <c r="AI193"/>
  <c r="AH193"/>
  <c r="AC193"/>
  <c r="AB193"/>
  <c r="Z193"/>
  <c r="BO193" s="1"/>
  <c r="Y193"/>
  <c r="V193"/>
  <c r="AJ193" s="1"/>
  <c r="E193"/>
  <c r="BP193" s="1"/>
  <c r="BI192"/>
  <c r="AW192"/>
  <c r="AV192"/>
  <c r="AU192"/>
  <c r="AR192"/>
  <c r="AK192"/>
  <c r="AI192"/>
  <c r="AH192"/>
  <c r="AC192"/>
  <c r="AB192"/>
  <c r="Z192"/>
  <c r="BO192" s="1"/>
  <c r="Y192"/>
  <c r="V192"/>
  <c r="X192" s="1"/>
  <c r="E192"/>
  <c r="BP192" s="1"/>
  <c r="BI191"/>
  <c r="AW191"/>
  <c r="AV191"/>
  <c r="AU191"/>
  <c r="AR191"/>
  <c r="AK191"/>
  <c r="AI191"/>
  <c r="AH191"/>
  <c r="AC191"/>
  <c r="AB191"/>
  <c r="Z191"/>
  <c r="BO191" s="1"/>
  <c r="Y191"/>
  <c r="V191"/>
  <c r="X191" s="1"/>
  <c r="E191"/>
  <c r="BP191" s="1"/>
  <c r="BI190"/>
  <c r="AW190"/>
  <c r="AV190"/>
  <c r="AU190"/>
  <c r="AR190"/>
  <c r="AK190"/>
  <c r="AI190"/>
  <c r="AH190"/>
  <c r="AC190"/>
  <c r="AB190"/>
  <c r="Z190"/>
  <c r="Y190"/>
  <c r="V190"/>
  <c r="X190" s="1"/>
  <c r="E190"/>
  <c r="BP190" s="1"/>
  <c r="BI189"/>
  <c r="AW189"/>
  <c r="AV189"/>
  <c r="AU189"/>
  <c r="AR189"/>
  <c r="AK189"/>
  <c r="AI189"/>
  <c r="AH189"/>
  <c r="AC189"/>
  <c r="AB189"/>
  <c r="Z189"/>
  <c r="BO189" s="1"/>
  <c r="Y189"/>
  <c r="V189"/>
  <c r="X189" s="1"/>
  <c r="E189"/>
  <c r="BP189" s="1"/>
  <c r="BI188"/>
  <c r="AW188"/>
  <c r="AV188"/>
  <c r="AU188"/>
  <c r="AR188"/>
  <c r="AK188"/>
  <c r="AI188"/>
  <c r="AH188"/>
  <c r="AC188"/>
  <c r="AB188"/>
  <c r="Z188"/>
  <c r="BO188" s="1"/>
  <c r="Y188"/>
  <c r="V188"/>
  <c r="X188" s="1"/>
  <c r="W188" s="1"/>
  <c r="E188"/>
  <c r="BP188" s="1"/>
  <c r="BI187"/>
  <c r="AW187"/>
  <c r="AV187"/>
  <c r="AU187"/>
  <c r="AR187"/>
  <c r="AK187"/>
  <c r="AI187"/>
  <c r="AH187"/>
  <c r="AC187"/>
  <c r="AB187"/>
  <c r="Z187"/>
  <c r="Y187"/>
  <c r="V187"/>
  <c r="X187" s="1"/>
  <c r="E187"/>
  <c r="BP187" s="1"/>
  <c r="BI186"/>
  <c r="AW186"/>
  <c r="AV186"/>
  <c r="AU186"/>
  <c r="AR186"/>
  <c r="AK186"/>
  <c r="AI186"/>
  <c r="AH186"/>
  <c r="AC186"/>
  <c r="AB186"/>
  <c r="Z186"/>
  <c r="BO186" s="1"/>
  <c r="Y186"/>
  <c r="X186"/>
  <c r="W186" s="1"/>
  <c r="V186"/>
  <c r="AJ186" s="1"/>
  <c r="E186"/>
  <c r="BP186" s="1"/>
  <c r="BI185"/>
  <c r="AW185"/>
  <c r="AV185"/>
  <c r="AU185"/>
  <c r="AR185"/>
  <c r="AK185"/>
  <c r="AI185"/>
  <c r="AH185"/>
  <c r="AC185"/>
  <c r="AB185"/>
  <c r="AE185" s="1"/>
  <c r="Z185"/>
  <c r="BO185" s="1"/>
  <c r="Y185"/>
  <c r="V185"/>
  <c r="X185" s="1"/>
  <c r="E185"/>
  <c r="BP185" s="1"/>
  <c r="BI184"/>
  <c r="AW184"/>
  <c r="AV184"/>
  <c r="AU184"/>
  <c r="AR184"/>
  <c r="AK184"/>
  <c r="AI184"/>
  <c r="AH184"/>
  <c r="AC184"/>
  <c r="AB184"/>
  <c r="Z184"/>
  <c r="BO184" s="1"/>
  <c r="Y184"/>
  <c r="V184"/>
  <c r="AJ184" s="1"/>
  <c r="E184"/>
  <c r="BP184" s="1"/>
  <c r="BI183"/>
  <c r="AW183"/>
  <c r="AV183"/>
  <c r="AU183"/>
  <c r="AR183"/>
  <c r="AK183"/>
  <c r="AI183"/>
  <c r="AH183"/>
  <c r="AC183"/>
  <c r="AB183"/>
  <c r="Z183"/>
  <c r="Y183"/>
  <c r="V183"/>
  <c r="AJ183" s="1"/>
  <c r="E183"/>
  <c r="BP183" s="1"/>
  <c r="BI182"/>
  <c r="AW182"/>
  <c r="AV182"/>
  <c r="AU182"/>
  <c r="AR182"/>
  <c r="AK182"/>
  <c r="AI182"/>
  <c r="AH182"/>
  <c r="AC182"/>
  <c r="AB182"/>
  <c r="Z182"/>
  <c r="BO182" s="1"/>
  <c r="Y182"/>
  <c r="V182"/>
  <c r="AJ182" s="1"/>
  <c r="E182"/>
  <c r="BP182" s="1"/>
  <c r="BI181"/>
  <c r="AW181"/>
  <c r="AV181"/>
  <c r="AU181"/>
  <c r="AR181"/>
  <c r="AK181"/>
  <c r="AI181"/>
  <c r="AH181"/>
  <c r="AC181"/>
  <c r="AB181"/>
  <c r="Z181"/>
  <c r="BO181" s="1"/>
  <c r="Y181"/>
  <c r="V181"/>
  <c r="E181"/>
  <c r="BP181" s="1"/>
  <c r="BI180"/>
  <c r="AW180"/>
  <c r="AV180"/>
  <c r="AU180"/>
  <c r="AR180"/>
  <c r="AK180"/>
  <c r="AI180"/>
  <c r="AH180"/>
  <c r="AC180"/>
  <c r="AB180"/>
  <c r="Z180"/>
  <c r="BO180" s="1"/>
  <c r="Y180"/>
  <c r="V180"/>
  <c r="AJ180" s="1"/>
  <c r="E180"/>
  <c r="BP180" s="1"/>
  <c r="BI179"/>
  <c r="AW179"/>
  <c r="AV179"/>
  <c r="AU179"/>
  <c r="AR179"/>
  <c r="AK179"/>
  <c r="AI179"/>
  <c r="AH179"/>
  <c r="AC179"/>
  <c r="AB179"/>
  <c r="Z179"/>
  <c r="BO179" s="1"/>
  <c r="Y179"/>
  <c r="V179"/>
  <c r="X179" s="1"/>
  <c r="E179"/>
  <c r="BP179" s="1"/>
  <c r="BI178"/>
  <c r="AW178"/>
  <c r="AV178"/>
  <c r="AU178"/>
  <c r="AR178"/>
  <c r="AK178"/>
  <c r="AI178"/>
  <c r="AH178"/>
  <c r="AC178"/>
  <c r="AB178"/>
  <c r="Z178"/>
  <c r="BO178" s="1"/>
  <c r="Y178"/>
  <c r="V178"/>
  <c r="AJ178" s="1"/>
  <c r="E178"/>
  <c r="BP178" s="1"/>
  <c r="BI177"/>
  <c r="AW177"/>
  <c r="AV177"/>
  <c r="AU177"/>
  <c r="AR177"/>
  <c r="AK177"/>
  <c r="AI177"/>
  <c r="AH177"/>
  <c r="AC177"/>
  <c r="AB177"/>
  <c r="Z177"/>
  <c r="Y177"/>
  <c r="V177"/>
  <c r="X177" s="1"/>
  <c r="E177"/>
  <c r="BP177" s="1"/>
  <c r="BI176"/>
  <c r="AW176"/>
  <c r="AV176"/>
  <c r="AU176"/>
  <c r="AR176"/>
  <c r="AK176"/>
  <c r="AI176"/>
  <c r="AH176"/>
  <c r="AC176"/>
  <c r="AB176"/>
  <c r="Z176"/>
  <c r="BO176" s="1"/>
  <c r="Y176"/>
  <c r="V176"/>
  <c r="AJ176" s="1"/>
  <c r="E176"/>
  <c r="BP176" s="1"/>
  <c r="BI175"/>
  <c r="AW175"/>
  <c r="AV175"/>
  <c r="AU175"/>
  <c r="AR175"/>
  <c r="AK175"/>
  <c r="AI175"/>
  <c r="AH175"/>
  <c r="AC175"/>
  <c r="AB175"/>
  <c r="Z175"/>
  <c r="BO175" s="1"/>
  <c r="Y175"/>
  <c r="V175"/>
  <c r="AJ175" s="1"/>
  <c r="E175"/>
  <c r="BP175" s="1"/>
  <c r="BI174"/>
  <c r="AW174"/>
  <c r="AV174"/>
  <c r="AU174"/>
  <c r="AR174"/>
  <c r="AK174"/>
  <c r="AI174"/>
  <c r="AH174"/>
  <c r="AC174"/>
  <c r="AB174"/>
  <c r="Z174"/>
  <c r="Y174"/>
  <c r="V174"/>
  <c r="AJ174" s="1"/>
  <c r="E174"/>
  <c r="BP174" s="1"/>
  <c r="BI173"/>
  <c r="AW173"/>
  <c r="AV173"/>
  <c r="AU173"/>
  <c r="AR173"/>
  <c r="AK173"/>
  <c r="AI173"/>
  <c r="AH173"/>
  <c r="AC173"/>
  <c r="AB173"/>
  <c r="Z173"/>
  <c r="BO173" s="1"/>
  <c r="Y173"/>
  <c r="V173"/>
  <c r="AJ173" s="1"/>
  <c r="E173"/>
  <c r="BP173" s="1"/>
  <c r="BI172"/>
  <c r="AW172"/>
  <c r="AV172"/>
  <c r="AU172"/>
  <c r="AR172"/>
  <c r="AK172"/>
  <c r="AI172"/>
  <c r="AH172"/>
  <c r="AC172"/>
  <c r="AB172"/>
  <c r="Z172"/>
  <c r="Y172"/>
  <c r="V172"/>
  <c r="AJ172" s="1"/>
  <c r="E172"/>
  <c r="BP172" s="1"/>
  <c r="BI171"/>
  <c r="AW171"/>
  <c r="AV171"/>
  <c r="AU171"/>
  <c r="AR171"/>
  <c r="AK171"/>
  <c r="AI171"/>
  <c r="AH171"/>
  <c r="AC171"/>
  <c r="AB171"/>
  <c r="Z171"/>
  <c r="BO171" s="1"/>
  <c r="Y171"/>
  <c r="V171"/>
  <c r="X171" s="1"/>
  <c r="E171"/>
  <c r="BP171" s="1"/>
  <c r="BI170"/>
  <c r="AW170"/>
  <c r="AV170"/>
  <c r="AU170"/>
  <c r="AR170"/>
  <c r="AK170"/>
  <c r="AI170"/>
  <c r="AH170"/>
  <c r="AC170"/>
  <c r="AB170"/>
  <c r="Z170"/>
  <c r="Y170"/>
  <c r="V170"/>
  <c r="X170" s="1"/>
  <c r="E170"/>
  <c r="BP170" s="1"/>
  <c r="BI169"/>
  <c r="AW169"/>
  <c r="AV169"/>
  <c r="AU169"/>
  <c r="AR169"/>
  <c r="AK169"/>
  <c r="AI169"/>
  <c r="AH169"/>
  <c r="AC169"/>
  <c r="AB169"/>
  <c r="Z169"/>
  <c r="BO169" s="1"/>
  <c r="Y169"/>
  <c r="X169"/>
  <c r="W169" s="1"/>
  <c r="V169"/>
  <c r="AJ169" s="1"/>
  <c r="E169"/>
  <c r="BP169" s="1"/>
  <c r="BI168"/>
  <c r="AW168"/>
  <c r="AV168"/>
  <c r="AU168"/>
  <c r="AR168"/>
  <c r="AK168"/>
  <c r="AI168"/>
  <c r="AH168"/>
  <c r="AC168"/>
  <c r="AB168"/>
  <c r="AE168" s="1"/>
  <c r="Z168"/>
  <c r="BO168" s="1"/>
  <c r="Y168"/>
  <c r="V168"/>
  <c r="X168" s="1"/>
  <c r="E168"/>
  <c r="BP168" s="1"/>
  <c r="BI167"/>
  <c r="AW167"/>
  <c r="AV167"/>
  <c r="AU167"/>
  <c r="AR167"/>
  <c r="AK167"/>
  <c r="AI167"/>
  <c r="AH167"/>
  <c r="AC167"/>
  <c r="AB167"/>
  <c r="Z167"/>
  <c r="BO167" s="1"/>
  <c r="Y167"/>
  <c r="V167"/>
  <c r="AJ167" s="1"/>
  <c r="E167"/>
  <c r="BP167" s="1"/>
  <c r="BI166"/>
  <c r="BH166"/>
  <c r="AW166"/>
  <c r="AV166"/>
  <c r="AU166"/>
  <c r="AR166"/>
  <c r="AK166"/>
  <c r="AI166"/>
  <c r="AH166"/>
  <c r="AC166"/>
  <c r="AB166"/>
  <c r="AA166"/>
  <c r="Z166"/>
  <c r="Y166"/>
  <c r="V166"/>
  <c r="AJ166" s="1"/>
  <c r="E166"/>
  <c r="BP166" s="1"/>
  <c r="BI165"/>
  <c r="AW165"/>
  <c r="AV165"/>
  <c r="AU165"/>
  <c r="AR165"/>
  <c r="AK165"/>
  <c r="AI165"/>
  <c r="AH165"/>
  <c r="AC165"/>
  <c r="AB165"/>
  <c r="AE165" s="1"/>
  <c r="Z165"/>
  <c r="Y165"/>
  <c r="V165"/>
  <c r="AJ165" s="1"/>
  <c r="E165"/>
  <c r="BP165" s="1"/>
  <c r="BI164"/>
  <c r="BH164"/>
  <c r="AW164"/>
  <c r="AV164"/>
  <c r="AU164"/>
  <c r="AR164"/>
  <c r="AK164"/>
  <c r="AI164"/>
  <c r="AH164"/>
  <c r="AC164"/>
  <c r="AB164"/>
  <c r="AA164"/>
  <c r="Z164"/>
  <c r="Y164"/>
  <c r="V164"/>
  <c r="AJ164" s="1"/>
  <c r="E164"/>
  <c r="BP164" s="1"/>
  <c r="BI163"/>
  <c r="AW163"/>
  <c r="AV163"/>
  <c r="AU163"/>
  <c r="AR163"/>
  <c r="AK163"/>
  <c r="AI163"/>
  <c r="AH163"/>
  <c r="AC163"/>
  <c r="AB163"/>
  <c r="AE163" s="1"/>
  <c r="Z163"/>
  <c r="BO163" s="1"/>
  <c r="Y163"/>
  <c r="V163"/>
  <c r="AJ163" s="1"/>
  <c r="E163"/>
  <c r="BP163" s="1"/>
  <c r="BI162"/>
  <c r="AW162"/>
  <c r="AV162"/>
  <c r="AU162"/>
  <c r="AR162"/>
  <c r="AK162"/>
  <c r="AI162"/>
  <c r="AH162"/>
  <c r="AC162"/>
  <c r="AB162"/>
  <c r="AE162" s="1"/>
  <c r="Z162"/>
  <c r="Y162"/>
  <c r="V162"/>
  <c r="AJ162" s="1"/>
  <c r="E162"/>
  <c r="BP162" s="1"/>
  <c r="BI161"/>
  <c r="AW161"/>
  <c r="AV161"/>
  <c r="AU161"/>
  <c r="AR161"/>
  <c r="AK161"/>
  <c r="AI161"/>
  <c r="AH161"/>
  <c r="AC161"/>
  <c r="AB161"/>
  <c r="Z161"/>
  <c r="BO161" s="1"/>
  <c r="Y161"/>
  <c r="V161"/>
  <c r="AJ161" s="1"/>
  <c r="E161"/>
  <c r="BP161" s="1"/>
  <c r="BI160"/>
  <c r="BH160"/>
  <c r="AW160"/>
  <c r="AV160"/>
  <c r="AU160"/>
  <c r="AR160"/>
  <c r="AK160"/>
  <c r="AI160"/>
  <c r="AH160"/>
  <c r="AC160"/>
  <c r="AB160"/>
  <c r="AA160"/>
  <c r="Z160"/>
  <c r="Y160"/>
  <c r="V160"/>
  <c r="X160" s="1"/>
  <c r="E160"/>
  <c r="BP160" s="1"/>
  <c r="BI159"/>
  <c r="AW159"/>
  <c r="AV159"/>
  <c r="AU159"/>
  <c r="AR159"/>
  <c r="AK159"/>
  <c r="AI159"/>
  <c r="AH159"/>
  <c r="AC159"/>
  <c r="AB159"/>
  <c r="AE159" s="1"/>
  <c r="Z159"/>
  <c r="BO159" s="1"/>
  <c r="Y159"/>
  <c r="V159"/>
  <c r="AJ159" s="1"/>
  <c r="E159"/>
  <c r="BP159" s="1"/>
  <c r="BI158"/>
  <c r="AW158"/>
  <c r="AV158"/>
  <c r="AU158"/>
  <c r="AR158"/>
  <c r="AK158"/>
  <c r="AI158"/>
  <c r="AH158"/>
  <c r="AC158"/>
  <c r="AB158"/>
  <c r="AE158" s="1"/>
  <c r="Z158"/>
  <c r="Y158"/>
  <c r="V158"/>
  <c r="X158" s="1"/>
  <c r="E158"/>
  <c r="BP158" s="1"/>
  <c r="BI157"/>
  <c r="AW157"/>
  <c r="AV157"/>
  <c r="AU157"/>
  <c r="AR157"/>
  <c r="AK157"/>
  <c r="AI157"/>
  <c r="AH157"/>
  <c r="AC157"/>
  <c r="AB157"/>
  <c r="Z157"/>
  <c r="BO157" s="1"/>
  <c r="Y157"/>
  <c r="V157"/>
  <c r="E157"/>
  <c r="BP157" s="1"/>
  <c r="BI156"/>
  <c r="AW156"/>
  <c r="AV156"/>
  <c r="AU156"/>
  <c r="AR156"/>
  <c r="AK156"/>
  <c r="AI156"/>
  <c r="AH156"/>
  <c r="AC156"/>
  <c r="AB156"/>
  <c r="Z156"/>
  <c r="BO156" s="1"/>
  <c r="Y156"/>
  <c r="V156"/>
  <c r="AJ156" s="1"/>
  <c r="E156"/>
  <c r="BP156" s="1"/>
  <c r="BI155"/>
  <c r="AW155"/>
  <c r="AV155"/>
  <c r="AU155"/>
  <c r="AR155"/>
  <c r="AK155"/>
  <c r="AI155"/>
  <c r="AH155"/>
  <c r="AC155"/>
  <c r="AB155"/>
  <c r="Z155"/>
  <c r="BO155" s="1"/>
  <c r="Y155"/>
  <c r="V155"/>
  <c r="X155" s="1"/>
  <c r="E155"/>
  <c r="BP155" s="1"/>
  <c r="BI154"/>
  <c r="AW154"/>
  <c r="AV154"/>
  <c r="AU154"/>
  <c r="AR154"/>
  <c r="AK154"/>
  <c r="AI154"/>
  <c r="AH154"/>
  <c r="AC154"/>
  <c r="AB154"/>
  <c r="Z154"/>
  <c r="BO154" s="1"/>
  <c r="Y154"/>
  <c r="V154"/>
  <c r="X154" s="1"/>
  <c r="AG154" s="1"/>
  <c r="E154"/>
  <c r="BP154" s="1"/>
  <c r="BI153"/>
  <c r="AW153"/>
  <c r="AV153"/>
  <c r="AU153"/>
  <c r="AR153"/>
  <c r="AK153"/>
  <c r="AI153"/>
  <c r="AH153"/>
  <c r="AC153"/>
  <c r="AB153"/>
  <c r="Z153"/>
  <c r="BO153" s="1"/>
  <c r="Y153"/>
  <c r="V153"/>
  <c r="X153" s="1"/>
  <c r="E153"/>
  <c r="BP153" s="1"/>
  <c r="BI152"/>
  <c r="AW152"/>
  <c r="AV152"/>
  <c r="AU152"/>
  <c r="AR152"/>
  <c r="AK152"/>
  <c r="AI152"/>
  <c r="AH152"/>
  <c r="AC152"/>
  <c r="AB152"/>
  <c r="Z152"/>
  <c r="Y152"/>
  <c r="V152"/>
  <c r="X152" s="1"/>
  <c r="E152"/>
  <c r="BP152" s="1"/>
  <c r="BI151"/>
  <c r="AW151"/>
  <c r="AV151"/>
  <c r="AU151"/>
  <c r="AR151"/>
  <c r="AK151"/>
  <c r="AI151"/>
  <c r="AH151"/>
  <c r="AC151"/>
  <c r="AB151"/>
  <c r="Z151"/>
  <c r="BO151" s="1"/>
  <c r="Y151"/>
  <c r="V151"/>
  <c r="X151" s="1"/>
  <c r="E151"/>
  <c r="BP151" s="1"/>
  <c r="BI150"/>
  <c r="AW150"/>
  <c r="AV150"/>
  <c r="AU150"/>
  <c r="AR150"/>
  <c r="AK150"/>
  <c r="AI150"/>
  <c r="AH150"/>
  <c r="AC150"/>
  <c r="AB150"/>
  <c r="Z150"/>
  <c r="BO150" s="1"/>
  <c r="Y150"/>
  <c r="V150"/>
  <c r="X150" s="1"/>
  <c r="AG150" s="1"/>
  <c r="E150"/>
  <c r="BP150" s="1"/>
  <c r="BI149"/>
  <c r="AW149"/>
  <c r="AV149"/>
  <c r="AU149"/>
  <c r="AR149"/>
  <c r="AK149"/>
  <c r="AI149"/>
  <c r="AH149"/>
  <c r="AC149"/>
  <c r="AB149"/>
  <c r="Z149"/>
  <c r="BO149" s="1"/>
  <c r="Y149"/>
  <c r="V149"/>
  <c r="X149" s="1"/>
  <c r="E149"/>
  <c r="BP149" s="1"/>
  <c r="BI148"/>
  <c r="AW148"/>
  <c r="AV148"/>
  <c r="AU148"/>
  <c r="AR148"/>
  <c r="AK148"/>
  <c r="AI148"/>
  <c r="AH148"/>
  <c r="AC148"/>
  <c r="AB148"/>
  <c r="Z148"/>
  <c r="Y148"/>
  <c r="V148"/>
  <c r="AJ148" s="1"/>
  <c r="E148"/>
  <c r="BP148" s="1"/>
  <c r="BI147"/>
  <c r="AW147"/>
  <c r="AV147"/>
  <c r="AU147"/>
  <c r="AR147"/>
  <c r="AK147"/>
  <c r="AI147"/>
  <c r="AH147"/>
  <c r="AC147"/>
  <c r="AB147"/>
  <c r="Z147"/>
  <c r="BO147" s="1"/>
  <c r="Y147"/>
  <c r="V147"/>
  <c r="AJ147" s="1"/>
  <c r="E147"/>
  <c r="BP147" s="1"/>
  <c r="BI146"/>
  <c r="AW146"/>
  <c r="AV146"/>
  <c r="AU146"/>
  <c r="AR146"/>
  <c r="AK146"/>
  <c r="AI146"/>
  <c r="AH146"/>
  <c r="AC146"/>
  <c r="AB146"/>
  <c r="Z146"/>
  <c r="Y146"/>
  <c r="V146"/>
  <c r="AJ146" s="1"/>
  <c r="E146"/>
  <c r="BP146" s="1"/>
  <c r="BI145"/>
  <c r="AW145"/>
  <c r="AV145"/>
  <c r="AU145"/>
  <c r="AR145"/>
  <c r="AK145"/>
  <c r="AI145"/>
  <c r="AH145"/>
  <c r="AC145"/>
  <c r="AB145"/>
  <c r="Z145"/>
  <c r="Y145"/>
  <c r="V145"/>
  <c r="AJ145" s="1"/>
  <c r="E145"/>
  <c r="BP145" s="1"/>
  <c r="BI144"/>
  <c r="AW144"/>
  <c r="AV144"/>
  <c r="AU144"/>
  <c r="AR144"/>
  <c r="AK144"/>
  <c r="AI144"/>
  <c r="AH144"/>
  <c r="AC144"/>
  <c r="AB144"/>
  <c r="Z144"/>
  <c r="BO144" s="1"/>
  <c r="Y144"/>
  <c r="V144"/>
  <c r="X144" s="1"/>
  <c r="E144"/>
  <c r="BP144" s="1"/>
  <c r="BI143"/>
  <c r="AW143"/>
  <c r="AV143"/>
  <c r="AU143"/>
  <c r="AR143"/>
  <c r="AK143"/>
  <c r="AI143"/>
  <c r="AH143"/>
  <c r="AC143"/>
  <c r="AB143"/>
  <c r="Z143"/>
  <c r="Y143"/>
  <c r="V143"/>
  <c r="X143" s="1"/>
  <c r="E143"/>
  <c r="BP143" s="1"/>
  <c r="BI142"/>
  <c r="AW142"/>
  <c r="AV142"/>
  <c r="AU142"/>
  <c r="AR142"/>
  <c r="AK142"/>
  <c r="AI142"/>
  <c r="AH142"/>
  <c r="AC142"/>
  <c r="AB142"/>
  <c r="Z142"/>
  <c r="BO142" s="1"/>
  <c r="Y142"/>
  <c r="V142"/>
  <c r="AJ142" s="1"/>
  <c r="E142"/>
  <c r="BP142" s="1"/>
  <c r="BI141"/>
  <c r="AW141"/>
  <c r="AV141"/>
  <c r="AU141"/>
  <c r="AR141"/>
  <c r="AK141"/>
  <c r="AI141"/>
  <c r="AH141"/>
  <c r="AC141"/>
  <c r="AB141"/>
  <c r="Z141"/>
  <c r="Y141"/>
  <c r="V141"/>
  <c r="AJ141" s="1"/>
  <c r="E141"/>
  <c r="BP141" s="1"/>
  <c r="BI140"/>
  <c r="AW140"/>
  <c r="AV140"/>
  <c r="AU140"/>
  <c r="AR140"/>
  <c r="AK140"/>
  <c r="AI140"/>
  <c r="AH140"/>
  <c r="AC140"/>
  <c r="AB140"/>
  <c r="Z140"/>
  <c r="Y140"/>
  <c r="V140"/>
  <c r="E140"/>
  <c r="BP140" s="1"/>
  <c r="BI139"/>
  <c r="AW139"/>
  <c r="AV139"/>
  <c r="AU139"/>
  <c r="AR139"/>
  <c r="AK139"/>
  <c r="AI139"/>
  <c r="AH139"/>
  <c r="AC139"/>
  <c r="AB139"/>
  <c r="AA139"/>
  <c r="Z139"/>
  <c r="BO139" s="1"/>
  <c r="Y139"/>
  <c r="V139"/>
  <c r="E139"/>
  <c r="BP139" s="1"/>
  <c r="BI138"/>
  <c r="AW138"/>
  <c r="AV138"/>
  <c r="AU138"/>
  <c r="AR138"/>
  <c r="AK138"/>
  <c r="AI138"/>
  <c r="AH138"/>
  <c r="AC138"/>
  <c r="AB138"/>
  <c r="Z138"/>
  <c r="Y138"/>
  <c r="V138"/>
  <c r="X138" s="1"/>
  <c r="E138"/>
  <c r="BP138" s="1"/>
  <c r="BI137"/>
  <c r="BH137"/>
  <c r="AW137"/>
  <c r="AV137"/>
  <c r="AU137"/>
  <c r="AR137"/>
  <c r="AK137"/>
  <c r="AI137"/>
  <c r="AH137"/>
  <c r="AC137"/>
  <c r="AB137"/>
  <c r="AA137"/>
  <c r="Z137"/>
  <c r="Y137"/>
  <c r="V137"/>
  <c r="X137" s="1"/>
  <c r="E137"/>
  <c r="BP137" s="1"/>
  <c r="BI136"/>
  <c r="AW136"/>
  <c r="AV136"/>
  <c r="AU136"/>
  <c r="AR136"/>
  <c r="AK136"/>
  <c r="AI136"/>
  <c r="AH136"/>
  <c r="AC136"/>
  <c r="AB136"/>
  <c r="Z136"/>
  <c r="Y136"/>
  <c r="V136"/>
  <c r="X136" s="1"/>
  <c r="E136"/>
  <c r="BP136" s="1"/>
  <c r="BI135"/>
  <c r="AW135"/>
  <c r="AV135"/>
  <c r="AU135"/>
  <c r="AR135"/>
  <c r="AK135"/>
  <c r="AI135"/>
  <c r="AH135"/>
  <c r="AC135"/>
  <c r="AB135"/>
  <c r="AA135"/>
  <c r="Z135"/>
  <c r="Y135"/>
  <c r="V135"/>
  <c r="X135" s="1"/>
  <c r="E135"/>
  <c r="BP135" s="1"/>
  <c r="BI134"/>
  <c r="AW134"/>
  <c r="AV134"/>
  <c r="AU134"/>
  <c r="AR134"/>
  <c r="AK134"/>
  <c r="AI134"/>
  <c r="AH134"/>
  <c r="AC134"/>
  <c r="AB134"/>
  <c r="AE134" s="1"/>
  <c r="Z134"/>
  <c r="Y134"/>
  <c r="V134"/>
  <c r="X134" s="1"/>
  <c r="E134"/>
  <c r="BP134" s="1"/>
  <c r="BI133"/>
  <c r="AW133"/>
  <c r="AV133"/>
  <c r="AU133"/>
  <c r="AR133"/>
  <c r="AK133"/>
  <c r="AI133"/>
  <c r="AH133"/>
  <c r="AC133"/>
  <c r="AB133"/>
  <c r="AA133"/>
  <c r="Z133"/>
  <c r="Y133"/>
  <c r="V133"/>
  <c r="X133" s="1"/>
  <c r="E133"/>
  <c r="BP133" s="1"/>
  <c r="BI132"/>
  <c r="AW132"/>
  <c r="AV132"/>
  <c r="AU132"/>
  <c r="AR132"/>
  <c r="AK132"/>
  <c r="AI132"/>
  <c r="AH132"/>
  <c r="AC132"/>
  <c r="AB132"/>
  <c r="AE132" s="1"/>
  <c r="Z132"/>
  <c r="Y132"/>
  <c r="V132"/>
  <c r="X132" s="1"/>
  <c r="E132"/>
  <c r="BP132" s="1"/>
  <c r="BI131"/>
  <c r="AW131"/>
  <c r="AV131"/>
  <c r="AU131"/>
  <c r="AR131"/>
  <c r="AK131"/>
  <c r="AI131"/>
  <c r="AH131"/>
  <c r="AC131"/>
  <c r="AB131"/>
  <c r="Z131"/>
  <c r="BO131" s="1"/>
  <c r="Y131"/>
  <c r="V131"/>
  <c r="X131" s="1"/>
  <c r="W131" s="1"/>
  <c r="E131"/>
  <c r="BP131" s="1"/>
  <c r="BI130"/>
  <c r="AW130"/>
  <c r="AV130"/>
  <c r="AU130"/>
  <c r="AR130"/>
  <c r="AK130"/>
  <c r="AI130"/>
  <c r="AH130"/>
  <c r="AC130"/>
  <c r="AB130"/>
  <c r="Z130"/>
  <c r="Y130"/>
  <c r="V130"/>
  <c r="AJ130" s="1"/>
  <c r="E130"/>
  <c r="BP130" s="1"/>
  <c r="BI129"/>
  <c r="AW129"/>
  <c r="AV129"/>
  <c r="AU129"/>
  <c r="AR129"/>
  <c r="AK129"/>
  <c r="AI129"/>
  <c r="AH129"/>
  <c r="AC129"/>
  <c r="AB129"/>
  <c r="Z129"/>
  <c r="Y129"/>
  <c r="V129"/>
  <c r="X129" s="1"/>
  <c r="E129"/>
  <c r="BP129" s="1"/>
  <c r="BI128"/>
  <c r="AW128"/>
  <c r="AV128"/>
  <c r="AU128"/>
  <c r="AR128"/>
  <c r="AK128"/>
  <c r="AI128"/>
  <c r="AH128"/>
  <c r="AC128"/>
  <c r="AB128"/>
  <c r="Z128"/>
  <c r="Y128"/>
  <c r="V128"/>
  <c r="X128" s="1"/>
  <c r="E128"/>
  <c r="BP128" s="1"/>
  <c r="BI127"/>
  <c r="AW127"/>
  <c r="AV127"/>
  <c r="AU127"/>
  <c r="AR127"/>
  <c r="AK127"/>
  <c r="AI127"/>
  <c r="AH127"/>
  <c r="AC127"/>
  <c r="AB127"/>
  <c r="Z127"/>
  <c r="BO127" s="1"/>
  <c r="Y127"/>
  <c r="V127"/>
  <c r="AJ127" s="1"/>
  <c r="E127"/>
  <c r="BP127" s="1"/>
  <c r="BI126"/>
  <c r="AW126"/>
  <c r="AV126"/>
  <c r="AU126"/>
  <c r="AR126"/>
  <c r="AK126"/>
  <c r="AH126"/>
  <c r="AC126"/>
  <c r="AB126"/>
  <c r="AE126" s="1"/>
  <c r="Z126"/>
  <c r="Y126"/>
  <c r="V126"/>
  <c r="X126" s="1"/>
  <c r="E126"/>
  <c r="BP126" s="1"/>
  <c r="BI125"/>
  <c r="AW125"/>
  <c r="AV125"/>
  <c r="AU125"/>
  <c r="AR125"/>
  <c r="AK125"/>
  <c r="AH125"/>
  <c r="AC125"/>
  <c r="AB125"/>
  <c r="Z125"/>
  <c r="BO125" s="1"/>
  <c r="Y125"/>
  <c r="V125"/>
  <c r="AJ125" s="1"/>
  <c r="E125"/>
  <c r="BP125" s="1"/>
  <c r="BI124"/>
  <c r="AW124"/>
  <c r="AV124"/>
  <c r="AU124"/>
  <c r="AR124"/>
  <c r="AK124"/>
  <c r="AH124"/>
  <c r="AC124"/>
  <c r="AB124"/>
  <c r="Z124"/>
  <c r="Y124"/>
  <c r="V124"/>
  <c r="X124" s="1"/>
  <c r="E124"/>
  <c r="BP124" s="1"/>
  <c r="BI123"/>
  <c r="AW123"/>
  <c r="AV123"/>
  <c r="AU123"/>
  <c r="AR123"/>
  <c r="AK123"/>
  <c r="AH123"/>
  <c r="AC123"/>
  <c r="AB123"/>
  <c r="Z123"/>
  <c r="Y123"/>
  <c r="V123"/>
  <c r="AJ123" s="1"/>
  <c r="E123"/>
  <c r="BP123" s="1"/>
  <c r="BI122"/>
  <c r="AW122"/>
  <c r="AV122"/>
  <c r="AU122"/>
  <c r="AR122"/>
  <c r="AK122"/>
  <c r="AH122"/>
  <c r="AC122"/>
  <c r="AB122"/>
  <c r="Z122"/>
  <c r="Y122"/>
  <c r="V122"/>
  <c r="X122" s="1"/>
  <c r="E122"/>
  <c r="BP122" s="1"/>
  <c r="BI121"/>
  <c r="AW121"/>
  <c r="AV121"/>
  <c r="AU121"/>
  <c r="AR121"/>
  <c r="AK121"/>
  <c r="AH121"/>
  <c r="AC121"/>
  <c r="AB121"/>
  <c r="Z121"/>
  <c r="BO121" s="1"/>
  <c r="Y121"/>
  <c r="V121"/>
  <c r="AJ121" s="1"/>
  <c r="E121"/>
  <c r="BP121" s="1"/>
  <c r="BI120"/>
  <c r="AW120"/>
  <c r="AV120"/>
  <c r="AU120"/>
  <c r="AR120"/>
  <c r="AK120"/>
  <c r="AH120"/>
  <c r="AC120"/>
  <c r="AB120"/>
  <c r="Z120"/>
  <c r="Y120"/>
  <c r="V120"/>
  <c r="X120" s="1"/>
  <c r="E120"/>
  <c r="BP120" s="1"/>
  <c r="BI119"/>
  <c r="AW119"/>
  <c r="AV119"/>
  <c r="AU119"/>
  <c r="AR119"/>
  <c r="AK119"/>
  <c r="AH119"/>
  <c r="AC119"/>
  <c r="AB119"/>
  <c r="Z119"/>
  <c r="Y119"/>
  <c r="V119"/>
  <c r="X119" s="1"/>
  <c r="E119"/>
  <c r="BP119" s="1"/>
  <c r="BI118"/>
  <c r="AW118"/>
  <c r="AV118"/>
  <c r="AU118"/>
  <c r="AR118"/>
  <c r="AK118"/>
  <c r="AH118"/>
  <c r="AC118"/>
  <c r="AB118"/>
  <c r="Z118"/>
  <c r="Y118"/>
  <c r="V118"/>
  <c r="AJ118" s="1"/>
  <c r="E118"/>
  <c r="BP118" s="1"/>
  <c r="BI117"/>
  <c r="AW117"/>
  <c r="AV117"/>
  <c r="AU117"/>
  <c r="AR117"/>
  <c r="AK117"/>
  <c r="AH117"/>
  <c r="AC117"/>
  <c r="AB117"/>
  <c r="Z117"/>
  <c r="Y117"/>
  <c r="V117"/>
  <c r="AJ117" s="1"/>
  <c r="E117"/>
  <c r="BP117" s="1"/>
  <c r="BI116"/>
  <c r="AW116"/>
  <c r="AV116"/>
  <c r="AU116"/>
  <c r="AR116"/>
  <c r="AK116"/>
  <c r="AH116"/>
  <c r="AC116"/>
  <c r="AB116"/>
  <c r="AE116" s="1"/>
  <c r="Z116"/>
  <c r="BO116" s="1"/>
  <c r="Y116"/>
  <c r="V116"/>
  <c r="AJ116" s="1"/>
  <c r="E116"/>
  <c r="BP116" s="1"/>
  <c r="BI115"/>
  <c r="AW115"/>
  <c r="AV115"/>
  <c r="AU115"/>
  <c r="AR115"/>
  <c r="AK115"/>
  <c r="AH115"/>
  <c r="AC115"/>
  <c r="AB115"/>
  <c r="Z115"/>
  <c r="Y115"/>
  <c r="V115"/>
  <c r="X115" s="1"/>
  <c r="AG115" s="1"/>
  <c r="E115"/>
  <c r="BP115" s="1"/>
  <c r="BI114"/>
  <c r="AW114"/>
  <c r="AV114"/>
  <c r="AU114"/>
  <c r="AR114"/>
  <c r="AK114"/>
  <c r="AH114"/>
  <c r="AC114"/>
  <c r="AB114"/>
  <c r="Z114"/>
  <c r="Y114"/>
  <c r="V114"/>
  <c r="X114" s="1"/>
  <c r="AG114" s="1"/>
  <c r="E114"/>
  <c r="BP114" s="1"/>
  <c r="BI113"/>
  <c r="AW113"/>
  <c r="AV113"/>
  <c r="AU113"/>
  <c r="AR113"/>
  <c r="AK113"/>
  <c r="AH113"/>
  <c r="AC113"/>
  <c r="AB113"/>
  <c r="Z113"/>
  <c r="Y113"/>
  <c r="V113"/>
  <c r="AJ113" s="1"/>
  <c r="E113"/>
  <c r="BP113" s="1"/>
  <c r="BI112"/>
  <c r="AW112"/>
  <c r="AV112"/>
  <c r="AU112"/>
  <c r="AR112"/>
  <c r="AK112"/>
  <c r="AH112"/>
  <c r="AC112"/>
  <c r="AB112"/>
  <c r="Z112"/>
  <c r="BO112" s="1"/>
  <c r="Y112"/>
  <c r="V112"/>
  <c r="AJ112" s="1"/>
  <c r="E112"/>
  <c r="BP112" s="1"/>
  <c r="BI111"/>
  <c r="AW111"/>
  <c r="AV111"/>
  <c r="AU111"/>
  <c r="AR111"/>
  <c r="AK111"/>
  <c r="AH111"/>
  <c r="AC111"/>
  <c r="AB111"/>
  <c r="Z111"/>
  <c r="Y111"/>
  <c r="V111"/>
  <c r="X111" s="1"/>
  <c r="E111"/>
  <c r="BP111" s="1"/>
  <c r="BI110"/>
  <c r="AW110"/>
  <c r="AV110"/>
  <c r="AU110"/>
  <c r="AR110"/>
  <c r="AK110"/>
  <c r="AH110"/>
  <c r="AC110"/>
  <c r="AB110"/>
  <c r="Z110"/>
  <c r="Y110"/>
  <c r="V110"/>
  <c r="AJ110" s="1"/>
  <c r="E110"/>
  <c r="BP110" s="1"/>
  <c r="BI109"/>
  <c r="AW109"/>
  <c r="AV109"/>
  <c r="AU109"/>
  <c r="AR109"/>
  <c r="AK109"/>
  <c r="AH109"/>
  <c r="AC109"/>
  <c r="AB109"/>
  <c r="Z109"/>
  <c r="BO109" s="1"/>
  <c r="Y109"/>
  <c r="V109"/>
  <c r="W109" s="1"/>
  <c r="E109"/>
  <c r="BP109" s="1"/>
  <c r="BI108"/>
  <c r="AW108"/>
  <c r="AV108"/>
  <c r="AU108"/>
  <c r="AR108"/>
  <c r="AK108"/>
  <c r="AH108"/>
  <c r="AC108"/>
  <c r="AB108"/>
  <c r="Z108"/>
  <c r="Y108"/>
  <c r="V108"/>
  <c r="AJ108" s="1"/>
  <c r="E108"/>
  <c r="BP108" s="1"/>
  <c r="BI107"/>
  <c r="AW107"/>
  <c r="AV107"/>
  <c r="AU107"/>
  <c r="AR107"/>
  <c r="AK107"/>
  <c r="AH107"/>
  <c r="AC107"/>
  <c r="AB107"/>
  <c r="Z107"/>
  <c r="Y107"/>
  <c r="V107"/>
  <c r="AJ107" s="1"/>
  <c r="E107"/>
  <c r="BP107" s="1"/>
  <c r="BI106"/>
  <c r="AW106"/>
  <c r="AV106"/>
  <c r="AU106"/>
  <c r="AR106"/>
  <c r="AK106"/>
  <c r="AH106"/>
  <c r="AC106"/>
  <c r="AB106"/>
  <c r="AE106" s="1"/>
  <c r="Z106"/>
  <c r="BO106" s="1"/>
  <c r="Y106"/>
  <c r="V106"/>
  <c r="AJ106" s="1"/>
  <c r="E106"/>
  <c r="BP106" s="1"/>
  <c r="BI105"/>
  <c r="AW105"/>
  <c r="AV105"/>
  <c r="AU105"/>
  <c r="AR105"/>
  <c r="AK105"/>
  <c r="AH105"/>
  <c r="AC105"/>
  <c r="AB105"/>
  <c r="AA105"/>
  <c r="Z105"/>
  <c r="Y105"/>
  <c r="V105"/>
  <c r="AJ105" s="1"/>
  <c r="E105"/>
  <c r="BP105" s="1"/>
  <c r="BI104"/>
  <c r="AW104"/>
  <c r="AV104"/>
  <c r="AU104"/>
  <c r="AR104"/>
  <c r="AK104"/>
  <c r="AH104"/>
  <c r="AC104"/>
  <c r="AB104"/>
  <c r="Z104"/>
  <c r="Y104"/>
  <c r="V104"/>
  <c r="X104" s="1"/>
  <c r="AG104" s="1"/>
  <c r="E104"/>
  <c r="BP104" s="1"/>
  <c r="BI103"/>
  <c r="AW103"/>
  <c r="AV103"/>
  <c r="AU103"/>
  <c r="AR103"/>
  <c r="AK103"/>
  <c r="AH103"/>
  <c r="AC103"/>
  <c r="AB103"/>
  <c r="AE103" s="1"/>
  <c r="Z103"/>
  <c r="Y103"/>
  <c r="V103"/>
  <c r="X103" s="1"/>
  <c r="E103"/>
  <c r="BP103" s="1"/>
  <c r="BI102"/>
  <c r="AW102"/>
  <c r="AV102"/>
  <c r="AU102"/>
  <c r="AR102"/>
  <c r="AK102"/>
  <c r="AH102"/>
  <c r="AC102"/>
  <c r="AB102"/>
  <c r="Z102"/>
  <c r="Y102"/>
  <c r="V102"/>
  <c r="X102" s="1"/>
  <c r="AG102" s="1"/>
  <c r="E102"/>
  <c r="BP102" s="1"/>
  <c r="BI101"/>
  <c r="AW101"/>
  <c r="AV101"/>
  <c r="AU101"/>
  <c r="AR101"/>
  <c r="AK101"/>
  <c r="AH101"/>
  <c r="AC101"/>
  <c r="AB101"/>
  <c r="Z101"/>
  <c r="Y101"/>
  <c r="V101"/>
  <c r="AJ101" s="1"/>
  <c r="E101"/>
  <c r="BP101" s="1"/>
  <c r="BI100"/>
  <c r="AW100"/>
  <c r="AV100"/>
  <c r="AU100"/>
  <c r="AR100"/>
  <c r="AK100"/>
  <c r="AH100"/>
  <c r="AC100"/>
  <c r="AB100"/>
  <c r="Z100"/>
  <c r="Y100"/>
  <c r="V100"/>
  <c r="X100" s="1"/>
  <c r="E100"/>
  <c r="BP100" s="1"/>
  <c r="BI99"/>
  <c r="AW99"/>
  <c r="AV99"/>
  <c r="AU99"/>
  <c r="AR99"/>
  <c r="AK99"/>
  <c r="AH99"/>
  <c r="AC99"/>
  <c r="AB99"/>
  <c r="Z99"/>
  <c r="Y99"/>
  <c r="V99"/>
  <c r="X99" s="1"/>
  <c r="W99" s="1"/>
  <c r="E99"/>
  <c r="BP99" s="1"/>
  <c r="BI98"/>
  <c r="AW98"/>
  <c r="AV98"/>
  <c r="AU98"/>
  <c r="AR98"/>
  <c r="AK98"/>
  <c r="AH98"/>
  <c r="AC98"/>
  <c r="AB98"/>
  <c r="AE98" s="1"/>
  <c r="Z98"/>
  <c r="Y98"/>
  <c r="V98"/>
  <c r="X98" s="1"/>
  <c r="W98" s="1"/>
  <c r="E98"/>
  <c r="BP98" s="1"/>
  <c r="BI97"/>
  <c r="AW97"/>
  <c r="AV97"/>
  <c r="AU97"/>
  <c r="AR97"/>
  <c r="AK97"/>
  <c r="AH97"/>
  <c r="AC97"/>
  <c r="AB97"/>
  <c r="Z97"/>
  <c r="Y97"/>
  <c r="V97"/>
  <c r="X97" s="1"/>
  <c r="E97"/>
  <c r="BP97" s="1"/>
  <c r="BI96"/>
  <c r="AW96"/>
  <c r="AV96"/>
  <c r="AU96"/>
  <c r="AR96"/>
  <c r="AK96"/>
  <c r="AH96"/>
  <c r="AC96"/>
  <c r="AB96"/>
  <c r="Z96"/>
  <c r="Y96"/>
  <c r="V96"/>
  <c r="AJ96" s="1"/>
  <c r="E96"/>
  <c r="BP96" s="1"/>
  <c r="BI95"/>
  <c r="AW95"/>
  <c r="AV95"/>
  <c r="AU95"/>
  <c r="AR95"/>
  <c r="AK95"/>
  <c r="AH95"/>
  <c r="AC95"/>
  <c r="AB95"/>
  <c r="Z95"/>
  <c r="Y95"/>
  <c r="V95"/>
  <c r="AJ95" s="1"/>
  <c r="E95"/>
  <c r="BP95" s="1"/>
  <c r="BI94"/>
  <c r="AW94"/>
  <c r="AV94"/>
  <c r="AU94"/>
  <c r="AR94"/>
  <c r="AK94"/>
  <c r="AH94"/>
  <c r="AC94"/>
  <c r="AB94"/>
  <c r="Z94"/>
  <c r="Y94"/>
  <c r="V94"/>
  <c r="W94" s="1"/>
  <c r="AF94" s="1"/>
  <c r="E94"/>
  <c r="BP94" s="1"/>
  <c r="BI93"/>
  <c r="AW93"/>
  <c r="AV93"/>
  <c r="AU93"/>
  <c r="AR93"/>
  <c r="AK93"/>
  <c r="AH93"/>
  <c r="AC93"/>
  <c r="AB93"/>
  <c r="Z93"/>
  <c r="Y93"/>
  <c r="V93"/>
  <c r="X93" s="1"/>
  <c r="AG93" s="1"/>
  <c r="E93"/>
  <c r="BP93" s="1"/>
  <c r="BI92"/>
  <c r="AW92"/>
  <c r="AV92"/>
  <c r="AU92"/>
  <c r="AR92"/>
  <c r="AK92"/>
  <c r="AH92"/>
  <c r="AC92"/>
  <c r="AB92"/>
  <c r="Z92"/>
  <c r="Y92"/>
  <c r="V92"/>
  <c r="X92" s="1"/>
  <c r="AG92" s="1"/>
  <c r="E92"/>
  <c r="BP92" s="1"/>
  <c r="BI91"/>
  <c r="AW91"/>
  <c r="AV91"/>
  <c r="AU91"/>
  <c r="AR91"/>
  <c r="AK91"/>
  <c r="AH91"/>
  <c r="AC91"/>
  <c r="AB91"/>
  <c r="Z91"/>
  <c r="Y91"/>
  <c r="V91"/>
  <c r="AJ91" s="1"/>
  <c r="E91"/>
  <c r="BP91" s="1"/>
  <c r="BI90"/>
  <c r="AW90"/>
  <c r="AV90"/>
  <c r="AU90"/>
  <c r="AR90"/>
  <c r="AK90"/>
  <c r="AH90"/>
  <c r="AC90"/>
  <c r="AB90"/>
  <c r="Z90"/>
  <c r="Y90"/>
  <c r="V90"/>
  <c r="AJ90" s="1"/>
  <c r="E90"/>
  <c r="BP90" s="1"/>
  <c r="BI89"/>
  <c r="AW89"/>
  <c r="AV89"/>
  <c r="AU89"/>
  <c r="AR89"/>
  <c r="AK89"/>
  <c r="AH89"/>
  <c r="AC89"/>
  <c r="AB89"/>
  <c r="AA89"/>
  <c r="Z89"/>
  <c r="Y89"/>
  <c r="V89"/>
  <c r="AJ89" s="1"/>
  <c r="E89"/>
  <c r="BP89" s="1"/>
  <c r="BI88"/>
  <c r="AW88"/>
  <c r="AV88"/>
  <c r="AU88"/>
  <c r="AR88"/>
  <c r="AK88"/>
  <c r="AH88"/>
  <c r="AC88"/>
  <c r="AB88"/>
  <c r="Z88"/>
  <c r="Y88"/>
  <c r="V88"/>
  <c r="AJ88" s="1"/>
  <c r="E88"/>
  <c r="BP88" s="1"/>
  <c r="BI87"/>
  <c r="AW87"/>
  <c r="AV87"/>
  <c r="AU87"/>
  <c r="AR87"/>
  <c r="AK87"/>
  <c r="AH87"/>
  <c r="AC87"/>
  <c r="AB87"/>
  <c r="Z87"/>
  <c r="Y87"/>
  <c r="V87"/>
  <c r="X87" s="1"/>
  <c r="E87"/>
  <c r="BP87" s="1"/>
  <c r="BI86"/>
  <c r="AW86"/>
  <c r="AV86"/>
  <c r="AU86"/>
  <c r="AR86"/>
  <c r="AK86"/>
  <c r="AH86"/>
  <c r="AC86"/>
  <c r="AB86"/>
  <c r="Z86"/>
  <c r="Y86"/>
  <c r="V86"/>
  <c r="X86" s="1"/>
  <c r="E86"/>
  <c r="BP86" s="1"/>
  <c r="BI85"/>
  <c r="AW85"/>
  <c r="AV85"/>
  <c r="AU85"/>
  <c r="AR85"/>
  <c r="AK85"/>
  <c r="AH85"/>
  <c r="AC85"/>
  <c r="AB85"/>
  <c r="AE85" s="1"/>
  <c r="Z85"/>
  <c r="Y85"/>
  <c r="V85"/>
  <c r="AJ85" s="1"/>
  <c r="E85"/>
  <c r="BP85" s="1"/>
  <c r="BI84"/>
  <c r="AW84"/>
  <c r="AV84"/>
  <c r="AU84"/>
  <c r="AR84"/>
  <c r="AK84"/>
  <c r="AH84"/>
  <c r="AC84"/>
  <c r="AB84"/>
  <c r="Z84"/>
  <c r="Y84"/>
  <c r="V84"/>
  <c r="AJ84" s="1"/>
  <c r="E84"/>
  <c r="BP84" s="1"/>
  <c r="BI83"/>
  <c r="AW83"/>
  <c r="AV83"/>
  <c r="AU83"/>
  <c r="AR83"/>
  <c r="AK83"/>
  <c r="AH83"/>
  <c r="AC83"/>
  <c r="AB83"/>
  <c r="Z83"/>
  <c r="Y83"/>
  <c r="V83"/>
  <c r="AJ83" s="1"/>
  <c r="E83"/>
  <c r="BP83" s="1"/>
  <c r="BI82"/>
  <c r="AW82"/>
  <c r="AV82"/>
  <c r="AU82"/>
  <c r="AR82"/>
  <c r="AK82"/>
  <c r="AH82"/>
  <c r="AC82"/>
  <c r="AB82"/>
  <c r="Z82"/>
  <c r="Y82"/>
  <c r="V82"/>
  <c r="X82" s="1"/>
  <c r="AG82" s="1"/>
  <c r="E82"/>
  <c r="BP82" s="1"/>
  <c r="BI81"/>
  <c r="AW81"/>
  <c r="AV81"/>
  <c r="AU81"/>
  <c r="AR81"/>
  <c r="AK81"/>
  <c r="AH81"/>
  <c r="AC81"/>
  <c r="AB81"/>
  <c r="AE81" s="1"/>
  <c r="Z81"/>
  <c r="Y81"/>
  <c r="V81"/>
  <c r="AJ81" s="1"/>
  <c r="E81"/>
  <c r="BP81" s="1"/>
  <c r="BI80"/>
  <c r="AW80"/>
  <c r="AV80"/>
  <c r="AU80"/>
  <c r="AR80"/>
  <c r="AK80"/>
  <c r="AH80"/>
  <c r="AC80"/>
  <c r="AB80"/>
  <c r="Z80"/>
  <c r="Y80"/>
  <c r="V80"/>
  <c r="AJ80" s="1"/>
  <c r="E80"/>
  <c r="BP80" s="1"/>
  <c r="BI79"/>
  <c r="AW79"/>
  <c r="AV79"/>
  <c r="AU79"/>
  <c r="AR79"/>
  <c r="AK79"/>
  <c r="AH79"/>
  <c r="BE79" s="1"/>
  <c r="AD79"/>
  <c r="AC79"/>
  <c r="AB79"/>
  <c r="Z79"/>
  <c r="BO79" s="1"/>
  <c r="Y79"/>
  <c r="V79"/>
  <c r="X79" s="1"/>
  <c r="W79" s="1"/>
  <c r="E79"/>
  <c r="BP79" s="1"/>
  <c r="BI78"/>
  <c r="AW78"/>
  <c r="AV78"/>
  <c r="AU78"/>
  <c r="AR78"/>
  <c r="AK78"/>
  <c r="AH78"/>
  <c r="BE78" s="1"/>
  <c r="AD78"/>
  <c r="AC78"/>
  <c r="AB78"/>
  <c r="Z78"/>
  <c r="BO78" s="1"/>
  <c r="Y78"/>
  <c r="V78"/>
  <c r="X78" s="1"/>
  <c r="W78" s="1"/>
  <c r="E78"/>
  <c r="BP78" s="1"/>
  <c r="BI77"/>
  <c r="AW77"/>
  <c r="AV77"/>
  <c r="AU77"/>
  <c r="AR77"/>
  <c r="AK77"/>
  <c r="AH77"/>
  <c r="BE77" s="1"/>
  <c r="AD77"/>
  <c r="AC77"/>
  <c r="AB77"/>
  <c r="Z77"/>
  <c r="BO77" s="1"/>
  <c r="Y77"/>
  <c r="V77"/>
  <c r="AJ77" s="1"/>
  <c r="E77"/>
  <c r="BP77" s="1"/>
  <c r="BI76"/>
  <c r="AW76"/>
  <c r="AV76"/>
  <c r="AU76"/>
  <c r="AR76"/>
  <c r="AK76"/>
  <c r="AH76"/>
  <c r="BE76" s="1"/>
  <c r="AD76"/>
  <c r="AC76"/>
  <c r="AB76"/>
  <c r="Z76"/>
  <c r="BO76" s="1"/>
  <c r="Y76"/>
  <c r="V76"/>
  <c r="W76" s="1"/>
  <c r="AF76" s="1"/>
  <c r="E76"/>
  <c r="BP76" s="1"/>
  <c r="BI75"/>
  <c r="AW75"/>
  <c r="AV75"/>
  <c r="AU75"/>
  <c r="AR75"/>
  <c r="AK75"/>
  <c r="AH75"/>
  <c r="BE75" s="1"/>
  <c r="AD75"/>
  <c r="AC75"/>
  <c r="AB75"/>
  <c r="Z75"/>
  <c r="Y75"/>
  <c r="V75"/>
  <c r="X75" s="1"/>
  <c r="W75" s="1"/>
  <c r="E75"/>
  <c r="BP75" s="1"/>
  <c r="BI74"/>
  <c r="AW74"/>
  <c r="AV74"/>
  <c r="AU74"/>
  <c r="AR74"/>
  <c r="AK74"/>
  <c r="AH74"/>
  <c r="BE74" s="1"/>
  <c r="AD74"/>
  <c r="AC74"/>
  <c r="AB74"/>
  <c r="Z74"/>
  <c r="BO74" s="1"/>
  <c r="Y74"/>
  <c r="W74"/>
  <c r="AF74" s="1"/>
  <c r="V74"/>
  <c r="AJ74" s="1"/>
  <c r="E74"/>
  <c r="BP74" s="1"/>
  <c r="BG80" l="1"/>
  <c r="BO80"/>
  <c r="BG82"/>
  <c r="BO82"/>
  <c r="BG84"/>
  <c r="BO84"/>
  <c r="BG86"/>
  <c r="BO86"/>
  <c r="BG88"/>
  <c r="BO88"/>
  <c r="BG91"/>
  <c r="BO91"/>
  <c r="BG93"/>
  <c r="BO93"/>
  <c r="BG94"/>
  <c r="BO94"/>
  <c r="BG96"/>
  <c r="BO96"/>
  <c r="BG97"/>
  <c r="BO97"/>
  <c r="BG99"/>
  <c r="BO99"/>
  <c r="BG101"/>
  <c r="BO101"/>
  <c r="BG102"/>
  <c r="BO102"/>
  <c r="BG104"/>
  <c r="BO104"/>
  <c r="BG107"/>
  <c r="BO107"/>
  <c r="BG111"/>
  <c r="BO111"/>
  <c r="BG113"/>
  <c r="BO113"/>
  <c r="BG115"/>
  <c r="BO115"/>
  <c r="AA117"/>
  <c r="BO117"/>
  <c r="BG119"/>
  <c r="BO119"/>
  <c r="BG122"/>
  <c r="BO122"/>
  <c r="BG124"/>
  <c r="BO124"/>
  <c r="BG128"/>
  <c r="BO128"/>
  <c r="BG129"/>
  <c r="BO129"/>
  <c r="BG130"/>
  <c r="BO130"/>
  <c r="BG132"/>
  <c r="BO132"/>
  <c r="BG133"/>
  <c r="BO133"/>
  <c r="BG134"/>
  <c r="BO134"/>
  <c r="BG135"/>
  <c r="BO135"/>
  <c r="BG136"/>
  <c r="BO136"/>
  <c r="BG137"/>
  <c r="BO137"/>
  <c r="BG138"/>
  <c r="BO138"/>
  <c r="BG170"/>
  <c r="BO170"/>
  <c r="BG172"/>
  <c r="BO172"/>
  <c r="BG174"/>
  <c r="BO174"/>
  <c r="BG177"/>
  <c r="BO177"/>
  <c r="BG183"/>
  <c r="BO183"/>
  <c r="BG260"/>
  <c r="BO260"/>
  <c r="BG262"/>
  <c r="BO262"/>
  <c r="BG264"/>
  <c r="BO264"/>
  <c r="BG266"/>
  <c r="BO266"/>
  <c r="BG267"/>
  <c r="BO267"/>
  <c r="BG269"/>
  <c r="BO269"/>
  <c r="BG271"/>
  <c r="BO271"/>
  <c r="BG272"/>
  <c r="BO272"/>
  <c r="BG274"/>
  <c r="BO274"/>
  <c r="BG276"/>
  <c r="BO276"/>
  <c r="BG278"/>
  <c r="BO278"/>
  <c r="BG280"/>
  <c r="BO280"/>
  <c r="BG282"/>
  <c r="BO282"/>
  <c r="BG284"/>
  <c r="BO284"/>
  <c r="BG286"/>
  <c r="BO286"/>
  <c r="BG288"/>
  <c r="BO288"/>
  <c r="BG290"/>
  <c r="BO290"/>
  <c r="BG292"/>
  <c r="BO292"/>
  <c r="BG294"/>
  <c r="BO294"/>
  <c r="BG324"/>
  <c r="BO324"/>
  <c r="BG326"/>
  <c r="BO326"/>
  <c r="BG328"/>
  <c r="BO328"/>
  <c r="BG330"/>
  <c r="BO330"/>
  <c r="BG332"/>
  <c r="BO332"/>
  <c r="BG334"/>
  <c r="BO334"/>
  <c r="BG336"/>
  <c r="BO336"/>
  <c r="BG337"/>
  <c r="BO337"/>
  <c r="BG339"/>
  <c r="BO339"/>
  <c r="BG340"/>
  <c r="BO340"/>
  <c r="BG342"/>
  <c r="BO342"/>
  <c r="BG344"/>
  <c r="BO344"/>
  <c r="BG346"/>
  <c r="BO346"/>
  <c r="BG348"/>
  <c r="BO348"/>
  <c r="BG350"/>
  <c r="BO350"/>
  <c r="BG352"/>
  <c r="BO352"/>
  <c r="BG356"/>
  <c r="BO356"/>
  <c r="BG358"/>
  <c r="BO358"/>
  <c r="BG360"/>
  <c r="BO360"/>
  <c r="BG362"/>
  <c r="BO362"/>
  <c r="BG365"/>
  <c r="BO365"/>
  <c r="BG367"/>
  <c r="BO367"/>
  <c r="BG368"/>
  <c r="BO368"/>
  <c r="BG370"/>
  <c r="BO370"/>
  <c r="BG372"/>
  <c r="BO372"/>
  <c r="BG374"/>
  <c r="BO374"/>
  <c r="BG395"/>
  <c r="BO395"/>
  <c r="BG397"/>
  <c r="BO397"/>
  <c r="BG401"/>
  <c r="BO401"/>
  <c r="BG402"/>
  <c r="BO402"/>
  <c r="BG404"/>
  <c r="BO404"/>
  <c r="BG405"/>
  <c r="BO405"/>
  <c r="BG406"/>
  <c r="BO406"/>
  <c r="BG407"/>
  <c r="BO407"/>
  <c r="BG408"/>
  <c r="BO408"/>
  <c r="BG410"/>
  <c r="BO410"/>
  <c r="BG411"/>
  <c r="BO411"/>
  <c r="BG413"/>
  <c r="BO413"/>
  <c r="BG414"/>
  <c r="BO414"/>
  <c r="BG415"/>
  <c r="BO415"/>
  <c r="BG416"/>
  <c r="BO416"/>
  <c r="BG417"/>
  <c r="BO417"/>
  <c r="BG418"/>
  <c r="BO418"/>
  <c r="BG419"/>
  <c r="BO419"/>
  <c r="BG420"/>
  <c r="BO420"/>
  <c r="BG497"/>
  <c r="BO497"/>
  <c r="BG499"/>
  <c r="BO499"/>
  <c r="BG75"/>
  <c r="BO75"/>
  <c r="BG81"/>
  <c r="BO81"/>
  <c r="BG83"/>
  <c r="BO83"/>
  <c r="BG85"/>
  <c r="BO85"/>
  <c r="BG87"/>
  <c r="BO87"/>
  <c r="BG89"/>
  <c r="BO89"/>
  <c r="BG90"/>
  <c r="BO90"/>
  <c r="BG92"/>
  <c r="BO92"/>
  <c r="BG95"/>
  <c r="BO95"/>
  <c r="BG98"/>
  <c r="BO98"/>
  <c r="BG100"/>
  <c r="BO100"/>
  <c r="BG103"/>
  <c r="BO103"/>
  <c r="BG105"/>
  <c r="BO105"/>
  <c r="AA108"/>
  <c r="BO108"/>
  <c r="AA110"/>
  <c r="BO110"/>
  <c r="AA114"/>
  <c r="BO114"/>
  <c r="BG118"/>
  <c r="BO118"/>
  <c r="BG120"/>
  <c r="BO120"/>
  <c r="BG123"/>
  <c r="BO123"/>
  <c r="BG126"/>
  <c r="BO126"/>
  <c r="BG140"/>
  <c r="BO140"/>
  <c r="BG141"/>
  <c r="BO141"/>
  <c r="BG143"/>
  <c r="BO143"/>
  <c r="BG145"/>
  <c r="BO145"/>
  <c r="BG146"/>
  <c r="BO146"/>
  <c r="BG148"/>
  <c r="BO148"/>
  <c r="BG152"/>
  <c r="BO152"/>
  <c r="BG158"/>
  <c r="BO158"/>
  <c r="BG160"/>
  <c r="BO160"/>
  <c r="BG162"/>
  <c r="BO162"/>
  <c r="BG164"/>
  <c r="BO164"/>
  <c r="BG165"/>
  <c r="BO165"/>
  <c r="BG166"/>
  <c r="BO166"/>
  <c r="BG187"/>
  <c r="BO187"/>
  <c r="BG190"/>
  <c r="BO190"/>
  <c r="BG194"/>
  <c r="BO194"/>
  <c r="BG196"/>
  <c r="BO196"/>
  <c r="BG199"/>
  <c r="BO199"/>
  <c r="BG201"/>
  <c r="BO201"/>
  <c r="BG202"/>
  <c r="BO202"/>
  <c r="BG204"/>
  <c r="BO204"/>
  <c r="BG205"/>
  <c r="BO205"/>
  <c r="BG206"/>
  <c r="BO206"/>
  <c r="BG208"/>
  <c r="BO208"/>
  <c r="BG209"/>
  <c r="BO209"/>
  <c r="BG211"/>
  <c r="BO211"/>
  <c r="BG213"/>
  <c r="BO213"/>
  <c r="BG215"/>
  <c r="BO215"/>
  <c r="BG217"/>
  <c r="BO217"/>
  <c r="BG221"/>
  <c r="BO221"/>
  <c r="BG223"/>
  <c r="BO223"/>
  <c r="BG224"/>
  <c r="BO224"/>
  <c r="BG226"/>
  <c r="BO226"/>
  <c r="BG227"/>
  <c r="BO227"/>
  <c r="BG229"/>
  <c r="BO229"/>
  <c r="BG230"/>
  <c r="BO230"/>
  <c r="BG232"/>
  <c r="BO232"/>
  <c r="BG234"/>
  <c r="BO234"/>
  <c r="BG235"/>
  <c r="BO235"/>
  <c r="BG236"/>
  <c r="BO236"/>
  <c r="BG239"/>
  <c r="BO239"/>
  <c r="BG241"/>
  <c r="BO241"/>
  <c r="BG243"/>
  <c r="BO243"/>
  <c r="BG245"/>
  <c r="BO245"/>
  <c r="BG247"/>
  <c r="BO247"/>
  <c r="BG249"/>
  <c r="BO249"/>
  <c r="BG251"/>
  <c r="BO251"/>
  <c r="BG253"/>
  <c r="BO253"/>
  <c r="BG299"/>
  <c r="BO299"/>
  <c r="BG302"/>
  <c r="BO302"/>
  <c r="BG306"/>
  <c r="BO306"/>
  <c r="BG308"/>
  <c r="BO308"/>
  <c r="BG309"/>
  <c r="BO309"/>
  <c r="BG310"/>
  <c r="BO310"/>
  <c r="BG312"/>
  <c r="BO312"/>
  <c r="BG313"/>
  <c r="BO313"/>
  <c r="BG314"/>
  <c r="BO314"/>
  <c r="BG316"/>
  <c r="BO316"/>
  <c r="BG317"/>
  <c r="BO317"/>
  <c r="BG318"/>
  <c r="BO318"/>
  <c r="BG319"/>
  <c r="BO319"/>
  <c r="BG320"/>
  <c r="BO320"/>
  <c r="BG377"/>
  <c r="BO377"/>
  <c r="BG379"/>
  <c r="BO379"/>
  <c r="BG381"/>
  <c r="BO381"/>
  <c r="BG383"/>
  <c r="BO383"/>
  <c r="BG384"/>
  <c r="BO384"/>
  <c r="BG388"/>
  <c r="BO388"/>
  <c r="BG390"/>
  <c r="BO390"/>
  <c r="BG421"/>
  <c r="BO421"/>
  <c r="BG422"/>
  <c r="BO422"/>
  <c r="BG423"/>
  <c r="BO423"/>
  <c r="BG424"/>
  <c r="BO424"/>
  <c r="BG425"/>
  <c r="BO425"/>
  <c r="BG426"/>
  <c r="BO426"/>
  <c r="BG427"/>
  <c r="BO427"/>
  <c r="BG428"/>
  <c r="BO428"/>
  <c r="BG429"/>
  <c r="BO429"/>
  <c r="BG430"/>
  <c r="BO430"/>
  <c r="BG431"/>
  <c r="BO431"/>
  <c r="BG432"/>
  <c r="BO432"/>
  <c r="BG433"/>
  <c r="BO433"/>
  <c r="BG434"/>
  <c r="BO434"/>
  <c r="BG435"/>
  <c r="BO435"/>
  <c r="BG436"/>
  <c r="BO436"/>
  <c r="BG437"/>
  <c r="BO437"/>
  <c r="BG438"/>
  <c r="BO438"/>
  <c r="BG439"/>
  <c r="BO439"/>
  <c r="BG440"/>
  <c r="BO440"/>
  <c r="BG441"/>
  <c r="BO441"/>
  <c r="BG442"/>
  <c r="BO442"/>
  <c r="BG443"/>
  <c r="BO443"/>
  <c r="BG444"/>
  <c r="BO444"/>
  <c r="BG445"/>
  <c r="BO445"/>
  <c r="BG446"/>
  <c r="BO446"/>
  <c r="BG447"/>
  <c r="BO447"/>
  <c r="BG448"/>
  <c r="BO448"/>
  <c r="BG449"/>
  <c r="BO449"/>
  <c r="BG450"/>
  <c r="BO450"/>
  <c r="BG451"/>
  <c r="BO451"/>
  <c r="BG452"/>
  <c r="BO452"/>
  <c r="BG453"/>
  <c r="BO453"/>
  <c r="BG454"/>
  <c r="BO454"/>
  <c r="BG455"/>
  <c r="BO455"/>
  <c r="BG456"/>
  <c r="BO456"/>
  <c r="BG457"/>
  <c r="BO457"/>
  <c r="BG458"/>
  <c r="BO458"/>
  <c r="BG459"/>
  <c r="BO459"/>
  <c r="BG460"/>
  <c r="BO460"/>
  <c r="BG461"/>
  <c r="BO461"/>
  <c r="BG462"/>
  <c r="BO462"/>
  <c r="BG463"/>
  <c r="BO463"/>
  <c r="BG464"/>
  <c r="BO464"/>
  <c r="BG465"/>
  <c r="BO465"/>
  <c r="BG466"/>
  <c r="BO466"/>
  <c r="BG467"/>
  <c r="BO467"/>
  <c r="BG468"/>
  <c r="BO468"/>
  <c r="BG469"/>
  <c r="BO469"/>
  <c r="BG470"/>
  <c r="BO470"/>
  <c r="BG471"/>
  <c r="BO471"/>
  <c r="BG472"/>
  <c r="BO472"/>
  <c r="BG473"/>
  <c r="BO473"/>
  <c r="BG474"/>
  <c r="BO474"/>
  <c r="BG475"/>
  <c r="BO475"/>
  <c r="BG476"/>
  <c r="BO476"/>
  <c r="BG477"/>
  <c r="BO477"/>
  <c r="BG478"/>
  <c r="BO478"/>
  <c r="BG479"/>
  <c r="BO479"/>
  <c r="BG480"/>
  <c r="BO480"/>
  <c r="BG481"/>
  <c r="BO481"/>
  <c r="BG482"/>
  <c r="BO482"/>
  <c r="BG483"/>
  <c r="BO483"/>
  <c r="BG484"/>
  <c r="BO484"/>
  <c r="BG485"/>
  <c r="BO485"/>
  <c r="BG486"/>
  <c r="BO486"/>
  <c r="BG487"/>
  <c r="BO487"/>
  <c r="BG488"/>
  <c r="BO488"/>
  <c r="BG489"/>
  <c r="BO489"/>
  <c r="BG490"/>
  <c r="BO490"/>
  <c r="BG491"/>
  <c r="BO491"/>
  <c r="BG492"/>
  <c r="BO492"/>
  <c r="BG493"/>
  <c r="BO493"/>
  <c r="BG494"/>
  <c r="BO494"/>
  <c r="BG495"/>
  <c r="BO495"/>
  <c r="AE91"/>
  <c r="AA93"/>
  <c r="AA96"/>
  <c r="AA101"/>
  <c r="AE107"/>
  <c r="AE113"/>
  <c r="W121"/>
  <c r="AE122"/>
  <c r="AA124"/>
  <c r="AE128"/>
  <c r="AE129"/>
  <c r="AA130"/>
  <c r="BH130"/>
  <c r="BH133"/>
  <c r="BH135"/>
  <c r="AE182"/>
  <c r="AA183"/>
  <c r="BH183"/>
  <c r="AE260"/>
  <c r="AE261"/>
  <c r="AA262"/>
  <c r="BH262"/>
  <c r="AE264"/>
  <c r="AE265"/>
  <c r="AA266"/>
  <c r="BH266"/>
  <c r="AE267"/>
  <c r="AE268"/>
  <c r="AA269"/>
  <c r="BH269"/>
  <c r="AE271"/>
  <c r="AA272"/>
  <c r="BH272"/>
  <c r="AE274"/>
  <c r="AE275"/>
  <c r="AA276"/>
  <c r="BH276"/>
  <c r="AE278"/>
  <c r="AE279"/>
  <c r="AA280"/>
  <c r="BH280"/>
  <c r="AE282"/>
  <c r="AE283"/>
  <c r="AA284"/>
  <c r="BH284"/>
  <c r="AE286"/>
  <c r="AE287"/>
  <c r="AA288"/>
  <c r="BH288"/>
  <c r="AE290"/>
  <c r="AE291"/>
  <c r="AA292"/>
  <c r="BH292"/>
  <c r="AE294"/>
  <c r="AA295"/>
  <c r="BH295"/>
  <c r="AE296"/>
  <c r="X297"/>
  <c r="W297" s="1"/>
  <c r="AE356"/>
  <c r="AE357"/>
  <c r="AA358"/>
  <c r="BH358"/>
  <c r="AE360"/>
  <c r="AE361"/>
  <c r="AA362"/>
  <c r="BH362"/>
  <c r="AE364"/>
  <c r="AA365"/>
  <c r="BH365"/>
  <c r="AE367"/>
  <c r="AA368"/>
  <c r="BH368"/>
  <c r="BH372"/>
  <c r="BG139"/>
  <c r="BH139"/>
  <c r="BG171"/>
  <c r="BH171"/>
  <c r="AA171"/>
  <c r="BG173"/>
  <c r="BH173"/>
  <c r="AA173"/>
  <c r="BG176"/>
  <c r="BH176"/>
  <c r="AA176"/>
  <c r="BG178"/>
  <c r="BH178"/>
  <c r="AA178"/>
  <c r="AJ181"/>
  <c r="X181"/>
  <c r="W181" s="1"/>
  <c r="BH82"/>
  <c r="BH86"/>
  <c r="AE95"/>
  <c r="BH96"/>
  <c r="AE100"/>
  <c r="BH101"/>
  <c r="AE104"/>
  <c r="BH105"/>
  <c r="AE109"/>
  <c r="AE112"/>
  <c r="AE118"/>
  <c r="AE120"/>
  <c r="AE123"/>
  <c r="BH124"/>
  <c r="W127"/>
  <c r="BG142"/>
  <c r="BH142"/>
  <c r="AA142"/>
  <c r="BG144"/>
  <c r="BH144"/>
  <c r="AA144"/>
  <c r="BG147"/>
  <c r="BH147"/>
  <c r="AA147"/>
  <c r="BG150"/>
  <c r="BH150"/>
  <c r="AA150"/>
  <c r="BG154"/>
  <c r="BH154"/>
  <c r="AA154"/>
  <c r="AJ157"/>
  <c r="W157"/>
  <c r="BG188"/>
  <c r="BH188"/>
  <c r="AA188"/>
  <c r="BG192"/>
  <c r="BH192"/>
  <c r="AA192"/>
  <c r="AA82"/>
  <c r="AE84"/>
  <c r="AA86"/>
  <c r="AE88"/>
  <c r="BH89"/>
  <c r="AE92"/>
  <c r="BH93"/>
  <c r="AE141"/>
  <c r="AE146"/>
  <c r="AE148"/>
  <c r="AE149"/>
  <c r="AE152"/>
  <c r="AE153"/>
  <c r="AE156"/>
  <c r="AE170"/>
  <c r="AE172"/>
  <c r="AE174"/>
  <c r="AE175"/>
  <c r="AE177"/>
  <c r="AE180"/>
  <c r="AE187"/>
  <c r="AE190"/>
  <c r="AE191"/>
  <c r="AE194"/>
  <c r="AE195"/>
  <c r="AA196"/>
  <c r="BH196"/>
  <c r="AE198"/>
  <c r="AA199"/>
  <c r="BH199"/>
  <c r="AE201"/>
  <c r="AA202"/>
  <c r="BH202"/>
  <c r="AE204"/>
  <c r="AA205"/>
  <c r="BH205"/>
  <c r="AE206"/>
  <c r="AE207"/>
  <c r="AA208"/>
  <c r="BH208"/>
  <c r="AE209"/>
  <c r="AE210"/>
  <c r="AA211"/>
  <c r="BH211"/>
  <c r="AE213"/>
  <c r="AE214"/>
  <c r="AA215"/>
  <c r="BH215"/>
  <c r="AE217"/>
  <c r="AE218"/>
  <c r="AE220"/>
  <c r="AA221"/>
  <c r="BH221"/>
  <c r="AE223"/>
  <c r="AA224"/>
  <c r="BH224"/>
  <c r="AE226"/>
  <c r="AA227"/>
  <c r="BH227"/>
  <c r="AE229"/>
  <c r="AA230"/>
  <c r="BH230"/>
  <c r="AE232"/>
  <c r="AE233"/>
  <c r="AA234"/>
  <c r="BH234"/>
  <c r="AE235"/>
  <c r="AA236"/>
  <c r="BH236"/>
  <c r="AE238"/>
  <c r="AA239"/>
  <c r="BH239"/>
  <c r="AE241"/>
  <c r="AE242"/>
  <c r="AA243"/>
  <c r="BH243"/>
  <c r="AE245"/>
  <c r="AE246"/>
  <c r="AA247"/>
  <c r="BH247"/>
  <c r="AE249"/>
  <c r="AE250"/>
  <c r="AA251"/>
  <c r="BH251"/>
  <c r="AE253"/>
  <c r="AE254"/>
  <c r="W255"/>
  <c r="AF255" s="1"/>
  <c r="AE258"/>
  <c r="W259"/>
  <c r="AF259" s="1"/>
  <c r="AE298"/>
  <c r="AA299"/>
  <c r="BH299"/>
  <c r="AE301"/>
  <c r="AA302"/>
  <c r="BH302"/>
  <c r="AE303"/>
  <c r="AE304"/>
  <c r="W305"/>
  <c r="AE324"/>
  <c r="AE325"/>
  <c r="AA326"/>
  <c r="BH326"/>
  <c r="AE328"/>
  <c r="AE329"/>
  <c r="AA330"/>
  <c r="BH330"/>
  <c r="AE332"/>
  <c r="AE333"/>
  <c r="AA334"/>
  <c r="BH334"/>
  <c r="AE336"/>
  <c r="AA337"/>
  <c r="BH337"/>
  <c r="AE339"/>
  <c r="AA340"/>
  <c r="BH340"/>
  <c r="AE342"/>
  <c r="AE343"/>
  <c r="AA344"/>
  <c r="BH344"/>
  <c r="AE346"/>
  <c r="AE347"/>
  <c r="AA348"/>
  <c r="BH348"/>
  <c r="AE350"/>
  <c r="AE351"/>
  <c r="AA352"/>
  <c r="BH352"/>
  <c r="AE354"/>
  <c r="W355"/>
  <c r="AE377"/>
  <c r="AE378"/>
  <c r="AA379"/>
  <c r="BH379"/>
  <c r="AE381"/>
  <c r="AE382"/>
  <c r="AA383"/>
  <c r="BH383"/>
  <c r="AE384"/>
  <c r="AE385"/>
  <c r="W386"/>
  <c r="AE395"/>
  <c r="AE396"/>
  <c r="AA397"/>
  <c r="BH397"/>
  <c r="AE399"/>
  <c r="AE401"/>
  <c r="AE403"/>
  <c r="AA404"/>
  <c r="BH404"/>
  <c r="AA406"/>
  <c r="BH406"/>
  <c r="AE407"/>
  <c r="AA408"/>
  <c r="BH408"/>
  <c r="AE410"/>
  <c r="AE412"/>
  <c r="AA413"/>
  <c r="BH413"/>
  <c r="AA415"/>
  <c r="BH415"/>
  <c r="AE417"/>
  <c r="AE418"/>
  <c r="X419"/>
  <c r="W419" s="1"/>
  <c r="AF419" s="1"/>
  <c r="AE422"/>
  <c r="AA423"/>
  <c r="BH423"/>
  <c r="AE425"/>
  <c r="AE426"/>
  <c r="AA427"/>
  <c r="BH427"/>
  <c r="AE429"/>
  <c r="AE430"/>
  <c r="AA431"/>
  <c r="BH431"/>
  <c r="AE433"/>
  <c r="AA434"/>
  <c r="BH434"/>
  <c r="AE436"/>
  <c r="AE437"/>
  <c r="AA438"/>
  <c r="BH438"/>
  <c r="AE440"/>
  <c r="AE441"/>
  <c r="AA442"/>
  <c r="BH442"/>
  <c r="AE444"/>
  <c r="AE445"/>
  <c r="AA446"/>
  <c r="BH446"/>
  <c r="AE447"/>
  <c r="AE448"/>
  <c r="AA449"/>
  <c r="BH449"/>
  <c r="AE451"/>
  <c r="AE452"/>
  <c r="AA453"/>
  <c r="BH453"/>
  <c r="AE454"/>
  <c r="AE455"/>
  <c r="AA456"/>
  <c r="BH456"/>
  <c r="AE458"/>
  <c r="AE459"/>
  <c r="AA460"/>
  <c r="BH460"/>
  <c r="AE462"/>
  <c r="AE463"/>
  <c r="AA464"/>
  <c r="BH464"/>
  <c r="AE466"/>
  <c r="AE467"/>
  <c r="AA468"/>
  <c r="BH468"/>
  <c r="AE470"/>
  <c r="AE471"/>
  <c r="AA472"/>
  <c r="BH472"/>
  <c r="AE474"/>
  <c r="AE475"/>
  <c r="AA476"/>
  <c r="BH476"/>
  <c r="AE478"/>
  <c r="AA479"/>
  <c r="BH479"/>
  <c r="AE481"/>
  <c r="AA482"/>
  <c r="BH482"/>
  <c r="AE484"/>
  <c r="AA485"/>
  <c r="BH485"/>
  <c r="AE487"/>
  <c r="AE488"/>
  <c r="AA489"/>
  <c r="BH489"/>
  <c r="AE491"/>
  <c r="AE492"/>
  <c r="W493"/>
  <c r="AF493" s="1"/>
  <c r="AE74"/>
  <c r="BG298"/>
  <c r="BH298"/>
  <c r="AA298"/>
  <c r="BG303"/>
  <c r="BH303"/>
  <c r="AA303"/>
  <c r="BG295"/>
  <c r="AJ301"/>
  <c r="X301"/>
  <c r="W301" s="1"/>
  <c r="AJ306"/>
  <c r="W306"/>
  <c r="AE75"/>
  <c r="AE76"/>
  <c r="AE77"/>
  <c r="AE78"/>
  <c r="AE79"/>
  <c r="AE80"/>
  <c r="X81"/>
  <c r="W81" s="1"/>
  <c r="AE82"/>
  <c r="AE83"/>
  <c r="AA84"/>
  <c r="BH84"/>
  <c r="AE86"/>
  <c r="AE87"/>
  <c r="AA88"/>
  <c r="BH88"/>
  <c r="AE89"/>
  <c r="AE90"/>
  <c r="AA91"/>
  <c r="BH91"/>
  <c r="AE93"/>
  <c r="AE94"/>
  <c r="AA95"/>
  <c r="BH95"/>
  <c r="AE96"/>
  <c r="AE97"/>
  <c r="AE99"/>
  <c r="W100"/>
  <c r="AE101"/>
  <c r="AE102"/>
  <c r="AA103"/>
  <c r="BH103"/>
  <c r="AE105"/>
  <c r="AA106"/>
  <c r="AE108"/>
  <c r="AA109"/>
  <c r="AE110"/>
  <c r="AE111"/>
  <c r="AA112"/>
  <c r="AE114"/>
  <c r="AE115"/>
  <c r="AA116"/>
  <c r="AE117"/>
  <c r="X118"/>
  <c r="W118" s="1"/>
  <c r="AF118" s="1"/>
  <c r="AA119"/>
  <c r="BH119"/>
  <c r="AE121"/>
  <c r="AA122"/>
  <c r="BH122"/>
  <c r="AE124"/>
  <c r="AE125"/>
  <c r="W126"/>
  <c r="AF126" s="1"/>
  <c r="AE127"/>
  <c r="AA128"/>
  <c r="BH128"/>
  <c r="AE130"/>
  <c r="AE131"/>
  <c r="AA132"/>
  <c r="BH132"/>
  <c r="AE133"/>
  <c r="AA134"/>
  <c r="BH134"/>
  <c r="AE135"/>
  <c r="AA136"/>
  <c r="BH136"/>
  <c r="AE137"/>
  <c r="AA138"/>
  <c r="BH138"/>
  <c r="AE139"/>
  <c r="AA140"/>
  <c r="BH140"/>
  <c r="AE142"/>
  <c r="AE143"/>
  <c r="AE145"/>
  <c r="AA146"/>
  <c r="BH146"/>
  <c r="AE147"/>
  <c r="AA148"/>
  <c r="BH148"/>
  <c r="AE150"/>
  <c r="AE151"/>
  <c r="AA152"/>
  <c r="BH152"/>
  <c r="AE154"/>
  <c r="AE155"/>
  <c r="X156"/>
  <c r="W156" s="1"/>
  <c r="AE157"/>
  <c r="AA158"/>
  <c r="BH158"/>
  <c r="AE160"/>
  <c r="AE161"/>
  <c r="AA162"/>
  <c r="BH162"/>
  <c r="AE164"/>
  <c r="AA165"/>
  <c r="BH165"/>
  <c r="AE166"/>
  <c r="AE167"/>
  <c r="W168"/>
  <c r="AE169"/>
  <c r="AA170"/>
  <c r="BH170"/>
  <c r="AE171"/>
  <c r="AA172"/>
  <c r="BH172"/>
  <c r="AE173"/>
  <c r="AA174"/>
  <c r="BH174"/>
  <c r="AE176"/>
  <c r="AA177"/>
  <c r="BH177"/>
  <c r="AE178"/>
  <c r="AE179"/>
  <c r="AE181"/>
  <c r="W182"/>
  <c r="AE183"/>
  <c r="AE184"/>
  <c r="W185"/>
  <c r="AE186"/>
  <c r="AA187"/>
  <c r="BH187"/>
  <c r="AE188"/>
  <c r="AE189"/>
  <c r="AA190"/>
  <c r="BH190"/>
  <c r="AE192"/>
  <c r="AE193"/>
  <c r="AA194"/>
  <c r="BH194"/>
  <c r="AE196"/>
  <c r="AE197"/>
  <c r="W198"/>
  <c r="AE199"/>
  <c r="AE200"/>
  <c r="AA201"/>
  <c r="BH201"/>
  <c r="AE202"/>
  <c r="AE203"/>
  <c r="AA204"/>
  <c r="BH204"/>
  <c r="AE205"/>
  <c r="AA206"/>
  <c r="BH206"/>
  <c r="AE208"/>
  <c r="AA209"/>
  <c r="BH209"/>
  <c r="AE211"/>
  <c r="AE212"/>
  <c r="AA213"/>
  <c r="BH213"/>
  <c r="AE215"/>
  <c r="AE216"/>
  <c r="AA217"/>
  <c r="BH217"/>
  <c r="AE219"/>
  <c r="W220"/>
  <c r="AE221"/>
  <c r="AE222"/>
  <c r="AA223"/>
  <c r="BH223"/>
  <c r="AE224"/>
  <c r="AE225"/>
  <c r="AA226"/>
  <c r="BH226"/>
  <c r="AE227"/>
  <c r="AE228"/>
  <c r="AA229"/>
  <c r="BH229"/>
  <c r="AE230"/>
  <c r="AE231"/>
  <c r="AA232"/>
  <c r="BH232"/>
  <c r="AE234"/>
  <c r="AA235"/>
  <c r="BH235"/>
  <c r="AE236"/>
  <c r="AE237"/>
  <c r="X238"/>
  <c r="W238" s="1"/>
  <c r="AE239"/>
  <c r="AE240"/>
  <c r="AA241"/>
  <c r="BH241"/>
  <c r="AE243"/>
  <c r="AE244"/>
  <c r="AA245"/>
  <c r="BH245"/>
  <c r="AE247"/>
  <c r="AE248"/>
  <c r="AA249"/>
  <c r="BH249"/>
  <c r="AE251"/>
  <c r="AE252"/>
  <c r="AA253"/>
  <c r="BH253"/>
  <c r="AE255"/>
  <c r="X256"/>
  <c r="W256" s="1"/>
  <c r="AE257"/>
  <c r="AE259"/>
  <c r="AA260"/>
  <c r="BH260"/>
  <c r="AE262"/>
  <c r="AE263"/>
  <c r="AA264"/>
  <c r="BH264"/>
  <c r="AE266"/>
  <c r="AA267"/>
  <c r="BH267"/>
  <c r="AE269"/>
  <c r="AE270"/>
  <c r="AA271"/>
  <c r="BH271"/>
  <c r="AE272"/>
  <c r="AE273"/>
  <c r="AA274"/>
  <c r="BH274"/>
  <c r="AE276"/>
  <c r="AE277"/>
  <c r="AA278"/>
  <c r="BH278"/>
  <c r="AE280"/>
  <c r="AE281"/>
  <c r="AA282"/>
  <c r="BH282"/>
  <c r="AE284"/>
  <c r="AE285"/>
  <c r="AA286"/>
  <c r="BH286"/>
  <c r="AE288"/>
  <c r="AE289"/>
  <c r="AA290"/>
  <c r="BH290"/>
  <c r="AE292"/>
  <c r="AE293"/>
  <c r="AA294"/>
  <c r="BH294"/>
  <c r="AE295"/>
  <c r="AJ474"/>
  <c r="AE297"/>
  <c r="AE299"/>
  <c r="AE300"/>
  <c r="AE302"/>
  <c r="AE305"/>
  <c r="AE308"/>
  <c r="AE309"/>
  <c r="AE311"/>
  <c r="AA312"/>
  <c r="BH312"/>
  <c r="AA314"/>
  <c r="BH314"/>
  <c r="AE316"/>
  <c r="AE317"/>
  <c r="AA319"/>
  <c r="BH319"/>
  <c r="AE321"/>
  <c r="AE323"/>
  <c r="AA324"/>
  <c r="BH324"/>
  <c r="AE326"/>
  <c r="AE327"/>
  <c r="AA328"/>
  <c r="BH328"/>
  <c r="AE330"/>
  <c r="AE331"/>
  <c r="AA332"/>
  <c r="BH332"/>
  <c r="AE334"/>
  <c r="AE335"/>
  <c r="AA336"/>
  <c r="BH336"/>
  <c r="AE337"/>
  <c r="AE338"/>
  <c r="AA339"/>
  <c r="BH339"/>
  <c r="AE340"/>
  <c r="AE341"/>
  <c r="AA342"/>
  <c r="BH342"/>
  <c r="AE344"/>
  <c r="AE345"/>
  <c r="AA346"/>
  <c r="BH346"/>
  <c r="AE348"/>
  <c r="AE349"/>
  <c r="AA350"/>
  <c r="BH350"/>
  <c r="AE352"/>
  <c r="AE353"/>
  <c r="AE355"/>
  <c r="AA356"/>
  <c r="BH356"/>
  <c r="AE358"/>
  <c r="AE359"/>
  <c r="AA360"/>
  <c r="BH360"/>
  <c r="AE362"/>
  <c r="AE363"/>
  <c r="W364"/>
  <c r="AE365"/>
  <c r="AE366"/>
  <c r="AA367"/>
  <c r="BH367"/>
  <c r="AE368"/>
  <c r="AE369"/>
  <c r="AA370"/>
  <c r="BH370"/>
  <c r="AE372"/>
  <c r="AE373"/>
  <c r="AA374"/>
  <c r="BH374"/>
  <c r="AE376"/>
  <c r="AA377"/>
  <c r="BH377"/>
  <c r="AE379"/>
  <c r="AE380"/>
  <c r="AA381"/>
  <c r="BH381"/>
  <c r="AE383"/>
  <c r="AA384"/>
  <c r="BH384"/>
  <c r="AE386"/>
  <c r="X387"/>
  <c r="W387" s="1"/>
  <c r="AE388"/>
  <c r="AE389"/>
  <c r="AA390"/>
  <c r="BH390"/>
  <c r="AE392"/>
  <c r="AE394"/>
  <c r="AA395"/>
  <c r="BH395"/>
  <c r="AE397"/>
  <c r="AE398"/>
  <c r="AE400"/>
  <c r="X401"/>
  <c r="W401" s="1"/>
  <c r="AA402"/>
  <c r="BH402"/>
  <c r="AE404"/>
  <c r="AE405"/>
  <c r="AA407"/>
  <c r="BH407"/>
  <c r="AE409"/>
  <c r="W410"/>
  <c r="AF410" s="1"/>
  <c r="AA411"/>
  <c r="BH411"/>
  <c r="AE413"/>
  <c r="AE414"/>
  <c r="AE416"/>
  <c r="X417"/>
  <c r="W417" s="1"/>
  <c r="AA417"/>
  <c r="BH417"/>
  <c r="AE419"/>
  <c r="W420"/>
  <c r="AF420" s="1"/>
  <c r="AE421"/>
  <c r="W422"/>
  <c r="AF422" s="1"/>
  <c r="AE423"/>
  <c r="AE424"/>
  <c r="AA425"/>
  <c r="BH425"/>
  <c r="AE427"/>
  <c r="AE428"/>
  <c r="AA429"/>
  <c r="BH429"/>
  <c r="AE431"/>
  <c r="AE432"/>
  <c r="W433"/>
  <c r="AF433" s="1"/>
  <c r="AE434"/>
  <c r="AE435"/>
  <c r="AA436"/>
  <c r="BH436"/>
  <c r="AE438"/>
  <c r="AE439"/>
  <c r="AA440"/>
  <c r="BH440"/>
  <c r="AE442"/>
  <c r="AE443"/>
  <c r="AA444"/>
  <c r="BH444"/>
  <c r="AE446"/>
  <c r="AA447"/>
  <c r="BH447"/>
  <c r="AE449"/>
  <c r="AE450"/>
  <c r="AA451"/>
  <c r="BH451"/>
  <c r="AE453"/>
  <c r="AA454"/>
  <c r="BH454"/>
  <c r="AE456"/>
  <c r="AE457"/>
  <c r="AA458"/>
  <c r="BH458"/>
  <c r="AE460"/>
  <c r="AE461"/>
  <c r="AA462"/>
  <c r="BH462"/>
  <c r="AE464"/>
  <c r="AE465"/>
  <c r="AA466"/>
  <c r="BH466"/>
  <c r="AE468"/>
  <c r="AE469"/>
  <c r="AA470"/>
  <c r="BH470"/>
  <c r="AE472"/>
  <c r="AE473"/>
  <c r="X474"/>
  <c r="AA474"/>
  <c r="BH474"/>
  <c r="AE476"/>
  <c r="AE477"/>
  <c r="AA478"/>
  <c r="BH478"/>
  <c r="AE479"/>
  <c r="AE480"/>
  <c r="AA481"/>
  <c r="BH481"/>
  <c r="AE482"/>
  <c r="AE483"/>
  <c r="AA484"/>
  <c r="BH484"/>
  <c r="AE485"/>
  <c r="AE486"/>
  <c r="AA487"/>
  <c r="BH487"/>
  <c r="AE489"/>
  <c r="AE490"/>
  <c r="AA491"/>
  <c r="BH491"/>
  <c r="AE493"/>
  <c r="AA494"/>
  <c r="BH494"/>
  <c r="AE496"/>
  <c r="AE497"/>
  <c r="AE498"/>
  <c r="BH117"/>
  <c r="BH118"/>
  <c r="AA118"/>
  <c r="BH121"/>
  <c r="AA121"/>
  <c r="BH125"/>
  <c r="AA125"/>
  <c r="BH127"/>
  <c r="AA127"/>
  <c r="BH131"/>
  <c r="AA131"/>
  <c r="X140"/>
  <c r="W140"/>
  <c r="BH143"/>
  <c r="AA143"/>
  <c r="BG74"/>
  <c r="BH75"/>
  <c r="AA74"/>
  <c r="BH74"/>
  <c r="AA75"/>
  <c r="AA76"/>
  <c r="BG76"/>
  <c r="AA77"/>
  <c r="BG77"/>
  <c r="AA78"/>
  <c r="BG78"/>
  <c r="AA79"/>
  <c r="BG79"/>
  <c r="AA80"/>
  <c r="BH80"/>
  <c r="AA81"/>
  <c r="BH81"/>
  <c r="AA83"/>
  <c r="BH83"/>
  <c r="AA85"/>
  <c r="BH85"/>
  <c r="AA87"/>
  <c r="BH87"/>
  <c r="X89"/>
  <c r="W89" s="1"/>
  <c r="AF89" s="1"/>
  <c r="AA90"/>
  <c r="BH90"/>
  <c r="AA92"/>
  <c r="BH92"/>
  <c r="AA94"/>
  <c r="BH94"/>
  <c r="W96"/>
  <c r="AA97"/>
  <c r="BH97"/>
  <c r="AA98"/>
  <c r="BH98"/>
  <c r="AA99"/>
  <c r="BH99"/>
  <c r="AA100"/>
  <c r="BH100"/>
  <c r="AA102"/>
  <c r="BH102"/>
  <c r="AA104"/>
  <c r="BH104"/>
  <c r="W106"/>
  <c r="BG106"/>
  <c r="AA107"/>
  <c r="BH107"/>
  <c r="BG108"/>
  <c r="BG109"/>
  <c r="W110"/>
  <c r="AF110" s="1"/>
  <c r="BG110"/>
  <c r="AA111"/>
  <c r="BH111"/>
  <c r="BG112"/>
  <c r="AA113"/>
  <c r="BH113"/>
  <c r="BG114"/>
  <c r="AA115"/>
  <c r="BH115"/>
  <c r="BG116"/>
  <c r="X117"/>
  <c r="W117" s="1"/>
  <c r="AF117" s="1"/>
  <c r="BG117"/>
  <c r="AE119"/>
  <c r="AE136"/>
  <c r="AE138"/>
  <c r="AE140"/>
  <c r="AE144"/>
  <c r="BH120"/>
  <c r="AA120"/>
  <c r="BH123"/>
  <c r="AA123"/>
  <c r="BH126"/>
  <c r="AA126"/>
  <c r="BH129"/>
  <c r="AA129"/>
  <c r="X139"/>
  <c r="W139"/>
  <c r="AF139" s="1"/>
  <c r="BH141"/>
  <c r="AA141"/>
  <c r="BH145"/>
  <c r="AA145"/>
  <c r="BH76"/>
  <c r="BH77"/>
  <c r="BH78"/>
  <c r="BH79"/>
  <c r="BH106"/>
  <c r="BH108"/>
  <c r="BH109"/>
  <c r="BH110"/>
  <c r="BH112"/>
  <c r="BH114"/>
  <c r="BH116"/>
  <c r="BG121"/>
  <c r="BG125"/>
  <c r="BG127"/>
  <c r="BG131"/>
  <c r="BH307"/>
  <c r="AA307"/>
  <c r="BH311"/>
  <c r="AA311"/>
  <c r="BH315"/>
  <c r="AA315"/>
  <c r="AJ319"/>
  <c r="X319"/>
  <c r="W319" s="1"/>
  <c r="AF319" s="1"/>
  <c r="BH321"/>
  <c r="AA321"/>
  <c r="BG321"/>
  <c r="BG149"/>
  <c r="BG151"/>
  <c r="BG153"/>
  <c r="BG155"/>
  <c r="BG156"/>
  <c r="BG157"/>
  <c r="BG159"/>
  <c r="BG161"/>
  <c r="BG163"/>
  <c r="BG167"/>
  <c r="BG168"/>
  <c r="BG169"/>
  <c r="BG175"/>
  <c r="BG179"/>
  <c r="BG180"/>
  <c r="BG181"/>
  <c r="BG182"/>
  <c r="BG184"/>
  <c r="BG185"/>
  <c r="BG186"/>
  <c r="BG189"/>
  <c r="BG191"/>
  <c r="BG193"/>
  <c r="BG195"/>
  <c r="BG197"/>
  <c r="BG198"/>
  <c r="BG200"/>
  <c r="BG203"/>
  <c r="BG207"/>
  <c r="BG210"/>
  <c r="BG212"/>
  <c r="BG214"/>
  <c r="BG216"/>
  <c r="BG218"/>
  <c r="BG219"/>
  <c r="BG220"/>
  <c r="BG222"/>
  <c r="BG225"/>
  <c r="BG228"/>
  <c r="BG231"/>
  <c r="BG233"/>
  <c r="BG237"/>
  <c r="BG238"/>
  <c r="BG240"/>
  <c r="BG242"/>
  <c r="BG244"/>
  <c r="BG246"/>
  <c r="BG248"/>
  <c r="BG250"/>
  <c r="BG252"/>
  <c r="BG254"/>
  <c r="BG255"/>
  <c r="BG256"/>
  <c r="BG257"/>
  <c r="BG258"/>
  <c r="BG259"/>
  <c r="BG261"/>
  <c r="BG263"/>
  <c r="BG265"/>
  <c r="BG268"/>
  <c r="BG270"/>
  <c r="BG273"/>
  <c r="BG275"/>
  <c r="BG277"/>
  <c r="BG279"/>
  <c r="BG281"/>
  <c r="BG283"/>
  <c r="BG285"/>
  <c r="BG287"/>
  <c r="BG289"/>
  <c r="BG291"/>
  <c r="BG293"/>
  <c r="BG296"/>
  <c r="BG297"/>
  <c r="BG300"/>
  <c r="BG301"/>
  <c r="BG304"/>
  <c r="BG305"/>
  <c r="BH306"/>
  <c r="BH309"/>
  <c r="AA309"/>
  <c r="BH313"/>
  <c r="AA313"/>
  <c r="BH317"/>
  <c r="AA317"/>
  <c r="AJ320"/>
  <c r="X320"/>
  <c r="W320" s="1"/>
  <c r="X147"/>
  <c r="W147" s="1"/>
  <c r="X148"/>
  <c r="W148" s="1"/>
  <c r="AF148" s="1"/>
  <c r="AA149"/>
  <c r="BH149"/>
  <c r="AA151"/>
  <c r="BH151"/>
  <c r="AA153"/>
  <c r="BH153"/>
  <c r="AA155"/>
  <c r="BH155"/>
  <c r="AA156"/>
  <c r="BH156"/>
  <c r="AA157"/>
  <c r="BH157"/>
  <c r="AA159"/>
  <c r="BH159"/>
  <c r="AA161"/>
  <c r="BH161"/>
  <c r="AA163"/>
  <c r="BH163"/>
  <c r="X165"/>
  <c r="W165" s="1"/>
  <c r="W166"/>
  <c r="AA167"/>
  <c r="BH167"/>
  <c r="AA168"/>
  <c r="BH168"/>
  <c r="AA169"/>
  <c r="BH169"/>
  <c r="X173"/>
  <c r="W173" s="1"/>
  <c r="W174"/>
  <c r="AA175"/>
  <c r="BH175"/>
  <c r="W177"/>
  <c r="X178"/>
  <c r="W178" s="1"/>
  <c r="AA179"/>
  <c r="BH179"/>
  <c r="AA180"/>
  <c r="BH180"/>
  <c r="AA181"/>
  <c r="BH181"/>
  <c r="AA182"/>
  <c r="BH182"/>
  <c r="AA184"/>
  <c r="BH184"/>
  <c r="AA185"/>
  <c r="BH185"/>
  <c r="AA186"/>
  <c r="BH186"/>
  <c r="AA189"/>
  <c r="BH189"/>
  <c r="AA191"/>
  <c r="BH191"/>
  <c r="AA193"/>
  <c r="BH193"/>
  <c r="AA195"/>
  <c r="BH195"/>
  <c r="AA197"/>
  <c r="BH197"/>
  <c r="AA198"/>
  <c r="BH198"/>
  <c r="AA200"/>
  <c r="BH200"/>
  <c r="X202"/>
  <c r="W202" s="1"/>
  <c r="AA203"/>
  <c r="BH203"/>
  <c r="W205"/>
  <c r="AF205" s="1"/>
  <c r="W206"/>
  <c r="AA207"/>
  <c r="BH207"/>
  <c r="X209"/>
  <c r="W209" s="1"/>
  <c r="AA210"/>
  <c r="BH210"/>
  <c r="AA212"/>
  <c r="BH212"/>
  <c r="AA214"/>
  <c r="BH214"/>
  <c r="AA216"/>
  <c r="BH216"/>
  <c r="AA218"/>
  <c r="BH218"/>
  <c r="AA219"/>
  <c r="BH219"/>
  <c r="AA220"/>
  <c r="BH220"/>
  <c r="AA222"/>
  <c r="BH222"/>
  <c r="W224"/>
  <c r="AA225"/>
  <c r="BH225"/>
  <c r="X227"/>
  <c r="W227" s="1"/>
  <c r="AA228"/>
  <c r="BH228"/>
  <c r="W230"/>
  <c r="AA231"/>
  <c r="BH231"/>
  <c r="AA233"/>
  <c r="BH233"/>
  <c r="X236"/>
  <c r="W236" s="1"/>
  <c r="AA237"/>
  <c r="BH237"/>
  <c r="AA238"/>
  <c r="BH238"/>
  <c r="AA240"/>
  <c r="BH240"/>
  <c r="AA242"/>
  <c r="BH242"/>
  <c r="AA244"/>
  <c r="BH244"/>
  <c r="AA246"/>
  <c r="BH246"/>
  <c r="AA248"/>
  <c r="BH248"/>
  <c r="AA250"/>
  <c r="BH250"/>
  <c r="AA252"/>
  <c r="BH252"/>
  <c r="AA254"/>
  <c r="BH254"/>
  <c r="AA255"/>
  <c r="BH255"/>
  <c r="AA256"/>
  <c r="BH256"/>
  <c r="AA257"/>
  <c r="BH257"/>
  <c r="AA258"/>
  <c r="BH258"/>
  <c r="AA259"/>
  <c r="BH259"/>
  <c r="AA261"/>
  <c r="BH261"/>
  <c r="AA263"/>
  <c r="BH263"/>
  <c r="AA265"/>
  <c r="BH265"/>
  <c r="W267"/>
  <c r="AF267" s="1"/>
  <c r="AA268"/>
  <c r="BH268"/>
  <c r="AA270"/>
  <c r="BH270"/>
  <c r="W272"/>
  <c r="AA273"/>
  <c r="BH273"/>
  <c r="AA275"/>
  <c r="BH275"/>
  <c r="AA277"/>
  <c r="BH277"/>
  <c r="AA279"/>
  <c r="BH279"/>
  <c r="AA281"/>
  <c r="BH281"/>
  <c r="AA283"/>
  <c r="BH283"/>
  <c r="AA285"/>
  <c r="BH285"/>
  <c r="AA287"/>
  <c r="BH287"/>
  <c r="AA289"/>
  <c r="BH289"/>
  <c r="AA291"/>
  <c r="BH291"/>
  <c r="AA293"/>
  <c r="BH293"/>
  <c r="X295"/>
  <c r="W295" s="1"/>
  <c r="AA296"/>
  <c r="BH296"/>
  <c r="AA297"/>
  <c r="BH297"/>
  <c r="W299"/>
  <c r="AA300"/>
  <c r="BH300"/>
  <c r="AA301"/>
  <c r="BH301"/>
  <c r="W303"/>
  <c r="AA304"/>
  <c r="BH304"/>
  <c r="AA305"/>
  <c r="BH305"/>
  <c r="AA306"/>
  <c r="BG307"/>
  <c r="AE310"/>
  <c r="BG311"/>
  <c r="AE314"/>
  <c r="BG315"/>
  <c r="AE318"/>
  <c r="AE320"/>
  <c r="BH403"/>
  <c r="AA403"/>
  <c r="BH409"/>
  <c r="AA409"/>
  <c r="BH412"/>
  <c r="AA412"/>
  <c r="BG322"/>
  <c r="BG323"/>
  <c r="BG325"/>
  <c r="BG327"/>
  <c r="BG329"/>
  <c r="BG331"/>
  <c r="BG333"/>
  <c r="BG335"/>
  <c r="BG338"/>
  <c r="BG341"/>
  <c r="BG343"/>
  <c r="BG345"/>
  <c r="BG347"/>
  <c r="BG349"/>
  <c r="BG351"/>
  <c r="BG353"/>
  <c r="BG354"/>
  <c r="BG355"/>
  <c r="BG357"/>
  <c r="BG359"/>
  <c r="BG361"/>
  <c r="BG363"/>
  <c r="BG364"/>
  <c r="BG366"/>
  <c r="BG369"/>
  <c r="BG371"/>
  <c r="BG373"/>
  <c r="BG375"/>
  <c r="BG376"/>
  <c r="BG378"/>
  <c r="BG380"/>
  <c r="BG382"/>
  <c r="BG385"/>
  <c r="BG386"/>
  <c r="BG387"/>
  <c r="BG389"/>
  <c r="BG391"/>
  <c r="BG392"/>
  <c r="BG393"/>
  <c r="BG394"/>
  <c r="BG396"/>
  <c r="BG398"/>
  <c r="BG399"/>
  <c r="BG400"/>
  <c r="BH401"/>
  <c r="AA401"/>
  <c r="BH405"/>
  <c r="AA405"/>
  <c r="BH410"/>
  <c r="AA410"/>
  <c r="BH414"/>
  <c r="AA414"/>
  <c r="AA322"/>
  <c r="BH322"/>
  <c r="AA323"/>
  <c r="BH323"/>
  <c r="AA325"/>
  <c r="BH325"/>
  <c r="AA327"/>
  <c r="BH327"/>
  <c r="AA329"/>
  <c r="BH329"/>
  <c r="AA331"/>
  <c r="BH331"/>
  <c r="AA333"/>
  <c r="BH333"/>
  <c r="AA335"/>
  <c r="BH335"/>
  <c r="AA338"/>
  <c r="BH338"/>
  <c r="AA341"/>
  <c r="BH341"/>
  <c r="AA343"/>
  <c r="BH343"/>
  <c r="AA345"/>
  <c r="BH345"/>
  <c r="AA347"/>
  <c r="BH347"/>
  <c r="AA349"/>
  <c r="BH349"/>
  <c r="AA351"/>
  <c r="BH351"/>
  <c r="AA353"/>
  <c r="BH353"/>
  <c r="AA354"/>
  <c r="BH354"/>
  <c r="AA355"/>
  <c r="BH355"/>
  <c r="AA357"/>
  <c r="BH357"/>
  <c r="AA359"/>
  <c r="BH359"/>
  <c r="AA361"/>
  <c r="BH361"/>
  <c r="AA363"/>
  <c r="BH363"/>
  <c r="AA364"/>
  <c r="BH364"/>
  <c r="AA366"/>
  <c r="BH366"/>
  <c r="X368"/>
  <c r="W368" s="1"/>
  <c r="AA369"/>
  <c r="BH369"/>
  <c r="AA371"/>
  <c r="BH371"/>
  <c r="AA373"/>
  <c r="BH373"/>
  <c r="AA375"/>
  <c r="BH375"/>
  <c r="AA376"/>
  <c r="BH376"/>
  <c r="AA378"/>
  <c r="BH378"/>
  <c r="AA380"/>
  <c r="BH380"/>
  <c r="AA382"/>
  <c r="BH382"/>
  <c r="W384"/>
  <c r="AA385"/>
  <c r="BH385"/>
  <c r="AA386"/>
  <c r="BH386"/>
  <c r="AA387"/>
  <c r="BH387"/>
  <c r="AA389"/>
  <c r="BH389"/>
  <c r="AA391"/>
  <c r="BH391"/>
  <c r="AA392"/>
  <c r="BH392"/>
  <c r="AA393"/>
  <c r="BH393"/>
  <c r="AA394"/>
  <c r="BH394"/>
  <c r="AA396"/>
  <c r="BH396"/>
  <c r="AA398"/>
  <c r="BH398"/>
  <c r="AA399"/>
  <c r="BH399"/>
  <c r="AA400"/>
  <c r="BH400"/>
  <c r="AE402"/>
  <c r="BG403"/>
  <c r="AE406"/>
  <c r="AE408"/>
  <c r="BG409"/>
  <c r="AE411"/>
  <c r="BG412"/>
  <c r="AE415"/>
  <c r="AA416"/>
  <c r="BH416"/>
  <c r="AA418"/>
  <c r="BH418"/>
  <c r="AA419"/>
  <c r="BH419"/>
  <c r="AA420"/>
  <c r="BH420"/>
  <c r="AA421"/>
  <c r="BH421"/>
  <c r="AA422"/>
  <c r="BH422"/>
  <c r="AA424"/>
  <c r="BH424"/>
  <c r="AA426"/>
  <c r="BH426"/>
  <c r="AA428"/>
  <c r="BH428"/>
  <c r="AA430"/>
  <c r="BH430"/>
  <c r="AA432"/>
  <c r="BH432"/>
  <c r="AA433"/>
  <c r="BH433"/>
  <c r="AA435"/>
  <c r="BH435"/>
  <c r="AA437"/>
  <c r="BH437"/>
  <c r="AA439"/>
  <c r="BH439"/>
  <c r="AA441"/>
  <c r="BH441"/>
  <c r="AA443"/>
  <c r="BH443"/>
  <c r="AA445"/>
  <c r="BH445"/>
  <c r="X447"/>
  <c r="W447" s="1"/>
  <c r="AF447" s="1"/>
  <c r="AA448"/>
  <c r="BH448"/>
  <c r="AA450"/>
  <c r="BH450"/>
  <c r="AA452"/>
  <c r="BH452"/>
  <c r="W454"/>
  <c r="AF454" s="1"/>
  <c r="AA455"/>
  <c r="BH455"/>
  <c r="AA457"/>
  <c r="BH457"/>
  <c r="AA459"/>
  <c r="BH459"/>
  <c r="AA461"/>
  <c r="BH461"/>
  <c r="AA463"/>
  <c r="BH463"/>
  <c r="AA465"/>
  <c r="BH465"/>
  <c r="AA467"/>
  <c r="BH467"/>
  <c r="AA469"/>
  <c r="BH469"/>
  <c r="AA471"/>
  <c r="BH471"/>
  <c r="AA473"/>
  <c r="BH473"/>
  <c r="AA475"/>
  <c r="BH475"/>
  <c r="AA477"/>
  <c r="BH477"/>
  <c r="W479"/>
  <c r="AA480"/>
  <c r="BH480"/>
  <c r="X482"/>
  <c r="W482" s="1"/>
  <c r="AA483"/>
  <c r="BH483"/>
  <c r="X485"/>
  <c r="W485" s="1"/>
  <c r="AA486"/>
  <c r="BH486"/>
  <c r="AA488"/>
  <c r="BH488"/>
  <c r="AA490"/>
  <c r="BH490"/>
  <c r="AA492"/>
  <c r="BH492"/>
  <c r="AA493"/>
  <c r="BH493"/>
  <c r="AA495"/>
  <c r="BH495"/>
  <c r="BG496"/>
  <c r="AA497"/>
  <c r="BH497"/>
  <c r="BG498"/>
  <c r="AA499"/>
  <c r="BH499"/>
  <c r="AJ496"/>
  <c r="BH496"/>
  <c r="AA498"/>
  <c r="BH498"/>
  <c r="W87"/>
  <c r="W91"/>
  <c r="AF91" s="1"/>
  <c r="W92"/>
  <c r="W93"/>
  <c r="AF93" s="1"/>
  <c r="AQ93" s="1"/>
  <c r="W97"/>
  <c r="AJ98"/>
  <c r="AJ99"/>
  <c r="AJ100"/>
  <c r="X101"/>
  <c r="W101" s="1"/>
  <c r="W102"/>
  <c r="X107"/>
  <c r="W107" s="1"/>
  <c r="W108"/>
  <c r="W114"/>
  <c r="AF114" s="1"/>
  <c r="W115"/>
  <c r="AF115" s="1"/>
  <c r="AS115" s="1"/>
  <c r="W122"/>
  <c r="AF122" s="1"/>
  <c r="W125"/>
  <c r="W128"/>
  <c r="AF128" s="1"/>
  <c r="AJ140"/>
  <c r="X141"/>
  <c r="W141" s="1"/>
  <c r="X142"/>
  <c r="W142" s="1"/>
  <c r="AF142" s="1"/>
  <c r="X146"/>
  <c r="W146" s="1"/>
  <c r="AF146" s="1"/>
  <c r="W151"/>
  <c r="W154"/>
  <c r="AF154" s="1"/>
  <c r="W158"/>
  <c r="X159"/>
  <c r="W159" s="1"/>
  <c r="X162"/>
  <c r="W162" s="1"/>
  <c r="X163"/>
  <c r="W163" s="1"/>
  <c r="W164"/>
  <c r="W167"/>
  <c r="AJ168"/>
  <c r="X175"/>
  <c r="W175" s="1"/>
  <c r="W176"/>
  <c r="AJ177"/>
  <c r="X183"/>
  <c r="W183" s="1"/>
  <c r="W184"/>
  <c r="AJ185"/>
  <c r="AJ188"/>
  <c r="W192"/>
  <c r="AF192" s="1"/>
  <c r="W193"/>
  <c r="AF193" s="1"/>
  <c r="X194"/>
  <c r="W194" s="1"/>
  <c r="AF194" s="1"/>
  <c r="AJ198"/>
  <c r="W200"/>
  <c r="AF200" s="1"/>
  <c r="AJ206"/>
  <c r="X208"/>
  <c r="W208" s="1"/>
  <c r="X210"/>
  <c r="W210" s="1"/>
  <c r="AF210" s="1"/>
  <c r="X211"/>
  <c r="W211" s="1"/>
  <c r="W212"/>
  <c r="AF212" s="1"/>
  <c r="W217"/>
  <c r="AF217" s="1"/>
  <c r="AT217" s="1"/>
  <c r="X218"/>
  <c r="AG218" s="1"/>
  <c r="W221"/>
  <c r="AF221" s="1"/>
  <c r="W222"/>
  <c r="W228"/>
  <c r="W233"/>
  <c r="AF233" s="1"/>
  <c r="W237"/>
  <c r="AF237" s="1"/>
  <c r="AQ237" s="1"/>
  <c r="X239"/>
  <c r="W239" s="1"/>
  <c r="AF239" s="1"/>
  <c r="X240"/>
  <c r="W240" s="1"/>
  <c r="X242"/>
  <c r="W242" s="1"/>
  <c r="W243"/>
  <c r="AF243" s="1"/>
  <c r="X244"/>
  <c r="W244" s="1"/>
  <c r="W245"/>
  <c r="AF245" s="1"/>
  <c r="W246"/>
  <c r="W247"/>
  <c r="AF247" s="1"/>
  <c r="X248"/>
  <c r="W248" s="1"/>
  <c r="W249"/>
  <c r="AF249" s="1"/>
  <c r="W254"/>
  <c r="W261"/>
  <c r="AF261" s="1"/>
  <c r="AZ261" s="1"/>
  <c r="W273"/>
  <c r="AF273" s="1"/>
  <c r="W284"/>
  <c r="X286"/>
  <c r="W286" s="1"/>
  <c r="W293"/>
  <c r="W294"/>
  <c r="AJ299"/>
  <c r="AJ303"/>
  <c r="W309"/>
  <c r="AF309" s="1"/>
  <c r="AZ309" s="1"/>
  <c r="W318"/>
  <c r="AJ323"/>
  <c r="W325"/>
  <c r="AF325" s="1"/>
  <c r="W328"/>
  <c r="W329"/>
  <c r="AF329" s="1"/>
  <c r="AJ337"/>
  <c r="W340"/>
  <c r="X341"/>
  <c r="W341" s="1"/>
  <c r="W345"/>
  <c r="AF345" s="1"/>
  <c r="X346"/>
  <c r="W346" s="1"/>
  <c r="W347"/>
  <c r="X349"/>
  <c r="W349" s="1"/>
  <c r="AF349" s="1"/>
  <c r="X363"/>
  <c r="W363" s="1"/>
  <c r="X370"/>
  <c r="W370" s="1"/>
  <c r="AZ376"/>
  <c r="AJ376"/>
  <c r="W379"/>
  <c r="W383"/>
  <c r="AJ393"/>
  <c r="W403"/>
  <c r="AF403" s="1"/>
  <c r="X404"/>
  <c r="W404" s="1"/>
  <c r="AF404" s="1"/>
  <c r="X405"/>
  <c r="W405" s="1"/>
  <c r="AJ410"/>
  <c r="X413"/>
  <c r="W413" s="1"/>
  <c r="AF413" s="1"/>
  <c r="W415"/>
  <c r="AF415" s="1"/>
  <c r="AZ421"/>
  <c r="AJ421"/>
  <c r="W425"/>
  <c r="AF425" s="1"/>
  <c r="X444"/>
  <c r="W444" s="1"/>
  <c r="AF444" s="1"/>
  <c r="W448"/>
  <c r="AF448" s="1"/>
  <c r="W449"/>
  <c r="AF449" s="1"/>
  <c r="W450"/>
  <c r="AF450" s="1"/>
  <c r="W456"/>
  <c r="W457"/>
  <c r="X460"/>
  <c r="W460" s="1"/>
  <c r="AJ469"/>
  <c r="AJ476"/>
  <c r="AJ481"/>
  <c r="AJ484"/>
  <c r="AJ488"/>
  <c r="AJ490"/>
  <c r="AJ87"/>
  <c r="AF92"/>
  <c r="AP92" s="1"/>
  <c r="AZ93"/>
  <c r="AJ93"/>
  <c r="AJ97"/>
  <c r="AJ114"/>
  <c r="AZ115"/>
  <c r="BA115" s="1"/>
  <c r="AJ115"/>
  <c r="AJ131"/>
  <c r="AJ151"/>
  <c r="AJ154"/>
  <c r="AJ158"/>
  <c r="AJ217"/>
  <c r="AJ222"/>
  <c r="AZ237"/>
  <c r="AJ237"/>
  <c r="AJ246"/>
  <c r="AJ273"/>
  <c r="AJ307"/>
  <c r="AJ308"/>
  <c r="AJ328"/>
  <c r="AJ340"/>
  <c r="AJ347"/>
  <c r="AJ348"/>
  <c r="AJ354"/>
  <c r="X356"/>
  <c r="W356" s="1"/>
  <c r="X365"/>
  <c r="W365" s="1"/>
  <c r="AF365" s="1"/>
  <c r="AJ379"/>
  <c r="W381"/>
  <c r="AF381" s="1"/>
  <c r="AJ383"/>
  <c r="AJ445"/>
  <c r="AJ456"/>
  <c r="W469"/>
  <c r="W476"/>
  <c r="X477"/>
  <c r="W477" s="1"/>
  <c r="W478"/>
  <c r="W481"/>
  <c r="W490"/>
  <c r="W491"/>
  <c r="AF491" s="1"/>
  <c r="W499"/>
  <c r="A39" i="32"/>
  <c r="AZ217" i="28"/>
  <c r="BA217" s="1"/>
  <c r="AZ154"/>
  <c r="AF79"/>
  <c r="AT92"/>
  <c r="AN92"/>
  <c r="AS92"/>
  <c r="AO92"/>
  <c r="W103"/>
  <c r="AG103"/>
  <c r="AF78"/>
  <c r="AT93"/>
  <c r="AS93" s="1"/>
  <c r="AN93"/>
  <c r="AP93"/>
  <c r="AO93" s="1"/>
  <c r="AF102"/>
  <c r="AQ115"/>
  <c r="AP115" s="1"/>
  <c r="AT115"/>
  <c r="AL115"/>
  <c r="W119"/>
  <c r="AF119" s="1"/>
  <c r="AG119"/>
  <c r="W120"/>
  <c r="AF120" s="1"/>
  <c r="AG120"/>
  <c r="W132"/>
  <c r="AF132" s="1"/>
  <c r="AG132"/>
  <c r="W134"/>
  <c r="AF134" s="1"/>
  <c r="AG134"/>
  <c r="W144"/>
  <c r="AF144" s="1"/>
  <c r="AG144"/>
  <c r="W189"/>
  <c r="AF189" s="1"/>
  <c r="AG189"/>
  <c r="W190"/>
  <c r="AF190" s="1"/>
  <c r="AG190"/>
  <c r="W191"/>
  <c r="AG191"/>
  <c r="X74"/>
  <c r="AG74" s="1"/>
  <c r="AZ74" s="1"/>
  <c r="BD74"/>
  <c r="BC74" s="1"/>
  <c r="AJ75"/>
  <c r="BD75"/>
  <c r="BC75" s="1"/>
  <c r="X76"/>
  <c r="AG76" s="1"/>
  <c r="AZ76" s="1"/>
  <c r="AJ76"/>
  <c r="X77"/>
  <c r="AG77" s="1"/>
  <c r="AG78"/>
  <c r="AJ78"/>
  <c r="BD78"/>
  <c r="BC78" s="1"/>
  <c r="AG79"/>
  <c r="AJ79"/>
  <c r="BD79"/>
  <c r="BC79" s="1"/>
  <c r="X80"/>
  <c r="AG80" s="1"/>
  <c r="W82"/>
  <c r="AF82" s="1"/>
  <c r="AZ82" s="1"/>
  <c r="AJ82"/>
  <c r="X83"/>
  <c r="W83" s="1"/>
  <c r="W84"/>
  <c r="X85"/>
  <c r="W85" s="1"/>
  <c r="W86"/>
  <c r="AF86" s="1"/>
  <c r="W88"/>
  <c r="W90"/>
  <c r="X91"/>
  <c r="AG91" s="1"/>
  <c r="AJ92"/>
  <c r="AJ94"/>
  <c r="W95"/>
  <c r="AF95" s="1"/>
  <c r="X96"/>
  <c r="AG96" s="1"/>
  <c r="AG98"/>
  <c r="AG99"/>
  <c r="AF99" s="1"/>
  <c r="AG101"/>
  <c r="AJ102"/>
  <c r="W104"/>
  <c r="AF104" s="1"/>
  <c r="AJ104"/>
  <c r="X105"/>
  <c r="W105" s="1"/>
  <c r="AF105" s="1"/>
  <c r="AZ114"/>
  <c r="AT114"/>
  <c r="AP114"/>
  <c r="AN114"/>
  <c r="AM114" s="1"/>
  <c r="AS114"/>
  <c r="AQ114"/>
  <c r="AO114"/>
  <c r="AL114"/>
  <c r="W133"/>
  <c r="AF133" s="1"/>
  <c r="AG133"/>
  <c r="W143"/>
  <c r="AF143" s="1"/>
  <c r="AG143"/>
  <c r="AS154"/>
  <c r="AQ154"/>
  <c r="AO154"/>
  <c r="AM154"/>
  <c r="AT154"/>
  <c r="AP154"/>
  <c r="AN154"/>
  <c r="AL154"/>
  <c r="W155"/>
  <c r="AF155" s="1"/>
  <c r="AG155"/>
  <c r="AG75"/>
  <c r="BD76"/>
  <c r="BC76" s="1"/>
  <c r="W77"/>
  <c r="BD77"/>
  <c r="BC77" s="1"/>
  <c r="W80"/>
  <c r="AG81"/>
  <c r="X84"/>
  <c r="AG84" s="1"/>
  <c r="AG86"/>
  <c r="AZ86" s="1"/>
  <c r="AJ86"/>
  <c r="AG87"/>
  <c r="X88"/>
  <c r="AG88" s="1"/>
  <c r="AG89"/>
  <c r="AZ89" s="1"/>
  <c r="X90"/>
  <c r="AG90" s="1"/>
  <c r="X94"/>
  <c r="AG94" s="1"/>
  <c r="X95"/>
  <c r="AG95" s="1"/>
  <c r="AG97"/>
  <c r="AG100"/>
  <c r="AJ103"/>
  <c r="AJ218"/>
  <c r="W218"/>
  <c r="AF218" s="1"/>
  <c r="AT237"/>
  <c r="AS237" s="1"/>
  <c r="AO237"/>
  <c r="AP237"/>
  <c r="AL237"/>
  <c r="W290"/>
  <c r="AG290"/>
  <c r="W291"/>
  <c r="AG291"/>
  <c r="AF293"/>
  <c r="AZ293" s="1"/>
  <c r="W111"/>
  <c r="AF111" s="1"/>
  <c r="X112"/>
  <c r="X113"/>
  <c r="X116"/>
  <c r="AJ119"/>
  <c r="X121"/>
  <c r="AG121" s="1"/>
  <c r="AG122"/>
  <c r="AZ122" s="1"/>
  <c r="AJ122"/>
  <c r="W123"/>
  <c r="W124"/>
  <c r="AF124" s="1"/>
  <c r="X125"/>
  <c r="AG125" s="1"/>
  <c r="AG126"/>
  <c r="AZ126" s="1"/>
  <c r="AJ126"/>
  <c r="X127"/>
  <c r="AG127" s="1"/>
  <c r="AG128"/>
  <c r="AZ128" s="1"/>
  <c r="AJ128"/>
  <c r="W129"/>
  <c r="AG129"/>
  <c r="AJ129"/>
  <c r="X130"/>
  <c r="AG131"/>
  <c r="W135"/>
  <c r="AF135" s="1"/>
  <c r="W136"/>
  <c r="AG136"/>
  <c r="AJ136"/>
  <c r="W137"/>
  <c r="AF137" s="1"/>
  <c r="W138"/>
  <c r="AG138"/>
  <c r="AJ138"/>
  <c r="AG139"/>
  <c r="AZ139" s="1"/>
  <c r="AJ139"/>
  <c r="AG141"/>
  <c r="AF141" s="1"/>
  <c r="X145"/>
  <c r="AG147"/>
  <c r="AF147" s="1"/>
  <c r="W149"/>
  <c r="AG149"/>
  <c r="AJ149"/>
  <c r="W150"/>
  <c r="AF150" s="1"/>
  <c r="W152"/>
  <c r="AG152"/>
  <c r="AJ152"/>
  <c r="W153"/>
  <c r="AG153"/>
  <c r="AJ153"/>
  <c r="BA154"/>
  <c r="AG156"/>
  <c r="X157"/>
  <c r="AG157" s="1"/>
  <c r="AG159"/>
  <c r="W160"/>
  <c r="AG160"/>
  <c r="AJ160"/>
  <c r="X161"/>
  <c r="AG162"/>
  <c r="AG163"/>
  <c r="X164"/>
  <c r="AG164" s="1"/>
  <c r="AG165"/>
  <c r="X166"/>
  <c r="AG166" s="1"/>
  <c r="X167"/>
  <c r="AG167" s="1"/>
  <c r="AG169"/>
  <c r="W170"/>
  <c r="AG170"/>
  <c r="AJ170"/>
  <c r="W171"/>
  <c r="AG171"/>
  <c r="AJ171"/>
  <c r="X172"/>
  <c r="AG173"/>
  <c r="X174"/>
  <c r="AG174" s="1"/>
  <c r="AG175"/>
  <c r="X176"/>
  <c r="AG176" s="1"/>
  <c r="AG178"/>
  <c r="W179"/>
  <c r="AG179"/>
  <c r="AJ179"/>
  <c r="X180"/>
  <c r="AG181"/>
  <c r="X182"/>
  <c r="AG182" s="1"/>
  <c r="AG183"/>
  <c r="X184"/>
  <c r="AG184" s="1"/>
  <c r="AG186"/>
  <c r="W187"/>
  <c r="AG187"/>
  <c r="AJ187"/>
  <c r="AG188"/>
  <c r="AJ191"/>
  <c r="AG192"/>
  <c r="AZ192" s="1"/>
  <c r="AJ192"/>
  <c r="X193"/>
  <c r="AG193" s="1"/>
  <c r="AZ193" s="1"/>
  <c r="X195"/>
  <c r="W196"/>
  <c r="AF196" s="1"/>
  <c r="W197"/>
  <c r="AG197"/>
  <c r="AJ197"/>
  <c r="X199"/>
  <c r="W199" s="1"/>
  <c r="AG200"/>
  <c r="AZ200" s="1"/>
  <c r="AJ200"/>
  <c r="W201"/>
  <c r="AG201"/>
  <c r="AJ201"/>
  <c r="AG202"/>
  <c r="W203"/>
  <c r="W204"/>
  <c r="AG204"/>
  <c r="AJ204"/>
  <c r="AG205"/>
  <c r="AZ205" s="1"/>
  <c r="AJ205"/>
  <c r="X207"/>
  <c r="W207" s="1"/>
  <c r="AG208"/>
  <c r="AG209"/>
  <c r="AG211"/>
  <c r="AG212"/>
  <c r="AZ212" s="1"/>
  <c r="AJ212"/>
  <c r="X213"/>
  <c r="W214"/>
  <c r="AF214" s="1"/>
  <c r="X215"/>
  <c r="W215" s="1"/>
  <c r="X216"/>
  <c r="W216" s="1"/>
  <c r="AF216" s="1"/>
  <c r="AP217"/>
  <c r="AO217" s="1"/>
  <c r="X219"/>
  <c r="AZ273"/>
  <c r="AZ323"/>
  <c r="AS217"/>
  <c r="AQ217"/>
  <c r="AN217"/>
  <c r="AL217"/>
  <c r="W262"/>
  <c r="AG262"/>
  <c r="W263"/>
  <c r="AF263" s="1"/>
  <c r="AG263"/>
  <c r="W270"/>
  <c r="AG270"/>
  <c r="W271"/>
  <c r="AF271" s="1"/>
  <c r="AG271"/>
  <c r="AT273"/>
  <c r="AP273"/>
  <c r="AN273"/>
  <c r="AL273"/>
  <c r="AS273"/>
  <c r="AQ273"/>
  <c r="AO273"/>
  <c r="AM273"/>
  <c r="W278"/>
  <c r="AG278"/>
  <c r="AF305"/>
  <c r="W311"/>
  <c r="AG311"/>
  <c r="W317"/>
  <c r="AF317" s="1"/>
  <c r="AG317"/>
  <c r="W321"/>
  <c r="AF321" s="1"/>
  <c r="AG321"/>
  <c r="AT323"/>
  <c r="AP323"/>
  <c r="AN323"/>
  <c r="AL323"/>
  <c r="AS323"/>
  <c r="AQ323"/>
  <c r="AO323"/>
  <c r="AM323"/>
  <c r="X106"/>
  <c r="AG106" s="1"/>
  <c r="AG107"/>
  <c r="X108"/>
  <c r="AG108" s="1"/>
  <c r="X109"/>
  <c r="AG109" s="1"/>
  <c r="AJ109"/>
  <c r="X110"/>
  <c r="AG110" s="1"/>
  <c r="AG111"/>
  <c r="AJ111"/>
  <c r="AG117"/>
  <c r="AZ117" s="1"/>
  <c r="AG118"/>
  <c r="AZ118" s="1"/>
  <c r="AJ120"/>
  <c r="X123"/>
  <c r="AG123" s="1"/>
  <c r="AG124"/>
  <c r="AZ124" s="1"/>
  <c r="AJ124"/>
  <c r="AJ132"/>
  <c r="AJ133"/>
  <c r="AJ134"/>
  <c r="AG135"/>
  <c r="AZ135" s="1"/>
  <c r="AJ135"/>
  <c r="AG137"/>
  <c r="AZ137" s="1"/>
  <c r="AJ137"/>
  <c r="AG140"/>
  <c r="AG142"/>
  <c r="AZ142" s="1"/>
  <c r="AJ143"/>
  <c r="AJ144"/>
  <c r="AG146"/>
  <c r="AZ146" s="1"/>
  <c r="AG148"/>
  <c r="AZ148" s="1"/>
  <c r="AJ150"/>
  <c r="AG151"/>
  <c r="AJ155"/>
  <c r="AG158"/>
  <c r="AG168"/>
  <c r="AG177"/>
  <c r="AG185"/>
  <c r="AJ189"/>
  <c r="AJ190"/>
  <c r="AG194"/>
  <c r="AZ194" s="1"/>
  <c r="AG196"/>
  <c r="AZ196" s="1"/>
  <c r="AJ196"/>
  <c r="AG198"/>
  <c r="AG199"/>
  <c r="AF199" s="1"/>
  <c r="X203"/>
  <c r="AG203" s="1"/>
  <c r="AG206"/>
  <c r="AG207"/>
  <c r="AF207" s="1"/>
  <c r="AG210"/>
  <c r="AZ210" s="1"/>
  <c r="AG213"/>
  <c r="AJ213"/>
  <c r="AG214"/>
  <c r="AZ214" s="1"/>
  <c r="AJ214"/>
  <c r="AG215"/>
  <c r="AM217"/>
  <c r="AG219"/>
  <c r="AZ219" s="1"/>
  <c r="AJ219"/>
  <c r="AP219"/>
  <c r="AO219" s="1"/>
  <c r="W343"/>
  <c r="AG343"/>
  <c r="W372"/>
  <c r="AG372"/>
  <c r="AS376"/>
  <c r="AQ376"/>
  <c r="AO376"/>
  <c r="AM376"/>
  <c r="AT376"/>
  <c r="AP376"/>
  <c r="AN376"/>
  <c r="AL376"/>
  <c r="AG222"/>
  <c r="X225"/>
  <c r="AG225" s="1"/>
  <c r="X226"/>
  <c r="X231"/>
  <c r="AG231" s="1"/>
  <c r="AJ231"/>
  <c r="X234"/>
  <c r="AG234" s="1"/>
  <c r="X235"/>
  <c r="AG235" s="1"/>
  <c r="AG239"/>
  <c r="AZ239" s="1"/>
  <c r="X241"/>
  <c r="AG241" s="1"/>
  <c r="AZ241" s="1"/>
  <c r="AG246"/>
  <c r="X250"/>
  <c r="AG250" s="1"/>
  <c r="X251"/>
  <c r="AG251" s="1"/>
  <c r="AZ251" s="1"/>
  <c r="W252"/>
  <c r="X253"/>
  <c r="X254"/>
  <c r="AG254" s="1"/>
  <c r="AG255"/>
  <c r="AZ255" s="1"/>
  <c r="AJ255"/>
  <c r="AG256"/>
  <c r="X258"/>
  <c r="AG258" s="1"/>
  <c r="AF258" s="1"/>
  <c r="AJ258"/>
  <c r="AG259"/>
  <c r="AZ259" s="1"/>
  <c r="AJ259"/>
  <c r="X260"/>
  <c r="AG260" s="1"/>
  <c r="AJ261"/>
  <c r="AJ263"/>
  <c r="X264"/>
  <c r="AG264" s="1"/>
  <c r="X265"/>
  <c r="AG265" s="1"/>
  <c r="AJ265"/>
  <c r="X266"/>
  <c r="AG266" s="1"/>
  <c r="AF266" s="1"/>
  <c r="AJ266"/>
  <c r="X268"/>
  <c r="AG268" s="1"/>
  <c r="X269"/>
  <c r="AG269" s="1"/>
  <c r="AZ269" s="1"/>
  <c r="AJ271"/>
  <c r="X274"/>
  <c r="AG274" s="1"/>
  <c r="AF274" s="1"/>
  <c r="AJ274"/>
  <c r="X275"/>
  <c r="AG275" s="1"/>
  <c r="W277"/>
  <c r="AG277"/>
  <c r="AJ277"/>
  <c r="AJ278"/>
  <c r="X279"/>
  <c r="AG280"/>
  <c r="AJ280"/>
  <c r="X281"/>
  <c r="AG282"/>
  <c r="AJ282"/>
  <c r="X283"/>
  <c r="W287"/>
  <c r="AG287"/>
  <c r="AJ287"/>
  <c r="W289"/>
  <c r="AG289"/>
  <c r="AJ289"/>
  <c r="AJ290"/>
  <c r="AJ291"/>
  <c r="X292"/>
  <c r="AJ293"/>
  <c r="X294"/>
  <c r="AG294" s="1"/>
  <c r="AG295"/>
  <c r="W296"/>
  <c r="AG297"/>
  <c r="W298"/>
  <c r="AG298"/>
  <c r="AJ298"/>
  <c r="X300"/>
  <c r="AG301"/>
  <c r="W302"/>
  <c r="AG302"/>
  <c r="AJ302"/>
  <c r="X304"/>
  <c r="AJ305"/>
  <c r="X306"/>
  <c r="AG306" s="1"/>
  <c r="AG307"/>
  <c r="AG308"/>
  <c r="AJ309"/>
  <c r="X310"/>
  <c r="AG310" s="1"/>
  <c r="W312"/>
  <c r="X313"/>
  <c r="AG313" s="1"/>
  <c r="AJ313"/>
  <c r="X314"/>
  <c r="AG314" s="1"/>
  <c r="X316"/>
  <c r="AJ317"/>
  <c r="AG319"/>
  <c r="AZ319" s="1"/>
  <c r="AJ321"/>
  <c r="AG324"/>
  <c r="AJ324"/>
  <c r="X325"/>
  <c r="AG325" s="1"/>
  <c r="AZ325" s="1"/>
  <c r="W326"/>
  <c r="AG326"/>
  <c r="AJ326"/>
  <c r="W327"/>
  <c r="AF327" s="1"/>
  <c r="X329"/>
  <c r="AG329" s="1"/>
  <c r="AZ329" s="1"/>
  <c r="W330"/>
  <c r="X220"/>
  <c r="AG220" s="1"/>
  <c r="AG221"/>
  <c r="AZ221" s="1"/>
  <c r="AJ221"/>
  <c r="X223"/>
  <c r="AJ223"/>
  <c r="X224"/>
  <c r="AG224" s="1"/>
  <c r="W225"/>
  <c r="AF225" s="1"/>
  <c r="AG226"/>
  <c r="AJ226"/>
  <c r="AG227"/>
  <c r="X228"/>
  <c r="AG228" s="1"/>
  <c r="X229"/>
  <c r="X230"/>
  <c r="AG230" s="1"/>
  <c r="X232"/>
  <c r="AG232" s="1"/>
  <c r="AJ232"/>
  <c r="X233"/>
  <c r="AG233" s="1"/>
  <c r="AZ233" s="1"/>
  <c r="W234"/>
  <c r="W235"/>
  <c r="AF235" s="1"/>
  <c r="AG236"/>
  <c r="BA237"/>
  <c r="AG238"/>
  <c r="AG240"/>
  <c r="AJ241"/>
  <c r="AG242"/>
  <c r="X243"/>
  <c r="AG243" s="1"/>
  <c r="AG244"/>
  <c r="X245"/>
  <c r="AG245" s="1"/>
  <c r="AG247"/>
  <c r="AZ247" s="1"/>
  <c r="AJ247"/>
  <c r="AG248"/>
  <c r="X249"/>
  <c r="AG249" s="1"/>
  <c r="W250"/>
  <c r="AJ251"/>
  <c r="X252"/>
  <c r="AG252" s="1"/>
  <c r="AG257"/>
  <c r="AZ257" s="1"/>
  <c r="AJ257"/>
  <c r="W260"/>
  <c r="AJ262"/>
  <c r="W264"/>
  <c r="X267"/>
  <c r="AG267" s="1"/>
  <c r="AZ267" s="1"/>
  <c r="W268"/>
  <c r="AJ269"/>
  <c r="AJ270"/>
  <c r="X272"/>
  <c r="AG272" s="1"/>
  <c r="W275"/>
  <c r="X276"/>
  <c r="W283"/>
  <c r="AG283"/>
  <c r="X284"/>
  <c r="AG284" s="1"/>
  <c r="X285"/>
  <c r="AG286"/>
  <c r="X288"/>
  <c r="X296"/>
  <c r="AG296" s="1"/>
  <c r="AG299"/>
  <c r="AG303"/>
  <c r="W310"/>
  <c r="AJ311"/>
  <c r="X312"/>
  <c r="AG312" s="1"/>
  <c r="W314"/>
  <c r="X315"/>
  <c r="W316"/>
  <c r="AG316"/>
  <c r="X318"/>
  <c r="AG318" s="1"/>
  <c r="AG320"/>
  <c r="X322"/>
  <c r="AG327"/>
  <c r="AZ327" s="1"/>
  <c r="AJ327"/>
  <c r="AG328"/>
  <c r="X330"/>
  <c r="AG330" s="1"/>
  <c r="BA376"/>
  <c r="W389"/>
  <c r="AF389" s="1"/>
  <c r="AG389"/>
  <c r="W400"/>
  <c r="AF400" s="1"/>
  <c r="AG400"/>
  <c r="W416"/>
  <c r="AF416" s="1"/>
  <c r="AG416"/>
  <c r="AP421"/>
  <c r="AN421"/>
  <c r="AL421"/>
  <c r="AT421"/>
  <c r="AS421" s="1"/>
  <c r="AQ421"/>
  <c r="AO421"/>
  <c r="AM421"/>
  <c r="W436"/>
  <c r="AF436" s="1"/>
  <c r="AG436"/>
  <c r="W437"/>
  <c r="AG437"/>
  <c r="W441"/>
  <c r="AG441"/>
  <c r="X331"/>
  <c r="AG331" s="1"/>
  <c r="X332"/>
  <c r="AG332" s="1"/>
  <c r="AJ332"/>
  <c r="X333"/>
  <c r="AG333" s="1"/>
  <c r="AJ333"/>
  <c r="X334"/>
  <c r="AG334" s="1"/>
  <c r="AG335"/>
  <c r="AF335" s="1"/>
  <c r="AJ335"/>
  <c r="X336"/>
  <c r="X338"/>
  <c r="AG340"/>
  <c r="X342"/>
  <c r="AG347"/>
  <c r="AG349"/>
  <c r="AZ349" s="1"/>
  <c r="X350"/>
  <c r="AG351"/>
  <c r="AF351" s="1"/>
  <c r="AJ351"/>
  <c r="X352"/>
  <c r="AG352" s="1"/>
  <c r="AZ352" s="1"/>
  <c r="AJ352"/>
  <c r="X353"/>
  <c r="AG353" s="1"/>
  <c r="AJ353"/>
  <c r="X357"/>
  <c r="AG357" s="1"/>
  <c r="AJ357"/>
  <c r="AG358"/>
  <c r="AJ358"/>
  <c r="X359"/>
  <c r="AG359" s="1"/>
  <c r="X360"/>
  <c r="AG360" s="1"/>
  <c r="X361"/>
  <c r="AG361" s="1"/>
  <c r="AJ361"/>
  <c r="AG365"/>
  <c r="AZ365" s="1"/>
  <c r="X366"/>
  <c r="AG366" s="1"/>
  <c r="AG367"/>
  <c r="AF367" s="1"/>
  <c r="AJ367"/>
  <c r="W369"/>
  <c r="AF369" s="1"/>
  <c r="AZ369" s="1"/>
  <c r="AJ369"/>
  <c r="AG370"/>
  <c r="AF370" s="1"/>
  <c r="X371"/>
  <c r="X373"/>
  <c r="AG373" s="1"/>
  <c r="AZ373" s="1"/>
  <c r="X374"/>
  <c r="AG374" s="1"/>
  <c r="W377"/>
  <c r="AF377" s="1"/>
  <c r="AJ377"/>
  <c r="X378"/>
  <c r="AG378" s="1"/>
  <c r="AJ378"/>
  <c r="X380"/>
  <c r="AG381"/>
  <c r="AZ381" s="1"/>
  <c r="AJ381"/>
  <c r="X382"/>
  <c r="X384"/>
  <c r="AG384" s="1"/>
  <c r="W385"/>
  <c r="AF385" s="1"/>
  <c r="X386"/>
  <c r="AG386" s="1"/>
  <c r="AG387"/>
  <c r="AF387" s="1"/>
  <c r="X388"/>
  <c r="AJ389"/>
  <c r="AZ410"/>
  <c r="W390"/>
  <c r="AF390" s="1"/>
  <c r="AG390"/>
  <c r="AJ391"/>
  <c r="W391"/>
  <c r="AS410"/>
  <c r="AQ410"/>
  <c r="AO410"/>
  <c r="AM410"/>
  <c r="AT410"/>
  <c r="AP410"/>
  <c r="AN410"/>
  <c r="AL410"/>
  <c r="W423"/>
  <c r="AF423" s="1"/>
  <c r="AG423"/>
  <c r="W427"/>
  <c r="AF427" s="1"/>
  <c r="AG427"/>
  <c r="W331"/>
  <c r="W334"/>
  <c r="AG336"/>
  <c r="AJ336"/>
  <c r="AG337"/>
  <c r="AG338"/>
  <c r="AJ338"/>
  <c r="X339"/>
  <c r="AG341"/>
  <c r="AG342"/>
  <c r="AJ342"/>
  <c r="AJ343"/>
  <c r="X344"/>
  <c r="AG345"/>
  <c r="AZ345" s="1"/>
  <c r="AJ345"/>
  <c r="AG346"/>
  <c r="AF346" s="1"/>
  <c r="AG348"/>
  <c r="AG354"/>
  <c r="AF354" s="1"/>
  <c r="X355"/>
  <c r="AG355" s="1"/>
  <c r="AG356"/>
  <c r="AF356" s="1"/>
  <c r="W359"/>
  <c r="W360"/>
  <c r="X362"/>
  <c r="AG362" s="1"/>
  <c r="AF362" s="1"/>
  <c r="AJ362"/>
  <c r="AG363"/>
  <c r="X364"/>
  <c r="AG364" s="1"/>
  <c r="W366"/>
  <c r="AG368"/>
  <c r="AG371"/>
  <c r="AJ371"/>
  <c r="AJ372"/>
  <c r="AJ373"/>
  <c r="W374"/>
  <c r="X375"/>
  <c r="AG375" s="1"/>
  <c r="AF375" s="1"/>
  <c r="AJ375"/>
  <c r="AG379"/>
  <c r="AF379" s="1"/>
  <c r="AG383"/>
  <c r="AF383" s="1"/>
  <c r="AG385"/>
  <c r="AJ385"/>
  <c r="AJ390"/>
  <c r="W451"/>
  <c r="AF451" s="1"/>
  <c r="AG451"/>
  <c r="W455"/>
  <c r="AF455" s="1"/>
  <c r="AG455"/>
  <c r="X392"/>
  <c r="AG392" s="1"/>
  <c r="AJ392"/>
  <c r="AG394"/>
  <c r="AZ394" s="1"/>
  <c r="X395"/>
  <c r="X396"/>
  <c r="AG396" s="1"/>
  <c r="AZ396" s="1"/>
  <c r="AJ396"/>
  <c r="AG397"/>
  <c r="AZ397" s="1"/>
  <c r="X398"/>
  <c r="X399"/>
  <c r="AG399" s="1"/>
  <c r="AJ399"/>
  <c r="AJ400"/>
  <c r="AG402"/>
  <c r="AJ402"/>
  <c r="X407"/>
  <c r="AG407" s="1"/>
  <c r="AZ407" s="1"/>
  <c r="AJ407"/>
  <c r="AG408"/>
  <c r="AZ408" s="1"/>
  <c r="X409"/>
  <c r="AG409" s="1"/>
  <c r="AJ409"/>
  <c r="X411"/>
  <c r="AG411" s="1"/>
  <c r="AJ411"/>
  <c r="AG413"/>
  <c r="AZ413" s="1"/>
  <c r="AJ416"/>
  <c r="AG417"/>
  <c r="X418"/>
  <c r="AG419"/>
  <c r="AZ419" s="1"/>
  <c r="AJ423"/>
  <c r="AG424"/>
  <c r="AZ424" s="1"/>
  <c r="X426"/>
  <c r="AG426" s="1"/>
  <c r="AZ426" s="1"/>
  <c r="AJ426"/>
  <c r="AJ427"/>
  <c r="X428"/>
  <c r="W429"/>
  <c r="AF429" s="1"/>
  <c r="W430"/>
  <c r="AF430" s="1"/>
  <c r="X431"/>
  <c r="X433"/>
  <c r="AG433" s="1"/>
  <c r="AZ433" s="1"/>
  <c r="X434"/>
  <c r="AG434" s="1"/>
  <c r="AZ434" s="1"/>
  <c r="AJ434"/>
  <c r="W435"/>
  <c r="AF435" s="1"/>
  <c r="AJ435"/>
  <c r="AJ436"/>
  <c r="W438"/>
  <c r="AF438" s="1"/>
  <c r="X439"/>
  <c r="AG439" s="1"/>
  <c r="AZ439" s="1"/>
  <c r="AJ439"/>
  <c r="AJ441"/>
  <c r="X442"/>
  <c r="AG442" s="1"/>
  <c r="AZ442" s="1"/>
  <c r="AJ442"/>
  <c r="AJ443"/>
  <c r="W443"/>
  <c r="AF443" s="1"/>
  <c r="W452"/>
  <c r="AF452" s="1"/>
  <c r="AG452"/>
  <c r="AG391"/>
  <c r="AG393"/>
  <c r="AJ394"/>
  <c r="W395"/>
  <c r="AG395"/>
  <c r="AJ397"/>
  <c r="W398"/>
  <c r="AG398"/>
  <c r="AG401"/>
  <c r="AG403"/>
  <c r="AZ403" s="1"/>
  <c r="AJ403"/>
  <c r="AG404"/>
  <c r="AZ404" s="1"/>
  <c r="AG405"/>
  <c r="X406"/>
  <c r="AJ408"/>
  <c r="X412"/>
  <c r="X414"/>
  <c r="W414" s="1"/>
  <c r="AF414" s="1"/>
  <c r="AG415"/>
  <c r="AZ415" s="1"/>
  <c r="AJ415"/>
  <c r="AJ417"/>
  <c r="W418"/>
  <c r="AF418" s="1"/>
  <c r="AG418"/>
  <c r="X420"/>
  <c r="AG420" s="1"/>
  <c r="X422"/>
  <c r="AG422" s="1"/>
  <c r="AJ424"/>
  <c r="X425"/>
  <c r="AG425" s="1"/>
  <c r="AZ425" s="1"/>
  <c r="AG429"/>
  <c r="AZ429" s="1"/>
  <c r="AJ429"/>
  <c r="AG430"/>
  <c r="AZ430" s="1"/>
  <c r="AJ430"/>
  <c r="X432"/>
  <c r="AJ437"/>
  <c r="X438"/>
  <c r="AG438" s="1"/>
  <c r="AZ438" s="1"/>
  <c r="X440"/>
  <c r="W440" s="1"/>
  <c r="AF440" s="1"/>
  <c r="AJ475"/>
  <c r="X475"/>
  <c r="AG444"/>
  <c r="AZ444" s="1"/>
  <c r="X446"/>
  <c r="AG446" s="1"/>
  <c r="AZ446" s="1"/>
  <c r="AJ446"/>
  <c r="AG447"/>
  <c r="AZ447" s="1"/>
  <c r="AJ451"/>
  <c r="AJ452"/>
  <c r="W453"/>
  <c r="AF453" s="1"/>
  <c r="X454"/>
  <c r="AG454" s="1"/>
  <c r="X457"/>
  <c r="AG457" s="1"/>
  <c r="AG458"/>
  <c r="AJ458"/>
  <c r="AG459"/>
  <c r="AF459" s="1"/>
  <c r="AJ459"/>
  <c r="W462"/>
  <c r="AG463"/>
  <c r="AF463" s="1"/>
  <c r="AJ463"/>
  <c r="X464"/>
  <c r="W464" s="1"/>
  <c r="X465"/>
  <c r="X466"/>
  <c r="W466" s="1"/>
  <c r="X467"/>
  <c r="X468"/>
  <c r="AG468" s="1"/>
  <c r="AJ468"/>
  <c r="X470"/>
  <c r="X471"/>
  <c r="W471" s="1"/>
  <c r="X472"/>
  <c r="W472" s="1"/>
  <c r="W473"/>
  <c r="AG445"/>
  <c r="AG448"/>
  <c r="AZ448" s="1"/>
  <c r="AJ448"/>
  <c r="X449"/>
  <c r="AG449" s="1"/>
  <c r="AZ449" s="1"/>
  <c r="AG450"/>
  <c r="AZ450" s="1"/>
  <c r="AJ450"/>
  <c r="X453"/>
  <c r="AG453" s="1"/>
  <c r="AZ453" s="1"/>
  <c r="AJ455"/>
  <c r="AG456"/>
  <c r="AF456" s="1"/>
  <c r="AG460"/>
  <c r="AF460" s="1"/>
  <c r="X461"/>
  <c r="AG461" s="1"/>
  <c r="AJ461"/>
  <c r="X462"/>
  <c r="AG462" s="1"/>
  <c r="AG466"/>
  <c r="AF466" s="1"/>
  <c r="AG469"/>
  <c r="AF469" s="1"/>
  <c r="AG472"/>
  <c r="X473"/>
  <c r="AG473" s="1"/>
  <c r="AG474"/>
  <c r="AJ15" i="32"/>
  <c r="AK15" s="1"/>
  <c r="AL15" s="1"/>
  <c r="AJ19"/>
  <c r="AK19" s="1"/>
  <c r="AL19" s="1"/>
  <c r="AJ23"/>
  <c r="AK23" s="1"/>
  <c r="AL23" s="1"/>
  <c r="AJ14"/>
  <c r="AK14" s="1"/>
  <c r="AL14" s="1"/>
  <c r="AJ18"/>
  <c r="AK18" s="1"/>
  <c r="AL18" s="1"/>
  <c r="AJ22"/>
  <c r="AK22" s="1"/>
  <c r="AL22" s="1"/>
  <c r="AG476" i="28"/>
  <c r="AF476" s="1"/>
  <c r="AJ480"/>
  <c r="AG481"/>
  <c r="AF481" s="1"/>
  <c r="X486"/>
  <c r="AG486" s="1"/>
  <c r="AZ486" s="1"/>
  <c r="AJ486"/>
  <c r="X487"/>
  <c r="AG487" s="1"/>
  <c r="AJ487"/>
  <c r="X489"/>
  <c r="AG489" s="1"/>
  <c r="AG490"/>
  <c r="AF490" s="1"/>
  <c r="AJ494"/>
  <c r="X495"/>
  <c r="AG495" s="1"/>
  <c r="AJ495"/>
  <c r="X497"/>
  <c r="AG497" s="1"/>
  <c r="W498"/>
  <c r="AF498" s="1"/>
  <c r="AJ17" i="32"/>
  <c r="AK17" s="1"/>
  <c r="AL17" s="1"/>
  <c r="AJ21"/>
  <c r="AK21" s="1"/>
  <c r="AL21" s="1"/>
  <c r="AJ13"/>
  <c r="AK13" s="1"/>
  <c r="AL13" s="1"/>
  <c r="AJ16"/>
  <c r="AK16" s="1"/>
  <c r="AL16" s="1"/>
  <c r="AJ20"/>
  <c r="AK20" s="1"/>
  <c r="AL20" s="1"/>
  <c r="AG477" i="28"/>
  <c r="X478"/>
  <c r="AG478" s="1"/>
  <c r="X479"/>
  <c r="AG479" s="1"/>
  <c r="AF479" s="1"/>
  <c r="X480"/>
  <c r="AG482"/>
  <c r="X483"/>
  <c r="AG484"/>
  <c r="AF484" s="1"/>
  <c r="AG485"/>
  <c r="AF485" s="1"/>
  <c r="X488"/>
  <c r="AG488" s="1"/>
  <c r="W489"/>
  <c r="X491"/>
  <c r="AG491" s="1"/>
  <c r="AZ491" s="1"/>
  <c r="X492"/>
  <c r="X493"/>
  <c r="AG493" s="1"/>
  <c r="AZ493" s="1"/>
  <c r="X494"/>
  <c r="AG496"/>
  <c r="AZ496" s="1"/>
  <c r="W497"/>
  <c r="AF497" s="1"/>
  <c r="AG498"/>
  <c r="AZ498" s="1"/>
  <c r="AJ498"/>
  <c r="AG499"/>
  <c r="AJ499"/>
  <c r="AI10" i="32"/>
  <c r="AI8"/>
  <c r="AI6"/>
  <c r="BI73" i="28"/>
  <c r="AW73"/>
  <c r="AV73"/>
  <c r="AU73"/>
  <c r="AR73"/>
  <c r="AK73"/>
  <c r="AH73"/>
  <c r="BE73" s="1"/>
  <c r="AD73"/>
  <c r="AC73"/>
  <c r="AB73"/>
  <c r="Z73"/>
  <c r="BO73" s="1"/>
  <c r="Y73"/>
  <c r="V73"/>
  <c r="W73" s="1"/>
  <c r="E73"/>
  <c r="BP73" s="1"/>
  <c r="BI72"/>
  <c r="AW72"/>
  <c r="AV72"/>
  <c r="AU72"/>
  <c r="AR72"/>
  <c r="AK72"/>
  <c r="AH72"/>
  <c r="BE72" s="1"/>
  <c r="AG464" l="1"/>
  <c r="AF464" s="1"/>
  <c r="BA421"/>
  <c r="AZ385"/>
  <c r="AZ111"/>
  <c r="AN237"/>
  <c r="AM237"/>
  <c r="AZ95"/>
  <c r="AO115"/>
  <c r="AN115"/>
  <c r="AM115" s="1"/>
  <c r="AM93"/>
  <c r="AL93"/>
  <c r="AE73"/>
  <c r="AG471"/>
  <c r="AG440"/>
  <c r="AZ390"/>
  <c r="AT219"/>
  <c r="AG85"/>
  <c r="AG83"/>
  <c r="AZ78"/>
  <c r="AM92"/>
  <c r="AQ92"/>
  <c r="AL92"/>
  <c r="AZ155"/>
  <c r="AZ143"/>
  <c r="AZ133"/>
  <c r="AA73"/>
  <c r="BG73"/>
  <c r="BH73"/>
  <c r="AZ440"/>
  <c r="A40" i="32"/>
  <c r="AZ452" i="28"/>
  <c r="AZ263"/>
  <c r="AZ190"/>
  <c r="AZ189"/>
  <c r="AZ144"/>
  <c r="AZ134"/>
  <c r="AZ132"/>
  <c r="AZ321"/>
  <c r="AG216"/>
  <c r="AZ216" s="1"/>
  <c r="AZ389"/>
  <c r="AZ225"/>
  <c r="BA219"/>
  <c r="AG105"/>
  <c r="AZ105" s="1"/>
  <c r="AF103"/>
  <c r="AF73"/>
  <c r="AZ454"/>
  <c r="AQ454"/>
  <c r="AM454"/>
  <c r="AP454"/>
  <c r="AL454"/>
  <c r="AS454"/>
  <c r="AO454"/>
  <c r="AT454"/>
  <c r="AN454"/>
  <c r="AZ422"/>
  <c r="AP422"/>
  <c r="AL422"/>
  <c r="AQ422"/>
  <c r="AM422"/>
  <c r="AT422"/>
  <c r="AN422"/>
  <c r="AS422"/>
  <c r="AO422"/>
  <c r="AZ411"/>
  <c r="AP411"/>
  <c r="AL411"/>
  <c r="AQ411"/>
  <c r="AM411"/>
  <c r="AN411"/>
  <c r="AT411"/>
  <c r="AS411" s="1"/>
  <c r="AO411"/>
  <c r="AZ392"/>
  <c r="AP392"/>
  <c r="AL392"/>
  <c r="AQ392"/>
  <c r="AM392"/>
  <c r="AN392"/>
  <c r="AT392"/>
  <c r="AS392" s="1"/>
  <c r="AO392"/>
  <c r="AZ361"/>
  <c r="AQ361"/>
  <c r="AM361"/>
  <c r="AP361"/>
  <c r="AL361"/>
  <c r="AS361"/>
  <c r="AO361"/>
  <c r="AT361"/>
  <c r="AN361"/>
  <c r="AZ357"/>
  <c r="AP357"/>
  <c r="AL357"/>
  <c r="AQ357"/>
  <c r="AM357"/>
  <c r="AT357"/>
  <c r="AN357"/>
  <c r="AS357"/>
  <c r="AO357"/>
  <c r="AZ333"/>
  <c r="AQ333"/>
  <c r="AM333"/>
  <c r="AP333"/>
  <c r="AL333"/>
  <c r="AS333"/>
  <c r="AO333"/>
  <c r="AT333"/>
  <c r="AN333"/>
  <c r="AF230"/>
  <c r="AZ230" s="1"/>
  <c r="AF109"/>
  <c r="AZ109" s="1"/>
  <c r="AF90"/>
  <c r="AZ90" s="1"/>
  <c r="AZ488"/>
  <c r="AQ488"/>
  <c r="AM488"/>
  <c r="AP488"/>
  <c r="AL488"/>
  <c r="AS488"/>
  <c r="AO488"/>
  <c r="AT488"/>
  <c r="AN488"/>
  <c r="AZ420"/>
  <c r="AP420"/>
  <c r="AL420"/>
  <c r="AQ420"/>
  <c r="AM420"/>
  <c r="AT420"/>
  <c r="AN420"/>
  <c r="AS420"/>
  <c r="AO420"/>
  <c r="AZ399"/>
  <c r="AT399"/>
  <c r="AN399"/>
  <c r="AS399"/>
  <c r="AO399"/>
  <c r="AP399"/>
  <c r="AL399"/>
  <c r="AQ399"/>
  <c r="AM399"/>
  <c r="AS362"/>
  <c r="AQ362"/>
  <c r="AO362"/>
  <c r="AM362"/>
  <c r="AT362"/>
  <c r="AP362"/>
  <c r="AN362"/>
  <c r="AL362"/>
  <c r="AZ353"/>
  <c r="AQ353"/>
  <c r="AM353"/>
  <c r="AP353"/>
  <c r="AL353"/>
  <c r="AS353"/>
  <c r="AO353"/>
  <c r="AT353"/>
  <c r="AN353"/>
  <c r="AF332"/>
  <c r="AZ332" s="1"/>
  <c r="AZ249"/>
  <c r="AP249"/>
  <c r="AL249"/>
  <c r="AQ249"/>
  <c r="AM249"/>
  <c r="AT249"/>
  <c r="AN249"/>
  <c r="AS249"/>
  <c r="AO249"/>
  <c r="AZ245"/>
  <c r="AT245"/>
  <c r="AN245"/>
  <c r="AS245"/>
  <c r="AO245"/>
  <c r="AP245"/>
  <c r="AL245"/>
  <c r="AQ245"/>
  <c r="AM245"/>
  <c r="AZ243"/>
  <c r="AP243"/>
  <c r="AL243"/>
  <c r="AQ243"/>
  <c r="AM243"/>
  <c r="AT243"/>
  <c r="AN243"/>
  <c r="AS243"/>
  <c r="AO243"/>
  <c r="AF228"/>
  <c r="AZ313"/>
  <c r="AP313"/>
  <c r="AL313"/>
  <c r="AQ313"/>
  <c r="AM313"/>
  <c r="AT313"/>
  <c r="AN313"/>
  <c r="AS313"/>
  <c r="AO313"/>
  <c r="AZ231"/>
  <c r="AQ231"/>
  <c r="AL231"/>
  <c r="AP231"/>
  <c r="AO231" s="1"/>
  <c r="AS231"/>
  <c r="AN231"/>
  <c r="AT231"/>
  <c r="AM231"/>
  <c r="AZ110"/>
  <c r="AQ110"/>
  <c r="AL110"/>
  <c r="AP110"/>
  <c r="AS110"/>
  <c r="AO110"/>
  <c r="AT110"/>
  <c r="AN110"/>
  <c r="AM110" s="1"/>
  <c r="AS150"/>
  <c r="AQ150"/>
  <c r="AO150"/>
  <c r="AM150"/>
  <c r="AT150"/>
  <c r="AP150"/>
  <c r="AN150"/>
  <c r="AL150"/>
  <c r="AZ150"/>
  <c r="BA150" s="1"/>
  <c r="AT218"/>
  <c r="AP218"/>
  <c r="AN218"/>
  <c r="AL218"/>
  <c r="AS218"/>
  <c r="AQ218"/>
  <c r="AM218"/>
  <c r="AO218"/>
  <c r="AZ218"/>
  <c r="BA218" s="1"/>
  <c r="AZ94"/>
  <c r="AP94"/>
  <c r="AL94"/>
  <c r="AQ94"/>
  <c r="AM94"/>
  <c r="AT94"/>
  <c r="AN94"/>
  <c r="AS94"/>
  <c r="AO94"/>
  <c r="AZ91"/>
  <c r="AT91"/>
  <c r="AM91"/>
  <c r="AQ91"/>
  <c r="AL91"/>
  <c r="AP91"/>
  <c r="AO91" s="1"/>
  <c r="AS91"/>
  <c r="AN91"/>
  <c r="AJ8" i="32"/>
  <c r="AK8" s="1"/>
  <c r="AL8" s="1"/>
  <c r="AF499" i="28"/>
  <c r="AZ499" s="1"/>
  <c r="W494"/>
  <c r="AG494"/>
  <c r="W492"/>
  <c r="AG492"/>
  <c r="AS485"/>
  <c r="AQ485"/>
  <c r="AO485"/>
  <c r="AM485"/>
  <c r="AT485"/>
  <c r="AP485"/>
  <c r="AN485"/>
  <c r="AL485"/>
  <c r="AF482"/>
  <c r="AZ482" s="1"/>
  <c r="W480"/>
  <c r="AG480"/>
  <c r="AS479"/>
  <c r="AQ479"/>
  <c r="AO479"/>
  <c r="AM479"/>
  <c r="AT479"/>
  <c r="AP479"/>
  <c r="AN479"/>
  <c r="AL479"/>
  <c r="AF478"/>
  <c r="AZ478" s="1"/>
  <c r="AF477"/>
  <c r="AZ477" s="1"/>
  <c r="AF473"/>
  <c r="AZ473" s="1"/>
  <c r="AS469"/>
  <c r="AQ469"/>
  <c r="AO469"/>
  <c r="AM469"/>
  <c r="AT469"/>
  <c r="AP469"/>
  <c r="AN469"/>
  <c r="AL469"/>
  <c r="AF462"/>
  <c r="AZ462" s="1"/>
  <c r="AF461"/>
  <c r="AZ461" s="1"/>
  <c r="AS456"/>
  <c r="AQ456"/>
  <c r="AO456"/>
  <c r="AM456"/>
  <c r="AT456"/>
  <c r="AP456"/>
  <c r="AN456"/>
  <c r="AL456"/>
  <c r="AF445"/>
  <c r="AZ445" s="1"/>
  <c r="AF468"/>
  <c r="AZ468" s="1"/>
  <c r="W465"/>
  <c r="AG465"/>
  <c r="AS463"/>
  <c r="AQ463"/>
  <c r="AO463"/>
  <c r="AM463"/>
  <c r="AT463"/>
  <c r="AP463"/>
  <c r="AN463"/>
  <c r="AL463"/>
  <c r="AF458"/>
  <c r="AZ458" s="1"/>
  <c r="AT453"/>
  <c r="BA453" s="1"/>
  <c r="AP453"/>
  <c r="AN453"/>
  <c r="AL453"/>
  <c r="AS453"/>
  <c r="AQ453"/>
  <c r="AO453"/>
  <c r="AM453"/>
  <c r="W475"/>
  <c r="AG475"/>
  <c r="AT418"/>
  <c r="AP418"/>
  <c r="AN418"/>
  <c r="AL418"/>
  <c r="AS418"/>
  <c r="AQ418"/>
  <c r="AO418"/>
  <c r="AM418"/>
  <c r="W412"/>
  <c r="AF412" s="1"/>
  <c r="AG412"/>
  <c r="AF405"/>
  <c r="AZ405" s="1"/>
  <c r="AF398"/>
  <c r="AZ398" s="1"/>
  <c r="AF395"/>
  <c r="AZ395" s="1"/>
  <c r="AF393"/>
  <c r="AZ393" s="1"/>
  <c r="AF391"/>
  <c r="AZ391" s="1"/>
  <c r="AT443"/>
  <c r="AP443"/>
  <c r="AN443"/>
  <c r="AL443"/>
  <c r="AS443"/>
  <c r="AQ443"/>
  <c r="AM443"/>
  <c r="AO443"/>
  <c r="AS435"/>
  <c r="AQ435"/>
  <c r="AO435"/>
  <c r="AM435"/>
  <c r="AT435"/>
  <c r="AP435"/>
  <c r="AN435"/>
  <c r="AL435"/>
  <c r="AF417"/>
  <c r="AZ417" s="1"/>
  <c r="AF409"/>
  <c r="AZ409" s="1"/>
  <c r="AT455"/>
  <c r="AS455" s="1"/>
  <c r="AQ455"/>
  <c r="AO455"/>
  <c r="AM455"/>
  <c r="AP455"/>
  <c r="AN455"/>
  <c r="AL455"/>
  <c r="AP451"/>
  <c r="AN451"/>
  <c r="AL451"/>
  <c r="AT451"/>
  <c r="AS451" s="1"/>
  <c r="AQ451"/>
  <c r="AO451"/>
  <c r="AM451"/>
  <c r="AS383"/>
  <c r="AQ383"/>
  <c r="AO383"/>
  <c r="AM383"/>
  <c r="AT383"/>
  <c r="AP383"/>
  <c r="AN383"/>
  <c r="AL383"/>
  <c r="AS379"/>
  <c r="AQ379"/>
  <c r="AO379"/>
  <c r="AM379"/>
  <c r="AT379"/>
  <c r="AP379"/>
  <c r="AN379"/>
  <c r="AL379"/>
  <c r="AS375"/>
  <c r="AQ375"/>
  <c r="AO375"/>
  <c r="AM375"/>
  <c r="AT375"/>
  <c r="AP375"/>
  <c r="AN375"/>
  <c r="AL375"/>
  <c r="AF371"/>
  <c r="AZ371" s="1"/>
  <c r="AF364"/>
  <c r="AZ364" s="1"/>
  <c r="AF363"/>
  <c r="AZ363" s="1"/>
  <c r="AT356"/>
  <c r="AP356"/>
  <c r="AN356"/>
  <c r="AL356"/>
  <c r="AS356"/>
  <c r="AQ356"/>
  <c r="AO356"/>
  <c r="AM356"/>
  <c r="AF355"/>
  <c r="AZ355" s="1"/>
  <c r="AT354"/>
  <c r="AP354"/>
  <c r="AN354"/>
  <c r="AL354"/>
  <c r="AS354"/>
  <c r="AQ354"/>
  <c r="AO354"/>
  <c r="AM354"/>
  <c r="AF348"/>
  <c r="AZ348" s="1"/>
  <c r="W344"/>
  <c r="AG344"/>
  <c r="AF337"/>
  <c r="AZ337" s="1"/>
  <c r="AF336"/>
  <c r="AZ336" s="1"/>
  <c r="AP427"/>
  <c r="AN427"/>
  <c r="AL427"/>
  <c r="AT427"/>
  <c r="AS427" s="1"/>
  <c r="AQ427"/>
  <c r="AO427"/>
  <c r="AM427"/>
  <c r="AP423"/>
  <c r="AN423"/>
  <c r="AL423"/>
  <c r="AT423"/>
  <c r="AS423" s="1"/>
  <c r="AQ423"/>
  <c r="AO423"/>
  <c r="AM423"/>
  <c r="W388"/>
  <c r="AG388"/>
  <c r="AS387"/>
  <c r="AQ387"/>
  <c r="AO387"/>
  <c r="AM387"/>
  <c r="AT387"/>
  <c r="AP387"/>
  <c r="AN387"/>
  <c r="AL387"/>
  <c r="AF386"/>
  <c r="AZ386" s="1"/>
  <c r="AS385"/>
  <c r="AQ385"/>
  <c r="AO385"/>
  <c r="AM385"/>
  <c r="AT385"/>
  <c r="AP385"/>
  <c r="AN385"/>
  <c r="AL385"/>
  <c r="W382"/>
  <c r="AG382"/>
  <c r="AF378"/>
  <c r="AZ378" s="1"/>
  <c r="AP377"/>
  <c r="AN377"/>
  <c r="AL377"/>
  <c r="AT377"/>
  <c r="AS377" s="1"/>
  <c r="AQ377"/>
  <c r="AO377"/>
  <c r="AM377"/>
  <c r="AF374"/>
  <c r="AS370"/>
  <c r="AQ370"/>
  <c r="AO370"/>
  <c r="AM370"/>
  <c r="AT370"/>
  <c r="AP370"/>
  <c r="AN370"/>
  <c r="AL370"/>
  <c r="AS367"/>
  <c r="AQ367"/>
  <c r="AO367"/>
  <c r="AM367"/>
  <c r="AT367"/>
  <c r="AP367"/>
  <c r="AN367"/>
  <c r="AL367"/>
  <c r="AF366"/>
  <c r="AF360"/>
  <c r="AF359"/>
  <c r="AS351"/>
  <c r="AQ351"/>
  <c r="AO351"/>
  <c r="AM351"/>
  <c r="AT351"/>
  <c r="AP351"/>
  <c r="AN351"/>
  <c r="AL351"/>
  <c r="W350"/>
  <c r="AG350"/>
  <c r="AF347"/>
  <c r="AF441"/>
  <c r="AF437"/>
  <c r="AT416"/>
  <c r="AP416"/>
  <c r="AN416"/>
  <c r="AL416"/>
  <c r="AS416"/>
  <c r="AQ416"/>
  <c r="AO416"/>
  <c r="AM416"/>
  <c r="AT400"/>
  <c r="AP400"/>
  <c r="AN400"/>
  <c r="AL400"/>
  <c r="AS400"/>
  <c r="AQ400"/>
  <c r="AO400"/>
  <c r="AM400"/>
  <c r="AT389"/>
  <c r="BA389" s="1"/>
  <c r="AP389"/>
  <c r="AN389"/>
  <c r="AL389"/>
  <c r="AS389"/>
  <c r="AQ389"/>
  <c r="AM389"/>
  <c r="AO389"/>
  <c r="W322"/>
  <c r="AG322"/>
  <c r="AF320"/>
  <c r="AF314"/>
  <c r="AF312"/>
  <c r="W288"/>
  <c r="AG288"/>
  <c r="AF286"/>
  <c r="W285"/>
  <c r="AG285"/>
  <c r="AF284"/>
  <c r="AF283"/>
  <c r="W276"/>
  <c r="AG276"/>
  <c r="AF248"/>
  <c r="AF244"/>
  <c r="AF242"/>
  <c r="AF240"/>
  <c r="AF236"/>
  <c r="AP235"/>
  <c r="AN235"/>
  <c r="AL235"/>
  <c r="AT235"/>
  <c r="AS235" s="1"/>
  <c r="AQ235"/>
  <c r="AO235"/>
  <c r="AM235"/>
  <c r="AF232"/>
  <c r="AZ232" s="1"/>
  <c r="AF227"/>
  <c r="AZ227" s="1"/>
  <c r="AS225"/>
  <c r="AQ225"/>
  <c r="AN225"/>
  <c r="AL225"/>
  <c r="AT225"/>
  <c r="BA225" s="1"/>
  <c r="AP225"/>
  <c r="AO225" s="1"/>
  <c r="AM225"/>
  <c r="W223"/>
  <c r="AF223" s="1"/>
  <c r="AG223"/>
  <c r="AS327"/>
  <c r="AQ327"/>
  <c r="AO327"/>
  <c r="AM327"/>
  <c r="AT327"/>
  <c r="BA327" s="1"/>
  <c r="AP327"/>
  <c r="AN327"/>
  <c r="AL327"/>
  <c r="AF326"/>
  <c r="AF308"/>
  <c r="AF307"/>
  <c r="AF306"/>
  <c r="W304"/>
  <c r="AG304"/>
  <c r="AF301"/>
  <c r="W300"/>
  <c r="AG300"/>
  <c r="AF298"/>
  <c r="AF287"/>
  <c r="AF282"/>
  <c r="W281"/>
  <c r="AG281"/>
  <c r="AF280"/>
  <c r="W279"/>
  <c r="AG279"/>
  <c r="AT274"/>
  <c r="AP274"/>
  <c r="AN274"/>
  <c r="AL274"/>
  <c r="AS274"/>
  <c r="AQ274"/>
  <c r="AO274"/>
  <c r="AM274"/>
  <c r="AF268"/>
  <c r="AF260"/>
  <c r="AT258"/>
  <c r="AP258"/>
  <c r="AN258"/>
  <c r="AL258"/>
  <c r="AS258"/>
  <c r="AQ258"/>
  <c r="AO258"/>
  <c r="AM258"/>
  <c r="AF254"/>
  <c r="W253"/>
  <c r="AF253" s="1"/>
  <c r="AG253"/>
  <c r="AF250"/>
  <c r="AF246"/>
  <c r="AF222"/>
  <c r="AT199"/>
  <c r="AP199"/>
  <c r="AN199"/>
  <c r="AL199"/>
  <c r="AS199"/>
  <c r="AQ199"/>
  <c r="AO199"/>
  <c r="AM199"/>
  <c r="AF198"/>
  <c r="AF185"/>
  <c r="AF158"/>
  <c r="AF151"/>
  <c r="AF123"/>
  <c r="AF108"/>
  <c r="AF107"/>
  <c r="AT317"/>
  <c r="AS317" s="1"/>
  <c r="AQ317"/>
  <c r="AO317"/>
  <c r="AM317"/>
  <c r="AP317"/>
  <c r="AN317"/>
  <c r="AL317"/>
  <c r="AT305"/>
  <c r="AP305"/>
  <c r="AN305"/>
  <c r="AL305"/>
  <c r="AS305"/>
  <c r="AQ305"/>
  <c r="AO305"/>
  <c r="AM305"/>
  <c r="AT271"/>
  <c r="AS271" s="1"/>
  <c r="AQ271"/>
  <c r="AO271"/>
  <c r="AM271"/>
  <c r="AP271"/>
  <c r="AN271"/>
  <c r="AL271"/>
  <c r="AF262"/>
  <c r="AT216"/>
  <c r="AP216"/>
  <c r="AO216"/>
  <c r="AM216"/>
  <c r="AS216"/>
  <c r="AQ216"/>
  <c r="AN216"/>
  <c r="AL216"/>
  <c r="AF202"/>
  <c r="W195"/>
  <c r="AG195"/>
  <c r="AF188"/>
  <c r="AF186"/>
  <c r="AF178"/>
  <c r="AF170"/>
  <c r="AF167"/>
  <c r="AF166"/>
  <c r="AF165"/>
  <c r="AF164"/>
  <c r="AF163"/>
  <c r="AF162"/>
  <c r="W161"/>
  <c r="AG161"/>
  <c r="AF160"/>
  <c r="AF157"/>
  <c r="AF156"/>
  <c r="AF152"/>
  <c r="AF149"/>
  <c r="AS147"/>
  <c r="AQ147"/>
  <c r="AO147"/>
  <c r="AM147"/>
  <c r="AT147"/>
  <c r="AP147"/>
  <c r="AN147"/>
  <c r="AL147"/>
  <c r="AS141"/>
  <c r="AQ141"/>
  <c r="AO141"/>
  <c r="AM141"/>
  <c r="AT141"/>
  <c r="AP141"/>
  <c r="AN141"/>
  <c r="AL141"/>
  <c r="AF131"/>
  <c r="W130"/>
  <c r="AF130" s="1"/>
  <c r="AG130"/>
  <c r="AF129"/>
  <c r="W113"/>
  <c r="AF113" s="1"/>
  <c r="AG113"/>
  <c r="AT111"/>
  <c r="BA111" s="1"/>
  <c r="AP111"/>
  <c r="AN111"/>
  <c r="AM111" s="1"/>
  <c r="AS111"/>
  <c r="AQ111"/>
  <c r="AO111"/>
  <c r="AL111"/>
  <c r="AF291"/>
  <c r="AZ291" s="1"/>
  <c r="AF290"/>
  <c r="AZ290" s="1"/>
  <c r="BJ115"/>
  <c r="BK115" s="1"/>
  <c r="BL115" s="1"/>
  <c r="BM115" s="1"/>
  <c r="AF100"/>
  <c r="AZ100" s="1"/>
  <c r="AF97"/>
  <c r="AZ97" s="1"/>
  <c r="AF88"/>
  <c r="AZ88" s="1"/>
  <c r="AF85"/>
  <c r="AZ85" s="1"/>
  <c r="AF84"/>
  <c r="AZ84" s="1"/>
  <c r="AF83"/>
  <c r="AZ83" s="1"/>
  <c r="AS104"/>
  <c r="AQ104"/>
  <c r="AO104"/>
  <c r="AM104"/>
  <c r="AT104"/>
  <c r="AP104"/>
  <c r="AN104"/>
  <c r="AL104"/>
  <c r="AS99"/>
  <c r="AQ99"/>
  <c r="AO99"/>
  <c r="AM99"/>
  <c r="AT99"/>
  <c r="AP99"/>
  <c r="AN99"/>
  <c r="AL99"/>
  <c r="AF191"/>
  <c r="AZ191" s="1"/>
  <c r="AP120"/>
  <c r="AN120"/>
  <c r="AM120" s="1"/>
  <c r="AT120"/>
  <c r="AS120" s="1"/>
  <c r="AQ120"/>
  <c r="AO120"/>
  <c r="AL120"/>
  <c r="AS119"/>
  <c r="AQ119"/>
  <c r="AP119" s="1"/>
  <c r="AN119"/>
  <c r="AM119" s="1"/>
  <c r="AT119"/>
  <c r="AO119"/>
  <c r="AL119"/>
  <c r="AT102"/>
  <c r="AP102"/>
  <c r="AN102"/>
  <c r="AL102"/>
  <c r="AS102"/>
  <c r="AQ102"/>
  <c r="AO102"/>
  <c r="AM102"/>
  <c r="AT79"/>
  <c r="AP79"/>
  <c r="AN79"/>
  <c r="AM79" s="1"/>
  <c r="AS79"/>
  <c r="AQ79"/>
  <c r="AO79"/>
  <c r="AL79"/>
  <c r="BD72"/>
  <c r="BC72" s="1"/>
  <c r="X73"/>
  <c r="BD73"/>
  <c r="BC73" s="1"/>
  <c r="AZ497"/>
  <c r="AI4" i="32"/>
  <c r="AI3"/>
  <c r="AI7"/>
  <c r="AI11"/>
  <c r="AF489" i="28"/>
  <c r="AO496"/>
  <c r="AT496"/>
  <c r="AS496" s="1"/>
  <c r="AN496"/>
  <c r="AM493"/>
  <c r="AQ493"/>
  <c r="AL493"/>
  <c r="AP493"/>
  <c r="AM491"/>
  <c r="AT491"/>
  <c r="AN491"/>
  <c r="AS491"/>
  <c r="AL486"/>
  <c r="AP486"/>
  <c r="AM486"/>
  <c r="AQ486"/>
  <c r="AL450"/>
  <c r="AP450"/>
  <c r="AM450"/>
  <c r="AQ450"/>
  <c r="AM449"/>
  <c r="AQ449"/>
  <c r="AL449"/>
  <c r="AP449"/>
  <c r="AL446"/>
  <c r="AP446"/>
  <c r="AM446"/>
  <c r="AQ446"/>
  <c r="AM444"/>
  <c r="AQ444"/>
  <c r="AL444"/>
  <c r="AP444"/>
  <c r="AN448"/>
  <c r="AT448"/>
  <c r="BA448" s="1"/>
  <c r="AO448"/>
  <c r="AS448"/>
  <c r="AN447"/>
  <c r="AT447"/>
  <c r="BA447" s="1"/>
  <c r="AO447"/>
  <c r="AS447"/>
  <c r="BA385"/>
  <c r="AO426"/>
  <c r="AS426"/>
  <c r="AN426"/>
  <c r="AT426"/>
  <c r="BA426" s="1"/>
  <c r="AO425"/>
  <c r="AS425"/>
  <c r="AN425"/>
  <c r="AT425"/>
  <c r="BA425" s="1"/>
  <c r="AN413"/>
  <c r="AT413"/>
  <c r="BA413" s="1"/>
  <c r="AO413"/>
  <c r="AS413"/>
  <c r="AM407"/>
  <c r="AQ407"/>
  <c r="AL407"/>
  <c r="AP407"/>
  <c r="AL403"/>
  <c r="AP403"/>
  <c r="AM403"/>
  <c r="AQ403"/>
  <c r="AM396"/>
  <c r="AQ396"/>
  <c r="AL396"/>
  <c r="AP396"/>
  <c r="AZ435"/>
  <c r="BA435" s="1"/>
  <c r="AL442"/>
  <c r="AP442"/>
  <c r="AM442"/>
  <c r="AQ442"/>
  <c r="AL439"/>
  <c r="AP439"/>
  <c r="AM439"/>
  <c r="AQ439"/>
  <c r="AZ436"/>
  <c r="AL434"/>
  <c r="AP434"/>
  <c r="AM434"/>
  <c r="AQ434"/>
  <c r="AL433"/>
  <c r="AP433"/>
  <c r="AM433"/>
  <c r="AQ433"/>
  <c r="AL424"/>
  <c r="AP424"/>
  <c r="AM424"/>
  <c r="AQ424"/>
  <c r="AO419"/>
  <c r="AS419"/>
  <c r="AN419"/>
  <c r="AT419"/>
  <c r="AN415"/>
  <c r="AM415"/>
  <c r="AQ415"/>
  <c r="AL408"/>
  <c r="AP408"/>
  <c r="AM408"/>
  <c r="AQ408"/>
  <c r="AL404"/>
  <c r="AQ404"/>
  <c r="AP404" s="1"/>
  <c r="AM404"/>
  <c r="AT404"/>
  <c r="BA404" s="1"/>
  <c r="AN397"/>
  <c r="AT397"/>
  <c r="AO397"/>
  <c r="AS397"/>
  <c r="AN394"/>
  <c r="AT394"/>
  <c r="BA394" s="1"/>
  <c r="AO394"/>
  <c r="AS394"/>
  <c r="AO381"/>
  <c r="AS381"/>
  <c r="AN381"/>
  <c r="AT381"/>
  <c r="BA381" s="1"/>
  <c r="AO349"/>
  <c r="AS349"/>
  <c r="AN349"/>
  <c r="AT349"/>
  <c r="BA349" s="1"/>
  <c r="AZ235"/>
  <c r="BA235" s="1"/>
  <c r="AN373"/>
  <c r="AT373"/>
  <c r="BA373" s="1"/>
  <c r="AO373"/>
  <c r="AS373"/>
  <c r="AO365"/>
  <c r="AS365"/>
  <c r="AN365"/>
  <c r="AT365"/>
  <c r="BA365" s="1"/>
  <c r="AO352"/>
  <c r="AS352"/>
  <c r="AN352"/>
  <c r="AT352"/>
  <c r="BA352" s="1"/>
  <c r="AN345"/>
  <c r="AT345"/>
  <c r="BA345" s="1"/>
  <c r="AO345"/>
  <c r="AS345"/>
  <c r="AL329"/>
  <c r="AP329"/>
  <c r="AM329"/>
  <c r="AQ329"/>
  <c r="AM319"/>
  <c r="AQ319"/>
  <c r="AL319"/>
  <c r="AP319"/>
  <c r="AN269"/>
  <c r="AM269"/>
  <c r="AQ269"/>
  <c r="AM267"/>
  <c r="AQ267"/>
  <c r="AL267"/>
  <c r="AP267"/>
  <c r="AM255"/>
  <c r="AQ255"/>
  <c r="AL255"/>
  <c r="AP255"/>
  <c r="AL251"/>
  <c r="AP251"/>
  <c r="AO251"/>
  <c r="AT251"/>
  <c r="AN247"/>
  <c r="AT247"/>
  <c r="BA247" s="1"/>
  <c r="AO247"/>
  <c r="AS247"/>
  <c r="AN241"/>
  <c r="AT241"/>
  <c r="AO241"/>
  <c r="AS241"/>
  <c r="AO239"/>
  <c r="AT239"/>
  <c r="AS239" s="1"/>
  <c r="AN239"/>
  <c r="AL221"/>
  <c r="AQ221"/>
  <c r="AM221"/>
  <c r="AT221"/>
  <c r="BA221" s="1"/>
  <c r="AN219"/>
  <c r="AS219"/>
  <c r="BA273"/>
  <c r="AL325"/>
  <c r="AP325"/>
  <c r="AM325"/>
  <c r="AQ325"/>
  <c r="AM259"/>
  <c r="AQ259"/>
  <c r="AL259"/>
  <c r="AP259"/>
  <c r="AL257"/>
  <c r="AP257"/>
  <c r="AM257"/>
  <c r="AQ257"/>
  <c r="AP233"/>
  <c r="AO233" s="1"/>
  <c r="AL233"/>
  <c r="AQ233"/>
  <c r="AL210"/>
  <c r="AP210"/>
  <c r="AM210"/>
  <c r="AQ210"/>
  <c r="AM205"/>
  <c r="AQ205"/>
  <c r="AL205"/>
  <c r="AP205"/>
  <c r="AM200"/>
  <c r="AQ200"/>
  <c r="AL200"/>
  <c r="AP200"/>
  <c r="AL194"/>
  <c r="AP194"/>
  <c r="AM194"/>
  <c r="AQ194"/>
  <c r="AM192"/>
  <c r="AQ192"/>
  <c r="AL192"/>
  <c r="AP192"/>
  <c r="AM139"/>
  <c r="AQ139"/>
  <c r="AL139"/>
  <c r="AP139"/>
  <c r="AM128"/>
  <c r="AQ128"/>
  <c r="AL128"/>
  <c r="AP128"/>
  <c r="AN126"/>
  <c r="AM126" s="1"/>
  <c r="AT126"/>
  <c r="BA126" s="1"/>
  <c r="AO126"/>
  <c r="AS126"/>
  <c r="AM219"/>
  <c r="AO212"/>
  <c r="AS212"/>
  <c r="AN212"/>
  <c r="AT212"/>
  <c r="AN193"/>
  <c r="AS193"/>
  <c r="AO193"/>
  <c r="AL148"/>
  <c r="AP148"/>
  <c r="AM148"/>
  <c r="AQ148"/>
  <c r="AM146"/>
  <c r="AQ146"/>
  <c r="AL146"/>
  <c r="AP146"/>
  <c r="AM142"/>
  <c r="AQ142"/>
  <c r="AL142"/>
  <c r="AP142"/>
  <c r="AN122"/>
  <c r="AM122" s="1"/>
  <c r="AT122"/>
  <c r="BA122" s="1"/>
  <c r="AO122"/>
  <c r="AS122"/>
  <c r="AO118"/>
  <c r="AS118"/>
  <c r="AP118"/>
  <c r="AL117"/>
  <c r="AT117"/>
  <c r="BA117" s="1"/>
  <c r="AQ117"/>
  <c r="AP117" s="1"/>
  <c r="AO74"/>
  <c r="AS74"/>
  <c r="AP74"/>
  <c r="AZ104"/>
  <c r="BA104" s="1"/>
  <c r="AL89"/>
  <c r="AQ89"/>
  <c r="AM89"/>
  <c r="AN76"/>
  <c r="AM76" s="1"/>
  <c r="AT76"/>
  <c r="AO76"/>
  <c r="AS76"/>
  <c r="AJ6" i="32"/>
  <c r="AK6" s="1"/>
  <c r="AL6" s="1"/>
  <c r="AJ10"/>
  <c r="AK10" s="1"/>
  <c r="AL10" s="1"/>
  <c r="AT497" i="28"/>
  <c r="AP497"/>
  <c r="AN497"/>
  <c r="AL497"/>
  <c r="AS497"/>
  <c r="AQ497"/>
  <c r="AO497"/>
  <c r="AM497"/>
  <c r="AT484"/>
  <c r="AP484"/>
  <c r="AN484"/>
  <c r="AS484"/>
  <c r="AQ484"/>
  <c r="AO484"/>
  <c r="AM484"/>
  <c r="AL484" s="1"/>
  <c r="W483"/>
  <c r="AG483"/>
  <c r="AS498"/>
  <c r="AQ498"/>
  <c r="AO498"/>
  <c r="AM498"/>
  <c r="AT498"/>
  <c r="BA498" s="1"/>
  <c r="AP498"/>
  <c r="AN498"/>
  <c r="AL498"/>
  <c r="AF495"/>
  <c r="AZ495" s="1"/>
  <c r="AT490"/>
  <c r="AP490"/>
  <c r="AN490"/>
  <c r="AL490"/>
  <c r="AS490"/>
  <c r="AQ490"/>
  <c r="AO490"/>
  <c r="AM490"/>
  <c r="AF487"/>
  <c r="AZ487" s="1"/>
  <c r="AT481"/>
  <c r="AP481"/>
  <c r="AN481"/>
  <c r="AL481"/>
  <c r="AS481"/>
  <c r="AQ481"/>
  <c r="AO481"/>
  <c r="AM481"/>
  <c r="AS476"/>
  <c r="AQ476"/>
  <c r="AO476"/>
  <c r="AM476"/>
  <c r="AL476" s="1"/>
  <c r="AT476"/>
  <c r="AP476"/>
  <c r="AN476"/>
  <c r="AF474"/>
  <c r="AF472"/>
  <c r="AF471"/>
  <c r="AT466"/>
  <c r="AP466"/>
  <c r="AN466"/>
  <c r="AL466"/>
  <c r="AS466"/>
  <c r="AQ466"/>
  <c r="AO466"/>
  <c r="AM466"/>
  <c r="AT464"/>
  <c r="AP464"/>
  <c r="AN464"/>
  <c r="AL464"/>
  <c r="AS464"/>
  <c r="AQ464"/>
  <c r="AO464"/>
  <c r="AM464"/>
  <c r="AT460"/>
  <c r="AP460"/>
  <c r="AN460"/>
  <c r="AL460"/>
  <c r="AS460"/>
  <c r="AQ460"/>
  <c r="AO460"/>
  <c r="AM460"/>
  <c r="W470"/>
  <c r="AG470"/>
  <c r="W467"/>
  <c r="AG467"/>
  <c r="AS459"/>
  <c r="AQ459"/>
  <c r="AO459"/>
  <c r="AM459"/>
  <c r="AT459"/>
  <c r="AP459"/>
  <c r="AN459"/>
  <c r="AL459"/>
  <c r="AF457"/>
  <c r="AT440"/>
  <c r="BA440" s="1"/>
  <c r="AP440"/>
  <c r="AN440"/>
  <c r="AL440"/>
  <c r="AS440"/>
  <c r="AQ440"/>
  <c r="AO440"/>
  <c r="AM440"/>
  <c r="W432"/>
  <c r="AF432" s="1"/>
  <c r="AG432"/>
  <c r="W406"/>
  <c r="AG406"/>
  <c r="AF401"/>
  <c r="AP452"/>
  <c r="AN452"/>
  <c r="AL452"/>
  <c r="AT452"/>
  <c r="AQ452"/>
  <c r="AO452"/>
  <c r="AM452"/>
  <c r="AT438"/>
  <c r="BA438" s="1"/>
  <c r="AP438"/>
  <c r="AN438"/>
  <c r="AL438"/>
  <c r="AS438"/>
  <c r="AQ438"/>
  <c r="AO438"/>
  <c r="AM438"/>
  <c r="W431"/>
  <c r="AF431" s="1"/>
  <c r="AG431"/>
  <c r="AS430"/>
  <c r="AQ430"/>
  <c r="AO430"/>
  <c r="AM430"/>
  <c r="AT430"/>
  <c r="BA430" s="1"/>
  <c r="AP430"/>
  <c r="AN430"/>
  <c r="AL430"/>
  <c r="AS429"/>
  <c r="AQ429"/>
  <c r="AO429"/>
  <c r="AM429"/>
  <c r="AT429"/>
  <c r="BA429" s="1"/>
  <c r="AP429"/>
  <c r="AN429"/>
  <c r="AL429"/>
  <c r="W428"/>
  <c r="AF428" s="1"/>
  <c r="AG428"/>
  <c r="AF402"/>
  <c r="AZ402" s="1"/>
  <c r="AF368"/>
  <c r="AZ368" s="1"/>
  <c r="AT346"/>
  <c r="AP346"/>
  <c r="AN346"/>
  <c r="AL346"/>
  <c r="AS346"/>
  <c r="AQ346"/>
  <c r="AO346"/>
  <c r="AM346"/>
  <c r="AF342"/>
  <c r="AZ342" s="1"/>
  <c r="AF341"/>
  <c r="AZ341" s="1"/>
  <c r="W339"/>
  <c r="AG339"/>
  <c r="AF338"/>
  <c r="AZ338" s="1"/>
  <c r="AS390"/>
  <c r="AQ390"/>
  <c r="AP390" s="1"/>
  <c r="AN390"/>
  <c r="AL390"/>
  <c r="AT390"/>
  <c r="BA390" s="1"/>
  <c r="AO390"/>
  <c r="AM390"/>
  <c r="AF384"/>
  <c r="W380"/>
  <c r="AG380"/>
  <c r="AT369"/>
  <c r="BA369" s="1"/>
  <c r="AP369"/>
  <c r="AN369"/>
  <c r="AL369"/>
  <c r="AS369"/>
  <c r="AQ369"/>
  <c r="AO369"/>
  <c r="AM369"/>
  <c r="AF358"/>
  <c r="AF340"/>
  <c r="AS335"/>
  <c r="AQ335"/>
  <c r="AO335"/>
  <c r="AM335"/>
  <c r="AT335"/>
  <c r="AP335"/>
  <c r="AN335"/>
  <c r="AL335"/>
  <c r="AF334"/>
  <c r="AF331"/>
  <c r="AS436"/>
  <c r="AQ436"/>
  <c r="AO436"/>
  <c r="AM436"/>
  <c r="AT436"/>
  <c r="AP436"/>
  <c r="AN436"/>
  <c r="AL436"/>
  <c r="BJ376"/>
  <c r="BK376" s="1"/>
  <c r="BL376" s="1"/>
  <c r="BM376" s="1"/>
  <c r="AF330"/>
  <c r="AF328"/>
  <c r="AF318"/>
  <c r="AF316"/>
  <c r="W315"/>
  <c r="AG315"/>
  <c r="AF303"/>
  <c r="AF299"/>
  <c r="AF296"/>
  <c r="AF272"/>
  <c r="AF252"/>
  <c r="AF238"/>
  <c r="W229"/>
  <c r="AG229"/>
  <c r="AF226"/>
  <c r="AF224"/>
  <c r="AF220"/>
  <c r="AF324"/>
  <c r="AF310"/>
  <c r="AF302"/>
  <c r="AF297"/>
  <c r="AF295"/>
  <c r="AF294"/>
  <c r="W292"/>
  <c r="AG292"/>
  <c r="AF289"/>
  <c r="AF277"/>
  <c r="AF275"/>
  <c r="AT266"/>
  <c r="AP266"/>
  <c r="AN266"/>
  <c r="AL266"/>
  <c r="AS266"/>
  <c r="AQ266"/>
  <c r="AO266"/>
  <c r="AM266"/>
  <c r="AF265"/>
  <c r="AF264"/>
  <c r="AF256"/>
  <c r="AF234"/>
  <c r="AF343"/>
  <c r="AF215"/>
  <c r="AF213"/>
  <c r="AT207"/>
  <c r="AP207"/>
  <c r="AN207"/>
  <c r="AL207"/>
  <c r="AS207"/>
  <c r="AQ207"/>
  <c r="AO207"/>
  <c r="AM207"/>
  <c r="AF206"/>
  <c r="AF203"/>
  <c r="AF177"/>
  <c r="AF168"/>
  <c r="AF140"/>
  <c r="AF106"/>
  <c r="AT321"/>
  <c r="AS321" s="1"/>
  <c r="AQ321"/>
  <c r="AO321"/>
  <c r="AM321"/>
  <c r="AP321"/>
  <c r="AN321"/>
  <c r="AL321"/>
  <c r="AF311"/>
  <c r="AZ311"/>
  <c r="AF278"/>
  <c r="AZ278"/>
  <c r="AF270"/>
  <c r="AZ270"/>
  <c r="AT263"/>
  <c r="AQ263"/>
  <c r="AO263"/>
  <c r="AM263"/>
  <c r="AP263"/>
  <c r="AN263"/>
  <c r="AL263"/>
  <c r="AS214"/>
  <c r="AQ214"/>
  <c r="AO214"/>
  <c r="AM214"/>
  <c r="AT214"/>
  <c r="BA214" s="1"/>
  <c r="AP214"/>
  <c r="AN214"/>
  <c r="AL214"/>
  <c r="AF211"/>
  <c r="AF209"/>
  <c r="AF208"/>
  <c r="AF204"/>
  <c r="AF201"/>
  <c r="AF197"/>
  <c r="AS196"/>
  <c r="AQ196"/>
  <c r="AO196"/>
  <c r="AM196"/>
  <c r="AT196"/>
  <c r="AP196"/>
  <c r="AN196"/>
  <c r="AL196"/>
  <c r="AF187"/>
  <c r="AF184"/>
  <c r="AF183"/>
  <c r="AF182"/>
  <c r="AF181"/>
  <c r="W180"/>
  <c r="AG180"/>
  <c r="AF179"/>
  <c r="AF176"/>
  <c r="AF175"/>
  <c r="AF174"/>
  <c r="AF173"/>
  <c r="W172"/>
  <c r="AG172"/>
  <c r="AF171"/>
  <c r="AF169"/>
  <c r="AF159"/>
  <c r="AF153"/>
  <c r="W145"/>
  <c r="AG145"/>
  <c r="AF138"/>
  <c r="AS137"/>
  <c r="AQ137"/>
  <c r="AO137"/>
  <c r="AM137"/>
  <c r="AT137"/>
  <c r="AP137"/>
  <c r="AN137"/>
  <c r="AL137"/>
  <c r="AF136"/>
  <c r="AS135"/>
  <c r="AQ135"/>
  <c r="AO135"/>
  <c r="AM135"/>
  <c r="AT135"/>
  <c r="AP135"/>
  <c r="AN135"/>
  <c r="AL135"/>
  <c r="AF127"/>
  <c r="AF125"/>
  <c r="AT124"/>
  <c r="BA124" s="1"/>
  <c r="AP124"/>
  <c r="AN124"/>
  <c r="AM124" s="1"/>
  <c r="AS124"/>
  <c r="AQ124"/>
  <c r="AO124"/>
  <c r="AL124"/>
  <c r="AF121"/>
  <c r="AZ121"/>
  <c r="W116"/>
  <c r="AF116" s="1"/>
  <c r="AG116"/>
  <c r="AZ116" s="1"/>
  <c r="W112"/>
  <c r="AF112" s="1"/>
  <c r="AG112"/>
  <c r="AZ112" s="1"/>
  <c r="AT309"/>
  <c r="BA309" s="1"/>
  <c r="AP309"/>
  <c r="AN309"/>
  <c r="AL309"/>
  <c r="AS309"/>
  <c r="AQ309"/>
  <c r="AO309"/>
  <c r="AM309"/>
  <c r="AT293"/>
  <c r="BA293" s="1"/>
  <c r="AP293"/>
  <c r="AN293"/>
  <c r="AL293"/>
  <c r="AS293"/>
  <c r="AQ293"/>
  <c r="AO293"/>
  <c r="AM293"/>
  <c r="AT261"/>
  <c r="BA261" s="1"/>
  <c r="AP261"/>
  <c r="AN261"/>
  <c r="AL261"/>
  <c r="AS261"/>
  <c r="AQ261"/>
  <c r="AO261"/>
  <c r="AM261"/>
  <c r="AF87"/>
  <c r="AZ87" s="1"/>
  <c r="AF81"/>
  <c r="AZ81" s="1"/>
  <c r="AF77"/>
  <c r="AF75"/>
  <c r="AZ75" s="1"/>
  <c r="AT155"/>
  <c r="AQ155"/>
  <c r="AO155"/>
  <c r="AM155"/>
  <c r="AP155"/>
  <c r="AN155"/>
  <c r="AL155"/>
  <c r="AS143"/>
  <c r="AQ143"/>
  <c r="AO143"/>
  <c r="AM143"/>
  <c r="AT143"/>
  <c r="BA143" s="1"/>
  <c r="AP143"/>
  <c r="AN143"/>
  <c r="AL143"/>
  <c r="AT133"/>
  <c r="AS133" s="1"/>
  <c r="AQ133"/>
  <c r="AO133"/>
  <c r="AM133"/>
  <c r="AP133"/>
  <c r="AN133"/>
  <c r="AL133"/>
  <c r="AT105"/>
  <c r="BA105" s="1"/>
  <c r="AP105"/>
  <c r="AN105"/>
  <c r="AS105"/>
  <c r="AQ105"/>
  <c r="AM105"/>
  <c r="AO105"/>
  <c r="AL105"/>
  <c r="AF101"/>
  <c r="AZ101" s="1"/>
  <c r="AF98"/>
  <c r="AZ98" s="1"/>
  <c r="AF96"/>
  <c r="AZ96" s="1"/>
  <c r="AS95"/>
  <c r="AQ95"/>
  <c r="AN95"/>
  <c r="AL95"/>
  <c r="AT95"/>
  <c r="BA95" s="1"/>
  <c r="AP95"/>
  <c r="AO95" s="1"/>
  <c r="AM95"/>
  <c r="AT86"/>
  <c r="BA86" s="1"/>
  <c r="AP86"/>
  <c r="AO86" s="1"/>
  <c r="AM86"/>
  <c r="AS86"/>
  <c r="AQ86"/>
  <c r="AN86"/>
  <c r="AL86"/>
  <c r="AS82"/>
  <c r="AQ82"/>
  <c r="AN82"/>
  <c r="AL82"/>
  <c r="AT82"/>
  <c r="BA82" s="1"/>
  <c r="AP82"/>
  <c r="AO82" s="1"/>
  <c r="AM82"/>
  <c r="AF80"/>
  <c r="AT190"/>
  <c r="AS190" s="1"/>
  <c r="AQ190"/>
  <c r="AO190"/>
  <c r="AM190"/>
  <c r="AP190"/>
  <c r="AN190"/>
  <c r="AL190"/>
  <c r="AS189"/>
  <c r="AQ189"/>
  <c r="AO189"/>
  <c r="AM189"/>
  <c r="AT189"/>
  <c r="BA189" s="1"/>
  <c r="AP189"/>
  <c r="AN189"/>
  <c r="AL189"/>
  <c r="AT144"/>
  <c r="AS144" s="1"/>
  <c r="AQ144"/>
  <c r="AO144"/>
  <c r="AM144"/>
  <c r="AP144"/>
  <c r="AN144"/>
  <c r="AL144"/>
  <c r="AS134"/>
  <c r="AQ134"/>
  <c r="AO134"/>
  <c r="AM134"/>
  <c r="AT134"/>
  <c r="BA134" s="1"/>
  <c r="AP134"/>
  <c r="AN134"/>
  <c r="AL134"/>
  <c r="AS132"/>
  <c r="AQ132"/>
  <c r="AO132"/>
  <c r="AM132"/>
  <c r="AT132"/>
  <c r="BA132" s="1"/>
  <c r="AP132"/>
  <c r="AN132"/>
  <c r="AL132"/>
  <c r="AT78"/>
  <c r="AP78"/>
  <c r="AN78"/>
  <c r="AM78" s="1"/>
  <c r="AS78"/>
  <c r="AQ78"/>
  <c r="AO78"/>
  <c r="AL78"/>
  <c r="AS103"/>
  <c r="AQ103"/>
  <c r="AO103"/>
  <c r="AM103"/>
  <c r="AT103"/>
  <c r="AP103"/>
  <c r="AN103"/>
  <c r="AL103"/>
  <c r="AG73"/>
  <c r="AJ73"/>
  <c r="AI12" i="32"/>
  <c r="BA491" i="28"/>
  <c r="AI5" i="32"/>
  <c r="AI9"/>
  <c r="AM496" i="28"/>
  <c r="AQ496"/>
  <c r="AL496"/>
  <c r="AP496"/>
  <c r="AO493"/>
  <c r="AS493"/>
  <c r="AN493"/>
  <c r="AT493"/>
  <c r="BA493" s="1"/>
  <c r="AO491"/>
  <c r="AL491"/>
  <c r="AQ491"/>
  <c r="AP491" s="1"/>
  <c r="AN486"/>
  <c r="AT486"/>
  <c r="BA486" s="1"/>
  <c r="AO486"/>
  <c r="AS486"/>
  <c r="AZ418"/>
  <c r="BA418" s="1"/>
  <c r="AG414"/>
  <c r="AZ414" s="1"/>
  <c r="AN450"/>
  <c r="AT450"/>
  <c r="BA450" s="1"/>
  <c r="AO450"/>
  <c r="AS450"/>
  <c r="AO449"/>
  <c r="AS449"/>
  <c r="AN449"/>
  <c r="AT449"/>
  <c r="BA449" s="1"/>
  <c r="AN446"/>
  <c r="AT446"/>
  <c r="BA446" s="1"/>
  <c r="AO446"/>
  <c r="AS446"/>
  <c r="AO444"/>
  <c r="AS444"/>
  <c r="AN444"/>
  <c r="AT444"/>
  <c r="BA444" s="1"/>
  <c r="BA419"/>
  <c r="BA397"/>
  <c r="AZ455"/>
  <c r="BA455" s="1"/>
  <c r="AZ451"/>
  <c r="BA451" s="1"/>
  <c r="AL448"/>
  <c r="AP448"/>
  <c r="AM448"/>
  <c r="AQ448"/>
  <c r="AL447"/>
  <c r="AP447"/>
  <c r="AM447"/>
  <c r="AQ447"/>
  <c r="AZ443"/>
  <c r="BA443" s="1"/>
  <c r="AZ427"/>
  <c r="BA427" s="1"/>
  <c r="AM426"/>
  <c r="AQ426"/>
  <c r="AL426"/>
  <c r="AP426"/>
  <c r="AM425"/>
  <c r="AQ425"/>
  <c r="AL425"/>
  <c r="AP425"/>
  <c r="AZ423"/>
  <c r="BA423" s="1"/>
  <c r="AL413"/>
  <c r="AP413"/>
  <c r="AM413"/>
  <c r="AQ413"/>
  <c r="AO407"/>
  <c r="AS407"/>
  <c r="AN407"/>
  <c r="AT407"/>
  <c r="BA407" s="1"/>
  <c r="AN403"/>
  <c r="AT403"/>
  <c r="BA403" s="1"/>
  <c r="AO403"/>
  <c r="AS403"/>
  <c r="AO396"/>
  <c r="AT396"/>
  <c r="AN396"/>
  <c r="BA410"/>
  <c r="AN442"/>
  <c r="AT442"/>
  <c r="BA442" s="1"/>
  <c r="AO442"/>
  <c r="AS442"/>
  <c r="AN439"/>
  <c r="AT439"/>
  <c r="BA439" s="1"/>
  <c r="AO439"/>
  <c r="AS439"/>
  <c r="AN434"/>
  <c r="AT434"/>
  <c r="BA434" s="1"/>
  <c r="AO434"/>
  <c r="AS434"/>
  <c r="AN433"/>
  <c r="AT433"/>
  <c r="BA433" s="1"/>
  <c r="AO433"/>
  <c r="AS433"/>
  <c r="AN424"/>
  <c r="AT424"/>
  <c r="BA424" s="1"/>
  <c r="AO424"/>
  <c r="AS424"/>
  <c r="AM419"/>
  <c r="AQ419"/>
  <c r="AL419"/>
  <c r="AP419"/>
  <c r="AZ416"/>
  <c r="BA416" s="1"/>
  <c r="AL415"/>
  <c r="AP415"/>
  <c r="AO415"/>
  <c r="AT415"/>
  <c r="AN408"/>
  <c r="AT408"/>
  <c r="BA408" s="1"/>
  <c r="AO408"/>
  <c r="AS408"/>
  <c r="AN404"/>
  <c r="AS404"/>
  <c r="AO404"/>
  <c r="AZ400"/>
  <c r="BA400" s="1"/>
  <c r="AL397"/>
  <c r="AP397"/>
  <c r="AM397"/>
  <c r="AQ397"/>
  <c r="AL394"/>
  <c r="AP394"/>
  <c r="AM394"/>
  <c r="AQ394"/>
  <c r="AM381"/>
  <c r="AQ381"/>
  <c r="AL381"/>
  <c r="AP381"/>
  <c r="AM349"/>
  <c r="AQ349"/>
  <c r="AL349"/>
  <c r="AP349"/>
  <c r="AZ377"/>
  <c r="BA377" s="1"/>
  <c r="BA241"/>
  <c r="BA239"/>
  <c r="AL373"/>
  <c r="AP373"/>
  <c r="AM373"/>
  <c r="AQ373"/>
  <c r="AF372"/>
  <c r="AM365"/>
  <c r="AQ365"/>
  <c r="AL365"/>
  <c r="AP365"/>
  <c r="AM352"/>
  <c r="AQ352"/>
  <c r="AL352"/>
  <c r="AP352"/>
  <c r="AL345"/>
  <c r="AP345"/>
  <c r="AM345"/>
  <c r="AQ345"/>
  <c r="BA196"/>
  <c r="BA137"/>
  <c r="BA135"/>
  <c r="AN329"/>
  <c r="AT329"/>
  <c r="BA329" s="1"/>
  <c r="AO329"/>
  <c r="AS329"/>
  <c r="AO319"/>
  <c r="AT319"/>
  <c r="AS319" s="1"/>
  <c r="AN319"/>
  <c r="AZ317"/>
  <c r="BA317" s="1"/>
  <c r="AZ305"/>
  <c r="BA305" s="1"/>
  <c r="AZ271"/>
  <c r="BA271" s="1"/>
  <c r="AL269"/>
  <c r="AP269"/>
  <c r="AO269"/>
  <c r="AT269"/>
  <c r="AO267"/>
  <c r="AS267"/>
  <c r="AN267"/>
  <c r="AT267"/>
  <c r="BA267" s="1"/>
  <c r="AO255"/>
  <c r="AS255"/>
  <c r="AN255"/>
  <c r="AT255"/>
  <c r="BA255" s="1"/>
  <c r="AN251"/>
  <c r="AM251"/>
  <c r="AQ251"/>
  <c r="AL247"/>
  <c r="AP247"/>
  <c r="AM247"/>
  <c r="AQ247"/>
  <c r="AL241"/>
  <c r="AP241"/>
  <c r="AM241"/>
  <c r="AQ241"/>
  <c r="AM239"/>
  <c r="AQ239"/>
  <c r="AL239"/>
  <c r="AP239"/>
  <c r="AN221"/>
  <c r="AS221"/>
  <c r="AP221"/>
  <c r="AO221" s="1"/>
  <c r="AL219"/>
  <c r="AQ219"/>
  <c r="BA323"/>
  <c r="BA216"/>
  <c r="BA212"/>
  <c r="AN325"/>
  <c r="AT325"/>
  <c r="BA325" s="1"/>
  <c r="AO325"/>
  <c r="AS325"/>
  <c r="AO259"/>
  <c r="AS259"/>
  <c r="AN259"/>
  <c r="AT259"/>
  <c r="BA259" s="1"/>
  <c r="AN257"/>
  <c r="AT257"/>
  <c r="BA257" s="1"/>
  <c r="AO257"/>
  <c r="AS257"/>
  <c r="AM233"/>
  <c r="AT233"/>
  <c r="BA233" s="1"/>
  <c r="AN233"/>
  <c r="AS233"/>
  <c r="AN210"/>
  <c r="AT210"/>
  <c r="BA210" s="1"/>
  <c r="AO210"/>
  <c r="AS210"/>
  <c r="AO205"/>
  <c r="AS205"/>
  <c r="AN205"/>
  <c r="AT205"/>
  <c r="BA205" s="1"/>
  <c r="AO200"/>
  <c r="AS200"/>
  <c r="AN200"/>
  <c r="AT200"/>
  <c r="BA200" s="1"/>
  <c r="AN194"/>
  <c r="AT194"/>
  <c r="BA194" s="1"/>
  <c r="AO194"/>
  <c r="AS194"/>
  <c r="AO192"/>
  <c r="AS192"/>
  <c r="AN192"/>
  <c r="AT192"/>
  <c r="BA192" s="1"/>
  <c r="AO139"/>
  <c r="AS139"/>
  <c r="AN139"/>
  <c r="AT139"/>
  <c r="BA139" s="1"/>
  <c r="AO128"/>
  <c r="AS128"/>
  <c r="AN128"/>
  <c r="AT128"/>
  <c r="BA128" s="1"/>
  <c r="AP126"/>
  <c r="AL126"/>
  <c r="AQ126"/>
  <c r="BA114"/>
  <c r="AM212"/>
  <c r="AQ212"/>
  <c r="AL212"/>
  <c r="AP212"/>
  <c r="AL193"/>
  <c r="AQ193"/>
  <c r="AP193" s="1"/>
  <c r="AM193"/>
  <c r="AT193"/>
  <c r="BA193" s="1"/>
  <c r="AN148"/>
  <c r="AT148"/>
  <c r="BA148" s="1"/>
  <c r="AO148"/>
  <c r="AS148"/>
  <c r="AO146"/>
  <c r="AS146"/>
  <c r="AN146"/>
  <c r="AT146"/>
  <c r="BA146" s="1"/>
  <c r="AO142"/>
  <c r="AS142"/>
  <c r="AN142"/>
  <c r="AT142"/>
  <c r="BA142" s="1"/>
  <c r="AP122"/>
  <c r="AL122"/>
  <c r="AQ122"/>
  <c r="AZ120"/>
  <c r="BA120" s="1"/>
  <c r="AZ119"/>
  <c r="BA119" s="1"/>
  <c r="AL118"/>
  <c r="AQ118"/>
  <c r="AN118"/>
  <c r="AM118" s="1"/>
  <c r="AT118"/>
  <c r="BA118" s="1"/>
  <c r="AO117"/>
  <c r="AN117"/>
  <c r="AM117" s="1"/>
  <c r="AS117"/>
  <c r="AZ102"/>
  <c r="BA102" s="1"/>
  <c r="AL74"/>
  <c r="AQ74"/>
  <c r="AN74"/>
  <c r="AM74" s="1"/>
  <c r="AT74"/>
  <c r="BA93"/>
  <c r="AN89"/>
  <c r="AT89"/>
  <c r="AS89" s="1"/>
  <c r="AP89"/>
  <c r="AO89" s="1"/>
  <c r="AP76"/>
  <c r="AL76"/>
  <c r="AQ76"/>
  <c r="AD72"/>
  <c r="AC72"/>
  <c r="AB72"/>
  <c r="Z72"/>
  <c r="Y72"/>
  <c r="V72"/>
  <c r="AJ72" s="1"/>
  <c r="E72"/>
  <c r="BP72" s="1"/>
  <c r="BI71"/>
  <c r="AW71"/>
  <c r="AV71"/>
  <c r="AU71"/>
  <c r="AR71"/>
  <c r="AK71"/>
  <c r="AH71"/>
  <c r="AD71"/>
  <c r="AC71"/>
  <c r="AB71"/>
  <c r="Z71"/>
  <c r="BO71" s="1"/>
  <c r="Y71"/>
  <c r="V71"/>
  <c r="X71" s="1"/>
  <c r="E71"/>
  <c r="BP71" s="1"/>
  <c r="BI70"/>
  <c r="AW70"/>
  <c r="AV70"/>
  <c r="AU70"/>
  <c r="AR70"/>
  <c r="AK70"/>
  <c r="AH70"/>
  <c r="BE70" s="1"/>
  <c r="AD70"/>
  <c r="AC70"/>
  <c r="AB70"/>
  <c r="Z70"/>
  <c r="BO70" s="1"/>
  <c r="Y70"/>
  <c r="V70"/>
  <c r="AJ70" s="1"/>
  <c r="E70"/>
  <c r="BP70" s="1"/>
  <c r="BI69"/>
  <c r="AW69"/>
  <c r="AV69"/>
  <c r="AU69"/>
  <c r="AR69"/>
  <c r="AK69"/>
  <c r="AH69"/>
  <c r="BE69" s="1"/>
  <c r="AD69"/>
  <c r="AC69"/>
  <c r="AB69"/>
  <c r="Z69"/>
  <c r="BO69" s="1"/>
  <c r="Y69"/>
  <c r="V69"/>
  <c r="AJ69" s="1"/>
  <c r="E69"/>
  <c r="BP69" s="1"/>
  <c r="BI68"/>
  <c r="AW68"/>
  <c r="AV68"/>
  <c r="AU68"/>
  <c r="AR68"/>
  <c r="AK68"/>
  <c r="AH68"/>
  <c r="BE68" s="1"/>
  <c r="AD68"/>
  <c r="AC68"/>
  <c r="AB68"/>
  <c r="Z68"/>
  <c r="Y68"/>
  <c r="V68"/>
  <c r="X68" s="1"/>
  <c r="E68"/>
  <c r="BP68" s="1"/>
  <c r="BI67"/>
  <c r="AW67"/>
  <c r="AV67"/>
  <c r="AU67"/>
  <c r="AR67"/>
  <c r="AK67"/>
  <c r="AH67"/>
  <c r="BE67" s="1"/>
  <c r="AD67"/>
  <c r="AC67"/>
  <c r="AB67"/>
  <c r="Z67"/>
  <c r="BO67" s="1"/>
  <c r="Y67"/>
  <c r="V67"/>
  <c r="AJ67" s="1"/>
  <c r="E67"/>
  <c r="BP67" s="1"/>
  <c r="BI66"/>
  <c r="AW66"/>
  <c r="AV66"/>
  <c r="AU66"/>
  <c r="AR66"/>
  <c r="AK66"/>
  <c r="AH66"/>
  <c r="BE66" s="1"/>
  <c r="AD66"/>
  <c r="AC66"/>
  <c r="AB66"/>
  <c r="Z66"/>
  <c r="BO66" s="1"/>
  <c r="Y66"/>
  <c r="V66"/>
  <c r="X66" s="1"/>
  <c r="E66"/>
  <c r="BP66" s="1"/>
  <c r="BG68" l="1"/>
  <c r="BO68"/>
  <c r="AA72"/>
  <c r="BO72"/>
  <c r="AA66"/>
  <c r="AE66"/>
  <c r="BA91"/>
  <c r="AE72"/>
  <c r="AA67"/>
  <c r="AE67"/>
  <c r="AE68"/>
  <c r="AA68"/>
  <c r="BG66"/>
  <c r="BG67"/>
  <c r="BH68"/>
  <c r="AE69"/>
  <c r="AE70"/>
  <c r="AA71"/>
  <c r="AE71"/>
  <c r="W66"/>
  <c r="AJ66"/>
  <c r="BH66"/>
  <c r="BH67"/>
  <c r="AA69"/>
  <c r="BG69"/>
  <c r="AA70"/>
  <c r="BG70"/>
  <c r="BG71"/>
  <c r="BG72"/>
  <c r="BH72"/>
  <c r="BC67"/>
  <c r="BH69"/>
  <c r="BH71"/>
  <c r="AZ412"/>
  <c r="AF465"/>
  <c r="AF480"/>
  <c r="AF492"/>
  <c r="AF494"/>
  <c r="W67"/>
  <c r="W71"/>
  <c r="AF388"/>
  <c r="BD67"/>
  <c r="A41" i="32"/>
  <c r="BF79" i="28"/>
  <c r="AZ428"/>
  <c r="AZ431"/>
  <c r="AF382"/>
  <c r="BB76"/>
  <c r="BA245"/>
  <c r="AI2" i="32"/>
  <c r="AM2" s="1"/>
  <c r="BA313" i="28"/>
  <c r="BJ118"/>
  <c r="BK118" s="1"/>
  <c r="BL118" s="1"/>
  <c r="BM118" s="1"/>
  <c r="BJ434"/>
  <c r="BK434" s="1"/>
  <c r="BL434" s="1"/>
  <c r="BM434" s="1"/>
  <c r="BJ442"/>
  <c r="BK442" s="1"/>
  <c r="BL442" s="1"/>
  <c r="BM442" s="1"/>
  <c r="BJ214"/>
  <c r="BK214" s="1"/>
  <c r="BL214" s="1"/>
  <c r="BM214" s="1"/>
  <c r="BJ117"/>
  <c r="BK117" s="1"/>
  <c r="BL117" s="1"/>
  <c r="BM117" s="1"/>
  <c r="BJ327"/>
  <c r="BK327" s="1"/>
  <c r="BL327" s="1"/>
  <c r="BM327" s="1"/>
  <c r="BJ139"/>
  <c r="BK139" s="1"/>
  <c r="BL139" s="1"/>
  <c r="BM139" s="1"/>
  <c r="BJ192"/>
  <c r="BK192" s="1"/>
  <c r="BL192" s="1"/>
  <c r="BM192" s="1"/>
  <c r="BJ205"/>
  <c r="BK205" s="1"/>
  <c r="BL205" s="1"/>
  <c r="BM205" s="1"/>
  <c r="BJ233"/>
  <c r="BK233" s="1"/>
  <c r="BL233" s="1"/>
  <c r="BM233" s="1"/>
  <c r="BJ257"/>
  <c r="BK257" s="1"/>
  <c r="BL257" s="1"/>
  <c r="BM257" s="1"/>
  <c r="BJ259"/>
  <c r="BK259" s="1"/>
  <c r="BL259" s="1"/>
  <c r="BM259" s="1"/>
  <c r="BJ446"/>
  <c r="BK446" s="1"/>
  <c r="BL446" s="1"/>
  <c r="BM446" s="1"/>
  <c r="BJ261"/>
  <c r="BK261" s="1"/>
  <c r="BL261" s="1"/>
  <c r="BM261" s="1"/>
  <c r="BJ293"/>
  <c r="BK293" s="1"/>
  <c r="BL293" s="1"/>
  <c r="BM293" s="1"/>
  <c r="BJ309"/>
  <c r="BK309" s="1"/>
  <c r="BL309" s="1"/>
  <c r="BM309" s="1"/>
  <c r="BJ369"/>
  <c r="BK369" s="1"/>
  <c r="BL369" s="1"/>
  <c r="BM369" s="1"/>
  <c r="BJ438"/>
  <c r="BK438" s="1"/>
  <c r="BL438" s="1"/>
  <c r="BM438" s="1"/>
  <c r="BJ425"/>
  <c r="BK425" s="1"/>
  <c r="BL425" s="1"/>
  <c r="BM425" s="1"/>
  <c r="BJ102"/>
  <c r="BK102" s="1"/>
  <c r="BL102" s="1"/>
  <c r="BM102" s="1"/>
  <c r="BJ119"/>
  <c r="BK119" s="1"/>
  <c r="BL119" s="1"/>
  <c r="BM119" s="1"/>
  <c r="BJ212"/>
  <c r="BK212" s="1"/>
  <c r="BL212" s="1"/>
  <c r="BM212" s="1"/>
  <c r="BJ323"/>
  <c r="BK323" s="1"/>
  <c r="BL323" s="1"/>
  <c r="BM323" s="1"/>
  <c r="BJ305"/>
  <c r="BK305" s="1"/>
  <c r="BL305" s="1"/>
  <c r="BM305" s="1"/>
  <c r="BJ137"/>
  <c r="BK137" s="1"/>
  <c r="BL137" s="1"/>
  <c r="BM137" s="1"/>
  <c r="BJ196"/>
  <c r="BK196" s="1"/>
  <c r="BL196" s="1"/>
  <c r="BM196" s="1"/>
  <c r="BJ239"/>
  <c r="BK239" s="1"/>
  <c r="BL239" s="1"/>
  <c r="BM239" s="1"/>
  <c r="AS396"/>
  <c r="BA396"/>
  <c r="AJ9" i="32"/>
  <c r="AK9" s="1"/>
  <c r="AL9" s="1"/>
  <c r="AJ12"/>
  <c r="AK12" s="1"/>
  <c r="AL12" s="1"/>
  <c r="AS80" i="28"/>
  <c r="AQ80"/>
  <c r="AO80"/>
  <c r="AN80" s="1"/>
  <c r="AL80"/>
  <c r="AT80"/>
  <c r="AP80"/>
  <c r="AM80"/>
  <c r="AS77"/>
  <c r="AQ77"/>
  <c r="AO77"/>
  <c r="AL77"/>
  <c r="AT77"/>
  <c r="AP77"/>
  <c r="AN77"/>
  <c r="AM77" s="1"/>
  <c r="AT125"/>
  <c r="AP125"/>
  <c r="AN125"/>
  <c r="AL125"/>
  <c r="AS125"/>
  <c r="AQ125"/>
  <c r="AO125"/>
  <c r="AM125"/>
  <c r="AT127"/>
  <c r="AP127"/>
  <c r="AN127"/>
  <c r="AL127"/>
  <c r="AS127"/>
  <c r="AQ127"/>
  <c r="AO127"/>
  <c r="AM127"/>
  <c r="AS136"/>
  <c r="AQ136"/>
  <c r="AO136"/>
  <c r="AM136"/>
  <c r="AT136"/>
  <c r="AP136"/>
  <c r="AN136"/>
  <c r="AL136"/>
  <c r="AT138"/>
  <c r="AP138"/>
  <c r="AN138"/>
  <c r="AL138"/>
  <c r="AS138"/>
  <c r="AQ138"/>
  <c r="AO138"/>
  <c r="AM138"/>
  <c r="AT153"/>
  <c r="AO153"/>
  <c r="AM153"/>
  <c r="AS153"/>
  <c r="AP153"/>
  <c r="AN153"/>
  <c r="AL153"/>
  <c r="AQ153"/>
  <c r="AS159"/>
  <c r="AP159"/>
  <c r="AN159"/>
  <c r="AL159"/>
  <c r="AT159"/>
  <c r="AO159"/>
  <c r="AM159"/>
  <c r="AQ159"/>
  <c r="AS169"/>
  <c r="AP169"/>
  <c r="AN169"/>
  <c r="AL169"/>
  <c r="AT169"/>
  <c r="AO169"/>
  <c r="AM169"/>
  <c r="AQ169"/>
  <c r="AP171"/>
  <c r="AN171"/>
  <c r="AL171"/>
  <c r="AS171"/>
  <c r="AQ171"/>
  <c r="AO171"/>
  <c r="AM171"/>
  <c r="AT171"/>
  <c r="AT173"/>
  <c r="AS173" s="1"/>
  <c r="AQ173"/>
  <c r="AO173"/>
  <c r="AM173"/>
  <c r="AP173"/>
  <c r="AN173"/>
  <c r="AL173"/>
  <c r="AT174"/>
  <c r="AP174"/>
  <c r="AN174"/>
  <c r="AL174"/>
  <c r="AS174"/>
  <c r="AQ174"/>
  <c r="AO174"/>
  <c r="AM174"/>
  <c r="AT175"/>
  <c r="AS175" s="1"/>
  <c r="AQ175"/>
  <c r="AO175"/>
  <c r="AM175"/>
  <c r="AP175"/>
  <c r="AN175"/>
  <c r="AL175"/>
  <c r="AT176"/>
  <c r="AP176"/>
  <c r="AN176"/>
  <c r="AL176"/>
  <c r="AS176"/>
  <c r="AQ176"/>
  <c r="AO176"/>
  <c r="AM176"/>
  <c r="AP179"/>
  <c r="AN179"/>
  <c r="AL179"/>
  <c r="AS179"/>
  <c r="AQ179"/>
  <c r="AO179"/>
  <c r="AM179"/>
  <c r="AT179"/>
  <c r="AT181"/>
  <c r="AS181" s="1"/>
  <c r="AQ181"/>
  <c r="AO181"/>
  <c r="AM181"/>
  <c r="AP181"/>
  <c r="AN181"/>
  <c r="AL181"/>
  <c r="AT182"/>
  <c r="AP182"/>
  <c r="AN182"/>
  <c r="AL182"/>
  <c r="AS182"/>
  <c r="AQ182"/>
  <c r="AO182"/>
  <c r="AM182"/>
  <c r="AT183"/>
  <c r="AS183" s="1"/>
  <c r="AQ183"/>
  <c r="AO183"/>
  <c r="AM183"/>
  <c r="AP183"/>
  <c r="AN183"/>
  <c r="AL183"/>
  <c r="AT184"/>
  <c r="AP184"/>
  <c r="AN184"/>
  <c r="AL184"/>
  <c r="AS184"/>
  <c r="AQ184"/>
  <c r="AO184"/>
  <c r="AM184"/>
  <c r="AT187"/>
  <c r="AS187" s="1"/>
  <c r="AQ187"/>
  <c r="AP187" s="1"/>
  <c r="AN187"/>
  <c r="AL187"/>
  <c r="AO187"/>
  <c r="AM187"/>
  <c r="AT197"/>
  <c r="AP197"/>
  <c r="AN197"/>
  <c r="AL197"/>
  <c r="AS197"/>
  <c r="AQ197"/>
  <c r="AO197"/>
  <c r="AM197"/>
  <c r="AT201"/>
  <c r="AP201"/>
  <c r="AN201"/>
  <c r="AL201"/>
  <c r="AS201"/>
  <c r="AQ201"/>
  <c r="AO201"/>
  <c r="AM201"/>
  <c r="AT204"/>
  <c r="AP204"/>
  <c r="AN204"/>
  <c r="AL204"/>
  <c r="AS204"/>
  <c r="AQ204"/>
  <c r="AO204"/>
  <c r="AM204"/>
  <c r="AT208"/>
  <c r="AP208"/>
  <c r="AN208"/>
  <c r="AL208"/>
  <c r="AS208"/>
  <c r="AQ208"/>
  <c r="AO208"/>
  <c r="AM208"/>
  <c r="AT209"/>
  <c r="AP209"/>
  <c r="AN209"/>
  <c r="AL209"/>
  <c r="AS209"/>
  <c r="AQ209"/>
  <c r="AO209"/>
  <c r="AM209"/>
  <c r="AT211"/>
  <c r="AO211"/>
  <c r="AM211"/>
  <c r="AS211"/>
  <c r="AQ211"/>
  <c r="AP211" s="1"/>
  <c r="AN211"/>
  <c r="AL211"/>
  <c r="AS106"/>
  <c r="AQ106"/>
  <c r="AO106"/>
  <c r="AM106"/>
  <c r="AT106"/>
  <c r="AN106"/>
  <c r="AP106"/>
  <c r="AL106"/>
  <c r="AT140"/>
  <c r="AP140"/>
  <c r="AN140"/>
  <c r="AL140"/>
  <c r="AS140"/>
  <c r="AQ140"/>
  <c r="AO140"/>
  <c r="AM140"/>
  <c r="AT168"/>
  <c r="AO168"/>
  <c r="AM168"/>
  <c r="AS168"/>
  <c r="AQ168"/>
  <c r="AP168" s="1"/>
  <c r="AN168"/>
  <c r="AL168"/>
  <c r="AT177"/>
  <c r="AO177"/>
  <c r="AM177"/>
  <c r="AS177"/>
  <c r="AQ177"/>
  <c r="AP177" s="1"/>
  <c r="AN177"/>
  <c r="AL177"/>
  <c r="AS203"/>
  <c r="AQ203"/>
  <c r="AO203"/>
  <c r="AM203"/>
  <c r="AT203"/>
  <c r="AP203"/>
  <c r="AN203"/>
  <c r="AL203"/>
  <c r="AS206"/>
  <c r="AQ206"/>
  <c r="AO206"/>
  <c r="AM206"/>
  <c r="AT206"/>
  <c r="AP206"/>
  <c r="AN206"/>
  <c r="AL206"/>
  <c r="AS213"/>
  <c r="AQ213"/>
  <c r="AO213"/>
  <c r="AM213"/>
  <c r="AT213"/>
  <c r="AP213"/>
  <c r="AN213"/>
  <c r="AL213"/>
  <c r="AS215"/>
  <c r="AP215"/>
  <c r="AN215"/>
  <c r="AL215"/>
  <c r="AT215"/>
  <c r="AO215"/>
  <c r="AM215"/>
  <c r="AQ215"/>
  <c r="AT343"/>
  <c r="AO343"/>
  <c r="AM343"/>
  <c r="AS343"/>
  <c r="AQ343"/>
  <c r="AP343" s="1"/>
  <c r="AN343"/>
  <c r="AL343"/>
  <c r="AT234"/>
  <c r="AP234"/>
  <c r="AN234"/>
  <c r="AL234"/>
  <c r="AS234"/>
  <c r="AQ234"/>
  <c r="AO234"/>
  <c r="AM234"/>
  <c r="AT256"/>
  <c r="AO256"/>
  <c r="AM256"/>
  <c r="AS256"/>
  <c r="AP256"/>
  <c r="AN256"/>
  <c r="AL256"/>
  <c r="AQ256"/>
  <c r="AT264"/>
  <c r="AP264"/>
  <c r="AN264"/>
  <c r="AL264"/>
  <c r="AS264"/>
  <c r="AQ264"/>
  <c r="AO264"/>
  <c r="AM264"/>
  <c r="AT265"/>
  <c r="AP265"/>
  <c r="AN265"/>
  <c r="AL265"/>
  <c r="AS265"/>
  <c r="AQ265"/>
  <c r="AO265"/>
  <c r="AM265"/>
  <c r="AT275"/>
  <c r="AP275"/>
  <c r="AN275"/>
  <c r="AL275"/>
  <c r="AS275"/>
  <c r="AQ275"/>
  <c r="AO275"/>
  <c r="AM275"/>
  <c r="AS277"/>
  <c r="AQ277"/>
  <c r="AO277"/>
  <c r="AM277"/>
  <c r="AT277"/>
  <c r="AP277"/>
  <c r="AN277"/>
  <c r="AL277"/>
  <c r="AS289"/>
  <c r="AQ289"/>
  <c r="AO289"/>
  <c r="AM289"/>
  <c r="AT289"/>
  <c r="AP289"/>
  <c r="AN289"/>
  <c r="AL289"/>
  <c r="AT294"/>
  <c r="AP294"/>
  <c r="AN294"/>
  <c r="AL294"/>
  <c r="AS294"/>
  <c r="AQ294"/>
  <c r="AO294"/>
  <c r="AM294"/>
  <c r="AS295"/>
  <c r="AP295"/>
  <c r="AN295"/>
  <c r="AL295"/>
  <c r="AT295"/>
  <c r="AO295"/>
  <c r="AM295"/>
  <c r="AQ295"/>
  <c r="AS297"/>
  <c r="AP297"/>
  <c r="AN297"/>
  <c r="AL297"/>
  <c r="AT297"/>
  <c r="AO297"/>
  <c r="AM297"/>
  <c r="AQ297"/>
  <c r="AT302"/>
  <c r="AO302"/>
  <c r="AM302"/>
  <c r="AS302"/>
  <c r="AP302"/>
  <c r="AN302"/>
  <c r="AL302"/>
  <c r="AQ302"/>
  <c r="AT310"/>
  <c r="AP310"/>
  <c r="AN310"/>
  <c r="AL310"/>
  <c r="AS310"/>
  <c r="AQ310"/>
  <c r="AO310"/>
  <c r="AM310"/>
  <c r="AT324"/>
  <c r="AO324"/>
  <c r="AM324"/>
  <c r="AS324"/>
  <c r="AP324"/>
  <c r="AN324"/>
  <c r="AL324"/>
  <c r="AQ324"/>
  <c r="AS220"/>
  <c r="AQ220"/>
  <c r="AO220"/>
  <c r="AM220"/>
  <c r="AT220"/>
  <c r="AP220"/>
  <c r="AN220"/>
  <c r="AL220"/>
  <c r="AT224"/>
  <c r="AP224"/>
  <c r="AN224"/>
  <c r="AL224"/>
  <c r="AS224"/>
  <c r="AQ224"/>
  <c r="AO224"/>
  <c r="AM224"/>
  <c r="AS226"/>
  <c r="AQ226"/>
  <c r="AO226"/>
  <c r="AM226"/>
  <c r="AT226"/>
  <c r="AP226"/>
  <c r="AN226"/>
  <c r="AL226"/>
  <c r="AP238"/>
  <c r="AN238"/>
  <c r="AS238"/>
  <c r="AQ238"/>
  <c r="AO238"/>
  <c r="AM238"/>
  <c r="AL238" s="1"/>
  <c r="AT238"/>
  <c r="AS252"/>
  <c r="AQ252"/>
  <c r="AO252"/>
  <c r="AM252"/>
  <c r="AT252"/>
  <c r="AP252"/>
  <c r="AN252"/>
  <c r="AL252"/>
  <c r="AS272"/>
  <c r="AQ272"/>
  <c r="AO272"/>
  <c r="AM272"/>
  <c r="AT272"/>
  <c r="AP272"/>
  <c r="AN272"/>
  <c r="AL272"/>
  <c r="AT296"/>
  <c r="AO296"/>
  <c r="AM296"/>
  <c r="AS296"/>
  <c r="AP296"/>
  <c r="AN296"/>
  <c r="AL296"/>
  <c r="AQ296"/>
  <c r="AS299"/>
  <c r="AP299"/>
  <c r="AN299"/>
  <c r="AL299"/>
  <c r="AT299"/>
  <c r="AO299"/>
  <c r="AM299"/>
  <c r="AQ299"/>
  <c r="AT303"/>
  <c r="AP303"/>
  <c r="AN303"/>
  <c r="AL303"/>
  <c r="AS303"/>
  <c r="AQ303"/>
  <c r="AO303"/>
  <c r="AM303"/>
  <c r="AT316"/>
  <c r="AP316"/>
  <c r="AN316"/>
  <c r="AL316"/>
  <c r="AS316"/>
  <c r="AQ316"/>
  <c r="AO316"/>
  <c r="AM316"/>
  <c r="AS318"/>
  <c r="AQ318"/>
  <c r="AO318"/>
  <c r="AM318"/>
  <c r="AT318"/>
  <c r="AP318"/>
  <c r="AN318"/>
  <c r="AL318"/>
  <c r="AT328"/>
  <c r="AO328"/>
  <c r="AM328"/>
  <c r="AS328"/>
  <c r="AQ328"/>
  <c r="AP328" s="1"/>
  <c r="AN328"/>
  <c r="AL328"/>
  <c r="AS330"/>
  <c r="AQ330"/>
  <c r="AO330"/>
  <c r="AM330"/>
  <c r="AT330"/>
  <c r="AP330"/>
  <c r="AN330"/>
  <c r="AL330"/>
  <c r="AT331"/>
  <c r="AP331"/>
  <c r="AN331"/>
  <c r="AL331"/>
  <c r="AS331"/>
  <c r="AQ331"/>
  <c r="AO331"/>
  <c r="AM331"/>
  <c r="AT334"/>
  <c r="AP334"/>
  <c r="AN334"/>
  <c r="AL334"/>
  <c r="AS334"/>
  <c r="AQ334"/>
  <c r="AO334"/>
  <c r="AM334"/>
  <c r="AT340"/>
  <c r="AP340"/>
  <c r="AN340"/>
  <c r="AL340"/>
  <c r="AS340"/>
  <c r="AQ340"/>
  <c r="AO340"/>
  <c r="AM340"/>
  <c r="AT358"/>
  <c r="AO358"/>
  <c r="AM358"/>
  <c r="AS358"/>
  <c r="AP358"/>
  <c r="AN358"/>
  <c r="AL358"/>
  <c r="AQ358"/>
  <c r="AT384"/>
  <c r="AP384"/>
  <c r="AN384"/>
  <c r="AL384"/>
  <c r="AS384"/>
  <c r="AQ384"/>
  <c r="AO384"/>
  <c r="AM384"/>
  <c r="AF339"/>
  <c r="AZ339" s="1"/>
  <c r="AT401"/>
  <c r="AP401"/>
  <c r="AN401"/>
  <c r="AL401"/>
  <c r="AS401"/>
  <c r="AQ401"/>
  <c r="AO401"/>
  <c r="AM401"/>
  <c r="AT432"/>
  <c r="AP432"/>
  <c r="AN432"/>
  <c r="AL432"/>
  <c r="AS432"/>
  <c r="AQ432"/>
  <c r="AO432"/>
  <c r="AM432"/>
  <c r="AS457"/>
  <c r="AQ457"/>
  <c r="AO457"/>
  <c r="AM457"/>
  <c r="AT457"/>
  <c r="AP457"/>
  <c r="AN457"/>
  <c r="AL457"/>
  <c r="AS471"/>
  <c r="AP471"/>
  <c r="AN471"/>
  <c r="AL471"/>
  <c r="AT471"/>
  <c r="AO471"/>
  <c r="AM471"/>
  <c r="AQ471"/>
  <c r="AS472"/>
  <c r="AP472"/>
  <c r="AN472"/>
  <c r="AL472"/>
  <c r="AT472"/>
  <c r="AO472"/>
  <c r="AM472"/>
  <c r="AQ472"/>
  <c r="AT474"/>
  <c r="AP474"/>
  <c r="AN474"/>
  <c r="AL474"/>
  <c r="AO474"/>
  <c r="AS474"/>
  <c r="AQ474"/>
  <c r="AM474"/>
  <c r="AF483"/>
  <c r="AZ483" s="1"/>
  <c r="BJ273"/>
  <c r="BK273" s="1"/>
  <c r="BL273" s="1"/>
  <c r="BM273" s="1"/>
  <c r="AS251"/>
  <c r="BA251"/>
  <c r="BJ352"/>
  <c r="BK352" s="1"/>
  <c r="BL352" s="1"/>
  <c r="BM352" s="1"/>
  <c r="BJ373"/>
  <c r="BK373" s="1"/>
  <c r="BL373" s="1"/>
  <c r="BM373" s="1"/>
  <c r="AT489"/>
  <c r="AP489"/>
  <c r="AN489"/>
  <c r="AL489"/>
  <c r="AS489"/>
  <c r="AQ489"/>
  <c r="AO489"/>
  <c r="AM489"/>
  <c r="AJ7" i="32"/>
  <c r="AK7" s="1"/>
  <c r="AL7" s="1"/>
  <c r="AJ4"/>
  <c r="AK4" s="1"/>
  <c r="AL4" s="1"/>
  <c r="BJ111" i="28"/>
  <c r="BK111" s="1"/>
  <c r="BL111" s="1"/>
  <c r="BM111" s="1"/>
  <c r="AT113"/>
  <c r="AO113"/>
  <c r="AL113"/>
  <c r="AS113"/>
  <c r="AQ113"/>
  <c r="AP113" s="1"/>
  <c r="AN113"/>
  <c r="AM113" s="1"/>
  <c r="AS129"/>
  <c r="AQ129"/>
  <c r="AO129"/>
  <c r="AM129"/>
  <c r="AT129"/>
  <c r="AP129"/>
  <c r="AN129"/>
  <c r="AL129"/>
  <c r="AT130"/>
  <c r="AP130"/>
  <c r="AN130"/>
  <c r="AL130"/>
  <c r="AS130"/>
  <c r="AQ130"/>
  <c r="AO130"/>
  <c r="AM130"/>
  <c r="AS131"/>
  <c r="AQ131"/>
  <c r="AO131"/>
  <c r="AM131"/>
  <c r="AT131"/>
  <c r="AP131"/>
  <c r="AN131"/>
  <c r="AL131"/>
  <c r="AS149"/>
  <c r="AQ149"/>
  <c r="AO149"/>
  <c r="AM149"/>
  <c r="AT149"/>
  <c r="AP149"/>
  <c r="AN149"/>
  <c r="AL149"/>
  <c r="AS152"/>
  <c r="AQ152"/>
  <c r="AO152"/>
  <c r="AM152"/>
  <c r="AT152"/>
  <c r="AP152"/>
  <c r="AN152"/>
  <c r="AL152"/>
  <c r="AT156"/>
  <c r="AS156" s="1"/>
  <c r="AQ156"/>
  <c r="AO156"/>
  <c r="AM156"/>
  <c r="AP156"/>
  <c r="AN156"/>
  <c r="AL156"/>
  <c r="AT157"/>
  <c r="AP157"/>
  <c r="AN157"/>
  <c r="AL157"/>
  <c r="AS157"/>
  <c r="AQ157"/>
  <c r="AO157"/>
  <c r="AM157"/>
  <c r="AP160"/>
  <c r="AN160"/>
  <c r="AL160"/>
  <c r="AS160"/>
  <c r="AQ160"/>
  <c r="AO160"/>
  <c r="AM160"/>
  <c r="AT160"/>
  <c r="AT162"/>
  <c r="AS162" s="1"/>
  <c r="AQ162"/>
  <c r="AO162"/>
  <c r="AM162"/>
  <c r="AP162"/>
  <c r="AN162"/>
  <c r="AL162"/>
  <c r="AT163"/>
  <c r="AO163"/>
  <c r="AM163"/>
  <c r="AS163"/>
  <c r="AP163"/>
  <c r="AN163"/>
  <c r="AL163"/>
  <c r="AQ163"/>
  <c r="AT164"/>
  <c r="AP164"/>
  <c r="AN164"/>
  <c r="AL164"/>
  <c r="AS164"/>
  <c r="AQ164"/>
  <c r="AO164"/>
  <c r="AM164"/>
  <c r="AT165"/>
  <c r="AO165"/>
  <c r="AM165"/>
  <c r="AS165"/>
  <c r="AP165"/>
  <c r="AN165"/>
  <c r="AL165"/>
  <c r="AQ165"/>
  <c r="AT166"/>
  <c r="AP166"/>
  <c r="AN166"/>
  <c r="AL166"/>
  <c r="AS166"/>
  <c r="AQ166"/>
  <c r="AO166"/>
  <c r="AM166"/>
  <c r="AT167"/>
  <c r="AP167"/>
  <c r="AN167"/>
  <c r="AL167"/>
  <c r="AS167"/>
  <c r="AQ167"/>
  <c r="AO167"/>
  <c r="AM167"/>
  <c r="AP170"/>
  <c r="AN170"/>
  <c r="AL170"/>
  <c r="AS170"/>
  <c r="AQ170"/>
  <c r="AO170"/>
  <c r="AM170"/>
  <c r="AT170"/>
  <c r="AS178"/>
  <c r="AP178"/>
  <c r="AN178"/>
  <c r="AL178"/>
  <c r="AT178"/>
  <c r="AO178"/>
  <c r="AM178"/>
  <c r="AQ178"/>
  <c r="AS186"/>
  <c r="AP186"/>
  <c r="AN186"/>
  <c r="AL186"/>
  <c r="AT186"/>
  <c r="AO186"/>
  <c r="AM186"/>
  <c r="AQ186"/>
  <c r="AS188"/>
  <c r="AQ188"/>
  <c r="AO188"/>
  <c r="AM188"/>
  <c r="AT188"/>
  <c r="AP188"/>
  <c r="AN188"/>
  <c r="AL188"/>
  <c r="AS202"/>
  <c r="AQ202"/>
  <c r="AO202"/>
  <c r="AM202"/>
  <c r="AT202"/>
  <c r="AP202"/>
  <c r="AN202"/>
  <c r="AL202"/>
  <c r="AT262"/>
  <c r="AO262"/>
  <c r="AM262"/>
  <c r="AS262"/>
  <c r="AQ262"/>
  <c r="AP262" s="1"/>
  <c r="AN262"/>
  <c r="AL262"/>
  <c r="AP107"/>
  <c r="AN107"/>
  <c r="AL107"/>
  <c r="AT107"/>
  <c r="AS107" s="1"/>
  <c r="AQ107"/>
  <c r="AO107"/>
  <c r="AM107"/>
  <c r="AS108"/>
  <c r="AQ108"/>
  <c r="AO108"/>
  <c r="AM108"/>
  <c r="AT108"/>
  <c r="AP108"/>
  <c r="AN108"/>
  <c r="AL108"/>
  <c r="AS123"/>
  <c r="AQ123"/>
  <c r="AO123"/>
  <c r="AM123"/>
  <c r="AT123"/>
  <c r="AP123"/>
  <c r="AN123"/>
  <c r="AL123"/>
  <c r="AP151"/>
  <c r="AN151"/>
  <c r="AL151"/>
  <c r="AT151"/>
  <c r="AS151" s="1"/>
  <c r="AQ151"/>
  <c r="AO151"/>
  <c r="AM151"/>
  <c r="AT158"/>
  <c r="AO158"/>
  <c r="AM158"/>
  <c r="AS158"/>
  <c r="AQ158"/>
  <c r="AP158" s="1"/>
  <c r="AN158"/>
  <c r="AL158"/>
  <c r="AT185"/>
  <c r="AO185"/>
  <c r="AM185"/>
  <c r="AS185"/>
  <c r="AQ185"/>
  <c r="AP185" s="1"/>
  <c r="AN185"/>
  <c r="AL185"/>
  <c r="AS198"/>
  <c r="AQ198"/>
  <c r="AO198"/>
  <c r="AM198"/>
  <c r="AT198"/>
  <c r="AP198"/>
  <c r="AN198"/>
  <c r="AL198"/>
  <c r="AS222"/>
  <c r="AP222"/>
  <c r="AN222"/>
  <c r="AL222"/>
  <c r="AT222"/>
  <c r="AO222"/>
  <c r="AM222"/>
  <c r="AQ222"/>
  <c r="AS246"/>
  <c r="AQ246"/>
  <c r="AP246" s="1"/>
  <c r="AN246"/>
  <c r="AL246"/>
  <c r="AT246"/>
  <c r="AO246"/>
  <c r="AM246"/>
  <c r="AT250"/>
  <c r="AP250"/>
  <c r="AN250"/>
  <c r="AL250"/>
  <c r="AS250"/>
  <c r="AQ250"/>
  <c r="AO250"/>
  <c r="AM250"/>
  <c r="AP253"/>
  <c r="AN253"/>
  <c r="AL253"/>
  <c r="AT253"/>
  <c r="AS253" s="1"/>
  <c r="AQ253"/>
  <c r="AO253"/>
  <c r="AM253"/>
  <c r="AT254"/>
  <c r="AP254"/>
  <c r="AN254"/>
  <c r="AL254"/>
  <c r="AS254"/>
  <c r="AQ254"/>
  <c r="AO254"/>
  <c r="AM254"/>
  <c r="AT260"/>
  <c r="AP260"/>
  <c r="AN260"/>
  <c r="AL260"/>
  <c r="AS260"/>
  <c r="AQ260"/>
  <c r="AO260"/>
  <c r="AM260"/>
  <c r="AT268"/>
  <c r="AP268"/>
  <c r="AN268"/>
  <c r="AL268"/>
  <c r="AS268"/>
  <c r="AQ268"/>
  <c r="AO268"/>
  <c r="AM268"/>
  <c r="AS280"/>
  <c r="AQ280"/>
  <c r="AO280"/>
  <c r="AM280"/>
  <c r="AT280"/>
  <c r="AP280"/>
  <c r="AN280"/>
  <c r="AL280"/>
  <c r="AT282"/>
  <c r="AO282"/>
  <c r="AM282"/>
  <c r="AS282"/>
  <c r="AQ282"/>
  <c r="AP282" s="1"/>
  <c r="AN282"/>
  <c r="AL282"/>
  <c r="AS287"/>
  <c r="AQ287"/>
  <c r="AO287"/>
  <c r="AM287"/>
  <c r="AT287"/>
  <c r="AP287"/>
  <c r="AN287"/>
  <c r="AL287"/>
  <c r="AT298"/>
  <c r="AO298"/>
  <c r="AM298"/>
  <c r="AS298"/>
  <c r="AP298"/>
  <c r="AN298"/>
  <c r="AL298"/>
  <c r="AQ298"/>
  <c r="AS301"/>
  <c r="AP301"/>
  <c r="AN301"/>
  <c r="AL301"/>
  <c r="AT301"/>
  <c r="AO301"/>
  <c r="AM301"/>
  <c r="AQ301"/>
  <c r="AT306"/>
  <c r="AP306"/>
  <c r="AN306"/>
  <c r="AL306"/>
  <c r="AS306"/>
  <c r="AQ306"/>
  <c r="AO306"/>
  <c r="AM306"/>
  <c r="AT307"/>
  <c r="AO307"/>
  <c r="AM307"/>
  <c r="AS307"/>
  <c r="AQ307"/>
  <c r="AP307" s="1"/>
  <c r="AN307"/>
  <c r="AL307"/>
  <c r="AS308"/>
  <c r="AQ308"/>
  <c r="AO308"/>
  <c r="AM308"/>
  <c r="AP308"/>
  <c r="AN308"/>
  <c r="AL308"/>
  <c r="AT308"/>
  <c r="AS326"/>
  <c r="AQ326"/>
  <c r="AP326" s="1"/>
  <c r="AN326"/>
  <c r="AL326"/>
  <c r="AT326"/>
  <c r="AO326"/>
  <c r="AM326"/>
  <c r="AS223"/>
  <c r="AQ223"/>
  <c r="AP223" s="1"/>
  <c r="AO223" s="1"/>
  <c r="AM223"/>
  <c r="AT223"/>
  <c r="AN223"/>
  <c r="AL223"/>
  <c r="AS236"/>
  <c r="AQ236"/>
  <c r="AO236"/>
  <c r="AM236"/>
  <c r="AT236"/>
  <c r="AP236"/>
  <c r="AN236"/>
  <c r="AL236"/>
  <c r="AT240"/>
  <c r="AO240"/>
  <c r="AM240"/>
  <c r="AS240"/>
  <c r="AP240"/>
  <c r="AN240"/>
  <c r="AL240"/>
  <c r="AQ240"/>
  <c r="AS242"/>
  <c r="AP242"/>
  <c r="AN242"/>
  <c r="AL242"/>
  <c r="AT242"/>
  <c r="AO242"/>
  <c r="AM242"/>
  <c r="AQ242"/>
  <c r="AS244"/>
  <c r="AP244"/>
  <c r="AN244"/>
  <c r="AL244"/>
  <c r="AT244"/>
  <c r="AO244"/>
  <c r="AM244"/>
  <c r="AQ244"/>
  <c r="AS248"/>
  <c r="AP248"/>
  <c r="AN248"/>
  <c r="AL248"/>
  <c r="AT248"/>
  <c r="AO248"/>
  <c r="AM248"/>
  <c r="AQ248"/>
  <c r="AS283"/>
  <c r="AP283"/>
  <c r="AN283"/>
  <c r="AL283"/>
  <c r="AT283"/>
  <c r="AO283"/>
  <c r="AM283"/>
  <c r="AQ283"/>
  <c r="AT284"/>
  <c r="AO284"/>
  <c r="AM284"/>
  <c r="AS284"/>
  <c r="AP284"/>
  <c r="AN284"/>
  <c r="AL284"/>
  <c r="AQ284"/>
  <c r="AS286"/>
  <c r="AQ286"/>
  <c r="AP286" s="1"/>
  <c r="AN286"/>
  <c r="AL286"/>
  <c r="AT286"/>
  <c r="AO286"/>
  <c r="AM286"/>
  <c r="AT312"/>
  <c r="AO312"/>
  <c r="AM312"/>
  <c r="AS312"/>
  <c r="AP312"/>
  <c r="AN312"/>
  <c r="AL312"/>
  <c r="AQ312"/>
  <c r="AT314"/>
  <c r="AP314"/>
  <c r="AN314"/>
  <c r="AL314"/>
  <c r="AS314"/>
  <c r="AQ314"/>
  <c r="AO314"/>
  <c r="AM314"/>
  <c r="AT320"/>
  <c r="AO320"/>
  <c r="AM320"/>
  <c r="AS320"/>
  <c r="AP320"/>
  <c r="AN320"/>
  <c r="AL320"/>
  <c r="AQ320"/>
  <c r="AS437"/>
  <c r="AQ437"/>
  <c r="AO437"/>
  <c r="AM437"/>
  <c r="AT437"/>
  <c r="AP437"/>
  <c r="AN437"/>
  <c r="AL437"/>
  <c r="AT441"/>
  <c r="AP441"/>
  <c r="AN441"/>
  <c r="AL441"/>
  <c r="AS441"/>
  <c r="AQ441"/>
  <c r="AO441"/>
  <c r="AM441"/>
  <c r="AS347"/>
  <c r="AQ347"/>
  <c r="AP347" s="1"/>
  <c r="AN347"/>
  <c r="AL347"/>
  <c r="AT347"/>
  <c r="AO347"/>
  <c r="AM347"/>
  <c r="AT359"/>
  <c r="AP359"/>
  <c r="AN359"/>
  <c r="AL359"/>
  <c r="AS359"/>
  <c r="AQ359"/>
  <c r="AO359"/>
  <c r="AM359"/>
  <c r="AT360"/>
  <c r="AP360"/>
  <c r="AN360"/>
  <c r="AL360"/>
  <c r="AS360"/>
  <c r="AQ360"/>
  <c r="AO360"/>
  <c r="AM360"/>
  <c r="AT366"/>
  <c r="AP366"/>
  <c r="AN366"/>
  <c r="AL366"/>
  <c r="AS366"/>
  <c r="AQ366"/>
  <c r="AO366"/>
  <c r="AM366"/>
  <c r="AT374"/>
  <c r="AP374"/>
  <c r="AN374"/>
  <c r="AL374"/>
  <c r="AS374"/>
  <c r="AQ374"/>
  <c r="AO374"/>
  <c r="AM374"/>
  <c r="AS382"/>
  <c r="AQ382"/>
  <c r="AO382"/>
  <c r="AM382"/>
  <c r="AT382"/>
  <c r="AP382"/>
  <c r="AN382"/>
  <c r="AL382"/>
  <c r="AT388"/>
  <c r="AP388"/>
  <c r="AN388"/>
  <c r="AL388"/>
  <c r="AS388"/>
  <c r="AQ388"/>
  <c r="AM388"/>
  <c r="AO388"/>
  <c r="AF344"/>
  <c r="AZ344" s="1"/>
  <c r="AF475"/>
  <c r="AZ475" s="1"/>
  <c r="AS465"/>
  <c r="AQ465"/>
  <c r="AO465"/>
  <c r="AM465"/>
  <c r="AT465"/>
  <c r="AP465"/>
  <c r="AN465"/>
  <c r="AL465"/>
  <c r="AS480"/>
  <c r="AQ480"/>
  <c r="AO480"/>
  <c r="AM480"/>
  <c r="AL480" s="1"/>
  <c r="AT480"/>
  <c r="AP480"/>
  <c r="AN480"/>
  <c r="AT492"/>
  <c r="AP492"/>
  <c r="AN492"/>
  <c r="AL492"/>
  <c r="AS492"/>
  <c r="AQ492"/>
  <c r="AO492"/>
  <c r="AM492"/>
  <c r="AT494"/>
  <c r="AP494"/>
  <c r="AN494"/>
  <c r="AL494"/>
  <c r="AS494"/>
  <c r="AQ494"/>
  <c r="AO494"/>
  <c r="AM494"/>
  <c r="BJ218"/>
  <c r="BK218" s="1"/>
  <c r="BL218" s="1"/>
  <c r="BM218" s="1"/>
  <c r="AT228"/>
  <c r="AP228"/>
  <c r="AN228"/>
  <c r="AL228"/>
  <c r="AS228"/>
  <c r="AQ228"/>
  <c r="AO228"/>
  <c r="AM228"/>
  <c r="AF66"/>
  <c r="X67"/>
  <c r="AG67" s="1"/>
  <c r="W68"/>
  <c r="AG68"/>
  <c r="W69"/>
  <c r="W70"/>
  <c r="AF70" s="1"/>
  <c r="BD70"/>
  <c r="BC70" s="1"/>
  <c r="AG71"/>
  <c r="AJ71"/>
  <c r="X72"/>
  <c r="BF74"/>
  <c r="BA144"/>
  <c r="BA133"/>
  <c r="BB79"/>
  <c r="AM414"/>
  <c r="AQ414"/>
  <c r="AL414"/>
  <c r="AP414"/>
  <c r="BA353"/>
  <c r="BA420"/>
  <c r="BA319"/>
  <c r="BA333"/>
  <c r="BA361"/>
  <c r="BA392"/>
  <c r="BA411"/>
  <c r="BA454"/>
  <c r="BJ114"/>
  <c r="BK114" s="1"/>
  <c r="BL114" s="1"/>
  <c r="BM114" s="1"/>
  <c r="AS269"/>
  <c r="BA269"/>
  <c r="BJ135"/>
  <c r="BK135" s="1"/>
  <c r="BL135" s="1"/>
  <c r="BM135" s="1"/>
  <c r="AS372"/>
  <c r="AQ372"/>
  <c r="AO372"/>
  <c r="AM372"/>
  <c r="AT372"/>
  <c r="AP372"/>
  <c r="AN372"/>
  <c r="AL372"/>
  <c r="BJ241"/>
  <c r="BK241" s="1"/>
  <c r="BL241" s="1"/>
  <c r="BM241" s="1"/>
  <c r="AS415"/>
  <c r="BA415"/>
  <c r="AJ5" i="32"/>
  <c r="AK5" s="1"/>
  <c r="AL5" s="1"/>
  <c r="AT96" i="28"/>
  <c r="BA96" s="1"/>
  <c r="AP96"/>
  <c r="AN96"/>
  <c r="AL96"/>
  <c r="AS96"/>
  <c r="AQ96"/>
  <c r="AO96"/>
  <c r="AM96"/>
  <c r="AS98"/>
  <c r="AQ98"/>
  <c r="AO98"/>
  <c r="AM98"/>
  <c r="AP98"/>
  <c r="AN98"/>
  <c r="AL98"/>
  <c r="AT98"/>
  <c r="BA98" s="1"/>
  <c r="AT101"/>
  <c r="BA101" s="1"/>
  <c r="AO101"/>
  <c r="AM101"/>
  <c r="AS101"/>
  <c r="AQ101"/>
  <c r="AP101" s="1"/>
  <c r="AN101"/>
  <c r="AL101"/>
  <c r="AS155"/>
  <c r="BA155"/>
  <c r="AS75"/>
  <c r="AQ75"/>
  <c r="AO75"/>
  <c r="AL75"/>
  <c r="AT75"/>
  <c r="AP75"/>
  <c r="AN75"/>
  <c r="AM75" s="1"/>
  <c r="AS81"/>
  <c r="AP81"/>
  <c r="AN81"/>
  <c r="AL81"/>
  <c r="AT81"/>
  <c r="BA81" s="1"/>
  <c r="AO81"/>
  <c r="AM81"/>
  <c r="AQ81"/>
  <c r="AT87"/>
  <c r="BA87" s="1"/>
  <c r="AO87"/>
  <c r="AM87"/>
  <c r="AS87"/>
  <c r="AQ87"/>
  <c r="AP87" s="1"/>
  <c r="AN87"/>
  <c r="AL87"/>
  <c r="AS112"/>
  <c r="AQ112"/>
  <c r="AO112"/>
  <c r="AL112"/>
  <c r="AT112"/>
  <c r="BA112" s="1"/>
  <c r="AP112"/>
  <c r="AN112"/>
  <c r="AM112" s="1"/>
  <c r="AS116"/>
  <c r="AQ116"/>
  <c r="AO116"/>
  <c r="AL116"/>
  <c r="AT116"/>
  <c r="BA116" s="1"/>
  <c r="AP116"/>
  <c r="AN116"/>
  <c r="AM116" s="1"/>
  <c r="AT121"/>
  <c r="BA121" s="1"/>
  <c r="AP121"/>
  <c r="AN121"/>
  <c r="AL121"/>
  <c r="AS121"/>
  <c r="AQ121"/>
  <c r="AO121"/>
  <c r="AM121"/>
  <c r="AF145"/>
  <c r="AZ145" s="1"/>
  <c r="AF172"/>
  <c r="AZ172" s="1"/>
  <c r="AF180"/>
  <c r="AZ180" s="1"/>
  <c r="AS263"/>
  <c r="BA263"/>
  <c r="AT270"/>
  <c r="BA270" s="1"/>
  <c r="AO270"/>
  <c r="AM270"/>
  <c r="AS270"/>
  <c r="AQ270"/>
  <c r="AP270" s="1"/>
  <c r="AN270"/>
  <c r="AL270"/>
  <c r="AS278"/>
  <c r="AQ278"/>
  <c r="AP278" s="1"/>
  <c r="AN278"/>
  <c r="AL278"/>
  <c r="AT278"/>
  <c r="BA278" s="1"/>
  <c r="AO278"/>
  <c r="AM278"/>
  <c r="AS311"/>
  <c r="AQ311"/>
  <c r="AO311"/>
  <c r="AM311"/>
  <c r="AP311"/>
  <c r="AN311"/>
  <c r="AL311"/>
  <c r="AT311"/>
  <c r="BA311" s="1"/>
  <c r="AF292"/>
  <c r="AZ292" s="1"/>
  <c r="AF229"/>
  <c r="AZ229" s="1"/>
  <c r="AF315"/>
  <c r="AZ315" s="1"/>
  <c r="AS338"/>
  <c r="AQ338"/>
  <c r="AO338"/>
  <c r="AM338"/>
  <c r="AT338"/>
  <c r="BA338" s="1"/>
  <c r="AP338"/>
  <c r="AN338"/>
  <c r="AL338"/>
  <c r="AS341"/>
  <c r="AQ341"/>
  <c r="AO341"/>
  <c r="AM341"/>
  <c r="AT341"/>
  <c r="BA341" s="1"/>
  <c r="AP341"/>
  <c r="AN341"/>
  <c r="AL341"/>
  <c r="AT342"/>
  <c r="BA342" s="1"/>
  <c r="AO342"/>
  <c r="AM342"/>
  <c r="AS342"/>
  <c r="AQ342"/>
  <c r="AP342" s="1"/>
  <c r="AN342"/>
  <c r="AL342"/>
  <c r="AS368"/>
  <c r="AP368"/>
  <c r="AN368"/>
  <c r="AL368"/>
  <c r="AT368"/>
  <c r="BA368" s="1"/>
  <c r="AO368"/>
  <c r="AM368"/>
  <c r="AQ368"/>
  <c r="AS402"/>
  <c r="AQ402"/>
  <c r="AO402"/>
  <c r="AM402"/>
  <c r="AT402"/>
  <c r="BA402" s="1"/>
  <c r="AP402"/>
  <c r="AN402"/>
  <c r="AL402"/>
  <c r="AS428"/>
  <c r="AQ428"/>
  <c r="AO428"/>
  <c r="AM428"/>
  <c r="AT428"/>
  <c r="BA428" s="1"/>
  <c r="AP428"/>
  <c r="AN428"/>
  <c r="AL428"/>
  <c r="AT431"/>
  <c r="AS431" s="1"/>
  <c r="AQ431"/>
  <c r="AO431"/>
  <c r="AM431"/>
  <c r="AP431"/>
  <c r="AN431"/>
  <c r="AL431"/>
  <c r="AS452"/>
  <c r="BA452"/>
  <c r="AF406"/>
  <c r="AZ406" s="1"/>
  <c r="AS487"/>
  <c r="AQ487"/>
  <c r="AO487"/>
  <c r="AM487"/>
  <c r="AT487"/>
  <c r="BA487" s="1"/>
  <c r="AP487"/>
  <c r="AN487"/>
  <c r="AL487"/>
  <c r="AT495"/>
  <c r="BA495" s="1"/>
  <c r="AP495"/>
  <c r="AN495"/>
  <c r="AL495"/>
  <c r="AS495"/>
  <c r="AQ495"/>
  <c r="AO495"/>
  <c r="AM495"/>
  <c r="BJ349"/>
  <c r="BK349" s="1"/>
  <c r="BL349" s="1"/>
  <c r="BM349" s="1"/>
  <c r="AJ11" i="32"/>
  <c r="AK11" s="1"/>
  <c r="AL11" s="1"/>
  <c r="AJ3"/>
  <c r="AK3" s="1"/>
  <c r="AL3" s="1"/>
  <c r="AT191" i="28"/>
  <c r="BA191" s="1"/>
  <c r="AP191"/>
  <c r="AN191"/>
  <c r="AL191"/>
  <c r="AS191"/>
  <c r="AQ191"/>
  <c r="AO191"/>
  <c r="AM191"/>
  <c r="AS83"/>
  <c r="AP83"/>
  <c r="AN83"/>
  <c r="AL83"/>
  <c r="AT83"/>
  <c r="BA83" s="1"/>
  <c r="AO83"/>
  <c r="AM83"/>
  <c r="AQ83"/>
  <c r="AS84"/>
  <c r="AQ84"/>
  <c r="AO84"/>
  <c r="AM84"/>
  <c r="AT84"/>
  <c r="BA84" s="1"/>
  <c r="AP84"/>
  <c r="AN84"/>
  <c r="AL84"/>
  <c r="AS85"/>
  <c r="AP85"/>
  <c r="AN85"/>
  <c r="AL85"/>
  <c r="AT85"/>
  <c r="BA85" s="1"/>
  <c r="AO85"/>
  <c r="AM85"/>
  <c r="AQ85"/>
  <c r="AS88"/>
  <c r="AQ88"/>
  <c r="AO88"/>
  <c r="AM88"/>
  <c r="AT88"/>
  <c r="BA88" s="1"/>
  <c r="AP88"/>
  <c r="AN88"/>
  <c r="AL88"/>
  <c r="AT97"/>
  <c r="BA97" s="1"/>
  <c r="AP97"/>
  <c r="AN97"/>
  <c r="AL97"/>
  <c r="AS97"/>
  <c r="AQ97"/>
  <c r="AO97"/>
  <c r="AM97"/>
  <c r="AT100"/>
  <c r="BA100" s="1"/>
  <c r="AP100"/>
  <c r="AN100"/>
  <c r="AL100"/>
  <c r="AS100"/>
  <c r="AQ100"/>
  <c r="AO100"/>
  <c r="AM100"/>
  <c r="AS290"/>
  <c r="AQ290"/>
  <c r="AP290" s="1"/>
  <c r="AN290"/>
  <c r="AL290"/>
  <c r="AT290"/>
  <c r="BA290" s="1"/>
  <c r="AO290"/>
  <c r="AM290"/>
  <c r="AS291"/>
  <c r="AQ291"/>
  <c r="AP291" s="1"/>
  <c r="AN291"/>
  <c r="AL291"/>
  <c r="AT291"/>
  <c r="BA291" s="1"/>
  <c r="AO291"/>
  <c r="AM291"/>
  <c r="AF161"/>
  <c r="AZ161" s="1"/>
  <c r="AF195"/>
  <c r="AZ195" s="1"/>
  <c r="AF279"/>
  <c r="AZ279" s="1"/>
  <c r="AF281"/>
  <c r="AZ281" s="1"/>
  <c r="AF300"/>
  <c r="AZ300" s="1"/>
  <c r="AF304"/>
  <c r="AZ304" s="1"/>
  <c r="AT227"/>
  <c r="BA227" s="1"/>
  <c r="AP227"/>
  <c r="AO227" s="1"/>
  <c r="AM227"/>
  <c r="AS227"/>
  <c r="AQ227"/>
  <c r="AN227"/>
  <c r="AL227"/>
  <c r="AS232"/>
  <c r="AQ232"/>
  <c r="AO232"/>
  <c r="AM232"/>
  <c r="AT232"/>
  <c r="BA232" s="1"/>
  <c r="AP232"/>
  <c r="AN232"/>
  <c r="AL232"/>
  <c r="AF276"/>
  <c r="AF285"/>
  <c r="AF288"/>
  <c r="AF322"/>
  <c r="AF350"/>
  <c r="AT378"/>
  <c r="BA378" s="1"/>
  <c r="AP378"/>
  <c r="AN378"/>
  <c r="AL378"/>
  <c r="AS378"/>
  <c r="AQ378"/>
  <c r="AO378"/>
  <c r="AM378"/>
  <c r="AT386"/>
  <c r="BA386" s="1"/>
  <c r="AP386"/>
  <c r="AN386"/>
  <c r="AL386"/>
  <c r="AS386"/>
  <c r="AQ386"/>
  <c r="AO386"/>
  <c r="AM386"/>
  <c r="AT336"/>
  <c r="BA336" s="1"/>
  <c r="AO336"/>
  <c r="AM336"/>
  <c r="AS336"/>
  <c r="AQ336"/>
  <c r="AP336" s="1"/>
  <c r="AN336"/>
  <c r="AL336"/>
  <c r="AT337"/>
  <c r="BA337" s="1"/>
  <c r="AP337"/>
  <c r="AN337"/>
  <c r="AL337"/>
  <c r="AS337"/>
  <c r="AQ337"/>
  <c r="AO337"/>
  <c r="AM337"/>
  <c r="AS348"/>
  <c r="AQ348"/>
  <c r="AP348" s="1"/>
  <c r="AN348"/>
  <c r="AL348"/>
  <c r="AT348"/>
  <c r="BA348" s="1"/>
  <c r="AO348"/>
  <c r="AM348"/>
  <c r="AS355"/>
  <c r="AQ355"/>
  <c r="AO355"/>
  <c r="AM355"/>
  <c r="AT355"/>
  <c r="BA355" s="1"/>
  <c r="AP355"/>
  <c r="AN355"/>
  <c r="AL355"/>
  <c r="AS363"/>
  <c r="AP363"/>
  <c r="AN363"/>
  <c r="AL363"/>
  <c r="AT363"/>
  <c r="BA363" s="1"/>
  <c r="AO363"/>
  <c r="AM363"/>
  <c r="AQ363"/>
  <c r="AS364"/>
  <c r="AQ364"/>
  <c r="AO364"/>
  <c r="AM364"/>
  <c r="AT364"/>
  <c r="BA364" s="1"/>
  <c r="AP364"/>
  <c r="AN364"/>
  <c r="AL364"/>
  <c r="AT371"/>
  <c r="BA371" s="1"/>
  <c r="AO371"/>
  <c r="AM371"/>
  <c r="AS371"/>
  <c r="AQ371"/>
  <c r="AP371" s="1"/>
  <c r="AN371"/>
  <c r="AL371"/>
  <c r="AS409"/>
  <c r="AP409"/>
  <c r="AN409"/>
  <c r="AL409"/>
  <c r="AT409"/>
  <c r="BA409" s="1"/>
  <c r="AO409"/>
  <c r="AM409"/>
  <c r="AQ409"/>
  <c r="AS417"/>
  <c r="AQ417"/>
  <c r="AO417"/>
  <c r="AM417"/>
  <c r="AT417"/>
  <c r="BA417" s="1"/>
  <c r="AP417"/>
  <c r="AN417"/>
  <c r="AL417"/>
  <c r="AT391"/>
  <c r="BA391" s="1"/>
  <c r="AP391"/>
  <c r="AN391"/>
  <c r="AL391"/>
  <c r="AS391"/>
  <c r="AQ391"/>
  <c r="AO391"/>
  <c r="AM391"/>
  <c r="AT393"/>
  <c r="BA393" s="1"/>
  <c r="AP393"/>
  <c r="AN393"/>
  <c r="AL393"/>
  <c r="AS393"/>
  <c r="AQ393"/>
  <c r="AO393"/>
  <c r="AM393"/>
  <c r="AT395"/>
  <c r="BA395" s="1"/>
  <c r="AP395"/>
  <c r="AN395"/>
  <c r="AL395"/>
  <c r="AS395"/>
  <c r="AQ395"/>
  <c r="AO395"/>
  <c r="AM395"/>
  <c r="AT398"/>
  <c r="BA398" s="1"/>
  <c r="AP398"/>
  <c r="AN398"/>
  <c r="AL398"/>
  <c r="AS398"/>
  <c r="AQ398"/>
  <c r="AO398"/>
  <c r="AM398"/>
  <c r="AT405"/>
  <c r="BA405" s="1"/>
  <c r="AP405"/>
  <c r="AN405"/>
  <c r="AL405"/>
  <c r="AS405"/>
  <c r="AQ405"/>
  <c r="AO405"/>
  <c r="AM405"/>
  <c r="AT412"/>
  <c r="BA412" s="1"/>
  <c r="AP412"/>
  <c r="AN412"/>
  <c r="AL412"/>
  <c r="AS412"/>
  <c r="AQ412"/>
  <c r="AO412"/>
  <c r="AM412"/>
  <c r="AT458"/>
  <c r="BA458" s="1"/>
  <c r="AO458"/>
  <c r="AM458"/>
  <c r="AS458"/>
  <c r="AP458"/>
  <c r="AN458"/>
  <c r="AL458"/>
  <c r="AQ458"/>
  <c r="AT468"/>
  <c r="BA468" s="1"/>
  <c r="AP468"/>
  <c r="AN468"/>
  <c r="AL468"/>
  <c r="AS468"/>
  <c r="AQ468"/>
  <c r="AO468"/>
  <c r="AM468"/>
  <c r="AT445"/>
  <c r="BA445" s="1"/>
  <c r="AP445"/>
  <c r="AN445"/>
  <c r="AL445"/>
  <c r="AS445"/>
  <c r="AQ445"/>
  <c r="AO445"/>
  <c r="AM445"/>
  <c r="AS461"/>
  <c r="AQ461"/>
  <c r="AO461"/>
  <c r="AM461"/>
  <c r="AT461"/>
  <c r="BA461" s="1"/>
  <c r="AP461"/>
  <c r="AN461"/>
  <c r="AL461"/>
  <c r="AT462"/>
  <c r="BA462" s="1"/>
  <c r="AP462"/>
  <c r="AN462"/>
  <c r="AL462"/>
  <c r="AS462"/>
  <c r="AQ462"/>
  <c r="AO462"/>
  <c r="AM462"/>
  <c r="AT473"/>
  <c r="BA473" s="1"/>
  <c r="AP473"/>
  <c r="AN473"/>
  <c r="AL473"/>
  <c r="AS473"/>
  <c r="AQ473"/>
  <c r="AO473"/>
  <c r="AM473"/>
  <c r="AP477"/>
  <c r="AN477"/>
  <c r="AL477"/>
  <c r="AT477"/>
  <c r="AS477" s="1"/>
  <c r="AQ477"/>
  <c r="AO477"/>
  <c r="AM477"/>
  <c r="AS478"/>
  <c r="AQ478"/>
  <c r="AO478"/>
  <c r="AM478"/>
  <c r="AL478" s="1"/>
  <c r="AT478"/>
  <c r="BA478" s="1"/>
  <c r="AP478"/>
  <c r="AN478"/>
  <c r="AP482"/>
  <c r="AN482"/>
  <c r="AT482"/>
  <c r="AS482" s="1"/>
  <c r="AQ482"/>
  <c r="AO482"/>
  <c r="AM482"/>
  <c r="AL482" s="1"/>
  <c r="AS499"/>
  <c r="AQ499"/>
  <c r="AO499"/>
  <c r="AM499"/>
  <c r="AT499"/>
  <c r="BA499" s="1"/>
  <c r="AP499"/>
  <c r="AN499"/>
  <c r="AL499"/>
  <c r="BJ150"/>
  <c r="BK150" s="1"/>
  <c r="BL150" s="1"/>
  <c r="BM150" s="1"/>
  <c r="AT332"/>
  <c r="BA332" s="1"/>
  <c r="AP332"/>
  <c r="AN332"/>
  <c r="AL332"/>
  <c r="AS332"/>
  <c r="AQ332"/>
  <c r="AO332"/>
  <c r="AM332"/>
  <c r="BA488"/>
  <c r="AT90"/>
  <c r="BA90" s="1"/>
  <c r="AP90"/>
  <c r="AN90"/>
  <c r="AL90"/>
  <c r="AS90"/>
  <c r="AQ90"/>
  <c r="AO90"/>
  <c r="AM90"/>
  <c r="AS109"/>
  <c r="AQ109"/>
  <c r="AO109"/>
  <c r="AM109"/>
  <c r="AT109"/>
  <c r="BA109" s="1"/>
  <c r="AP109"/>
  <c r="AN109"/>
  <c r="AL109"/>
  <c r="AT230"/>
  <c r="BA230" s="1"/>
  <c r="AP230"/>
  <c r="AN230"/>
  <c r="AL230"/>
  <c r="AS230"/>
  <c r="AQ230"/>
  <c r="AO230"/>
  <c r="AM230"/>
  <c r="AT73"/>
  <c r="AP73"/>
  <c r="AN73"/>
  <c r="AM73" s="1"/>
  <c r="AS73"/>
  <c r="AQ73"/>
  <c r="AO73"/>
  <c r="AL73"/>
  <c r="AG66"/>
  <c r="AZ66" s="1"/>
  <c r="BD66"/>
  <c r="BC66" s="1"/>
  <c r="AF67"/>
  <c r="AJ68"/>
  <c r="BD68"/>
  <c r="BC68" s="1"/>
  <c r="X69"/>
  <c r="AG69" s="1"/>
  <c r="BD69"/>
  <c r="BC69" s="1"/>
  <c r="X70"/>
  <c r="AG70" s="1"/>
  <c r="AZ70" s="1"/>
  <c r="BB74"/>
  <c r="BA74" s="1"/>
  <c r="BA89"/>
  <c r="BF78"/>
  <c r="BB78"/>
  <c r="BA78" s="1"/>
  <c r="AZ80"/>
  <c r="BA80" s="1"/>
  <c r="AZ125"/>
  <c r="BA125" s="1"/>
  <c r="AZ127"/>
  <c r="BA127" s="1"/>
  <c r="AZ136"/>
  <c r="BA136" s="1"/>
  <c r="AZ138"/>
  <c r="BA138" s="1"/>
  <c r="AZ153"/>
  <c r="BA153" s="1"/>
  <c r="AZ159"/>
  <c r="BA159" s="1"/>
  <c r="AZ169"/>
  <c r="BA169" s="1"/>
  <c r="AZ171"/>
  <c r="BA171" s="1"/>
  <c r="AZ173"/>
  <c r="BA173" s="1"/>
  <c r="AZ174"/>
  <c r="BA174" s="1"/>
  <c r="AZ175"/>
  <c r="BA175" s="1"/>
  <c r="AZ176"/>
  <c r="BA176" s="1"/>
  <c r="AZ179"/>
  <c r="BA179" s="1"/>
  <c r="AZ181"/>
  <c r="BA181" s="1"/>
  <c r="AZ182"/>
  <c r="BA182" s="1"/>
  <c r="AZ183"/>
  <c r="BA183" s="1"/>
  <c r="AZ184"/>
  <c r="BA184" s="1"/>
  <c r="AZ187"/>
  <c r="BA187" s="1"/>
  <c r="AZ197"/>
  <c r="BA197" s="1"/>
  <c r="AZ201"/>
  <c r="BA201" s="1"/>
  <c r="AZ204"/>
  <c r="BA204" s="1"/>
  <c r="AZ208"/>
  <c r="BA208" s="1"/>
  <c r="AZ209"/>
  <c r="BA209" s="1"/>
  <c r="AZ211"/>
  <c r="BA211" s="1"/>
  <c r="AZ106"/>
  <c r="BA106" s="1"/>
  <c r="AZ140"/>
  <c r="BA140" s="1"/>
  <c r="AZ168"/>
  <c r="BA168" s="1"/>
  <c r="AZ177"/>
  <c r="BA177" s="1"/>
  <c r="AZ203"/>
  <c r="BA203" s="1"/>
  <c r="AZ206"/>
  <c r="BA206" s="1"/>
  <c r="AZ213"/>
  <c r="BA213" s="1"/>
  <c r="AZ215"/>
  <c r="BA215" s="1"/>
  <c r="AZ343"/>
  <c r="BA343" s="1"/>
  <c r="AZ234"/>
  <c r="BA234" s="1"/>
  <c r="AZ256"/>
  <c r="BA256" s="1"/>
  <c r="AZ264"/>
  <c r="BA264" s="1"/>
  <c r="AZ265"/>
  <c r="BA265" s="1"/>
  <c r="AZ275"/>
  <c r="BA275" s="1"/>
  <c r="AZ277"/>
  <c r="BA277" s="1"/>
  <c r="AZ289"/>
  <c r="BA289" s="1"/>
  <c r="AZ294"/>
  <c r="BA294" s="1"/>
  <c r="AZ295"/>
  <c r="BA295" s="1"/>
  <c r="AZ297"/>
  <c r="BA297" s="1"/>
  <c r="AZ302"/>
  <c r="BA302" s="1"/>
  <c r="AZ310"/>
  <c r="BA310" s="1"/>
  <c r="AZ324"/>
  <c r="BA324" s="1"/>
  <c r="AZ220"/>
  <c r="BA220" s="1"/>
  <c r="AZ224"/>
  <c r="BA224" s="1"/>
  <c r="AZ226"/>
  <c r="BA226" s="1"/>
  <c r="AZ238"/>
  <c r="BA238" s="1"/>
  <c r="AZ252"/>
  <c r="BA252" s="1"/>
  <c r="AZ272"/>
  <c r="BA272" s="1"/>
  <c r="AZ296"/>
  <c r="BA296" s="1"/>
  <c r="AZ299"/>
  <c r="BA299" s="1"/>
  <c r="AZ303"/>
  <c r="BA303" s="1"/>
  <c r="AZ316"/>
  <c r="BA316" s="1"/>
  <c r="AZ318"/>
  <c r="BA318" s="1"/>
  <c r="AZ328"/>
  <c r="BA328" s="1"/>
  <c r="AZ330"/>
  <c r="BA330" s="1"/>
  <c r="AZ331"/>
  <c r="BA331" s="1"/>
  <c r="AZ334"/>
  <c r="BA334" s="1"/>
  <c r="AZ340"/>
  <c r="BA340" s="1"/>
  <c r="AZ358"/>
  <c r="BA358" s="1"/>
  <c r="AF380"/>
  <c r="AZ384"/>
  <c r="BA384" s="1"/>
  <c r="AZ401"/>
  <c r="BA401" s="1"/>
  <c r="AZ432"/>
  <c r="BA432" s="1"/>
  <c r="AZ457"/>
  <c r="BA457" s="1"/>
  <c r="AF467"/>
  <c r="AF470"/>
  <c r="AZ471"/>
  <c r="BA471" s="1"/>
  <c r="AZ472"/>
  <c r="BA472" s="1"/>
  <c r="AZ474"/>
  <c r="BA474" s="1"/>
  <c r="BF76"/>
  <c r="BA76" s="1"/>
  <c r="BA190"/>
  <c r="BA321"/>
  <c r="BA436"/>
  <c r="BA497"/>
  <c r="AZ113"/>
  <c r="BA113" s="1"/>
  <c r="AZ129"/>
  <c r="BA129" s="1"/>
  <c r="AZ130"/>
  <c r="BA130" s="1"/>
  <c r="AZ131"/>
  <c r="BA131" s="1"/>
  <c r="AZ149"/>
  <c r="BA149" s="1"/>
  <c r="AZ152"/>
  <c r="BA152" s="1"/>
  <c r="AZ156"/>
  <c r="BA156" s="1"/>
  <c r="AZ157"/>
  <c r="BA157" s="1"/>
  <c r="AZ160"/>
  <c r="BA160" s="1"/>
  <c r="AZ162"/>
  <c r="BA162" s="1"/>
  <c r="AZ163"/>
  <c r="BA163" s="1"/>
  <c r="AZ164"/>
  <c r="BA164" s="1"/>
  <c r="AZ165"/>
  <c r="BA165" s="1"/>
  <c r="AZ166"/>
  <c r="BA166" s="1"/>
  <c r="AZ167"/>
  <c r="BA167" s="1"/>
  <c r="AZ170"/>
  <c r="BA170" s="1"/>
  <c r="AZ178"/>
  <c r="BA178" s="1"/>
  <c r="AZ186"/>
  <c r="BA186" s="1"/>
  <c r="AZ188"/>
  <c r="BA188" s="1"/>
  <c r="AZ202"/>
  <c r="BA202" s="1"/>
  <c r="AZ262"/>
  <c r="BA262" s="1"/>
  <c r="AZ107"/>
  <c r="BA107" s="1"/>
  <c r="AZ108"/>
  <c r="BA108" s="1"/>
  <c r="AZ123"/>
  <c r="BA123" s="1"/>
  <c r="AZ151"/>
  <c r="BA151" s="1"/>
  <c r="AZ158"/>
  <c r="BA158" s="1"/>
  <c r="AZ185"/>
  <c r="BA185" s="1"/>
  <c r="AZ198"/>
  <c r="BA198" s="1"/>
  <c r="AZ222"/>
  <c r="AZ246"/>
  <c r="BA246" s="1"/>
  <c r="AZ250"/>
  <c r="BA250" s="1"/>
  <c r="AZ253"/>
  <c r="BA253" s="1"/>
  <c r="AZ254"/>
  <c r="BA254" s="1"/>
  <c r="AZ260"/>
  <c r="BA260" s="1"/>
  <c r="AZ268"/>
  <c r="BA268" s="1"/>
  <c r="AZ280"/>
  <c r="BA280" s="1"/>
  <c r="AZ282"/>
  <c r="BA282" s="1"/>
  <c r="AZ287"/>
  <c r="BA287" s="1"/>
  <c r="AZ298"/>
  <c r="BA298" s="1"/>
  <c r="AZ301"/>
  <c r="BA301" s="1"/>
  <c r="AZ306"/>
  <c r="BA306" s="1"/>
  <c r="AZ307"/>
  <c r="BA307" s="1"/>
  <c r="AZ308"/>
  <c r="BA308" s="1"/>
  <c r="AZ326"/>
  <c r="BA326" s="1"/>
  <c r="AZ223"/>
  <c r="BA223" s="1"/>
  <c r="AZ236"/>
  <c r="BA236" s="1"/>
  <c r="AZ240"/>
  <c r="BA240" s="1"/>
  <c r="AZ242"/>
  <c r="BA242" s="1"/>
  <c r="AZ244"/>
  <c r="BA244" s="1"/>
  <c r="AZ248"/>
  <c r="BA248" s="1"/>
  <c r="AZ283"/>
  <c r="BA283" s="1"/>
  <c r="AZ284"/>
  <c r="BA284" s="1"/>
  <c r="AZ286"/>
  <c r="BA286" s="1"/>
  <c r="AZ312"/>
  <c r="BA312" s="1"/>
  <c r="AZ314"/>
  <c r="BA314" s="1"/>
  <c r="AZ320"/>
  <c r="BA320" s="1"/>
  <c r="AZ437"/>
  <c r="BA437" s="1"/>
  <c r="AZ441"/>
  <c r="BA441" s="1"/>
  <c r="AZ347"/>
  <c r="BA347" s="1"/>
  <c r="AZ359"/>
  <c r="BA359" s="1"/>
  <c r="AZ360"/>
  <c r="BA360" s="1"/>
  <c r="AZ366"/>
  <c r="BA366" s="1"/>
  <c r="AZ374"/>
  <c r="BA374" s="1"/>
  <c r="AO414"/>
  <c r="AS414"/>
  <c r="AN414"/>
  <c r="AT414"/>
  <c r="BA414" s="1"/>
  <c r="BA94"/>
  <c r="BA110"/>
  <c r="BA231"/>
  <c r="AZ228"/>
  <c r="BA228" s="1"/>
  <c r="BA243"/>
  <c r="BA249"/>
  <c r="BA399"/>
  <c r="BA496"/>
  <c r="BA357"/>
  <c r="BA422"/>
  <c r="BI65"/>
  <c r="AW65"/>
  <c r="AV65"/>
  <c r="AU65"/>
  <c r="AR65"/>
  <c r="AK65"/>
  <c r="AH65"/>
  <c r="AD65"/>
  <c r="AC65"/>
  <c r="AB65"/>
  <c r="Z65"/>
  <c r="BO65" s="1"/>
  <c r="Y65"/>
  <c r="V65"/>
  <c r="X65" s="1"/>
  <c r="W65" s="1"/>
  <c r="E65"/>
  <c r="BP65" s="1"/>
  <c r="BI64"/>
  <c r="AW64"/>
  <c r="AV64"/>
  <c r="AU64"/>
  <c r="AR64"/>
  <c r="AK64"/>
  <c r="AH64"/>
  <c r="BE64" s="1"/>
  <c r="AD64"/>
  <c r="AC64"/>
  <c r="AB64"/>
  <c r="Z64"/>
  <c r="BO64" s="1"/>
  <c r="Y64"/>
  <c r="V64"/>
  <c r="AJ64" s="1"/>
  <c r="E64"/>
  <c r="BP64" s="1"/>
  <c r="BI63"/>
  <c r="AW63"/>
  <c r="AV63"/>
  <c r="AU63"/>
  <c r="AR63"/>
  <c r="AK63"/>
  <c r="AH63"/>
  <c r="AD63"/>
  <c r="AC63"/>
  <c r="AB63"/>
  <c r="Z63"/>
  <c r="Y63"/>
  <c r="V63"/>
  <c r="X63" s="1"/>
  <c r="AG63" s="1"/>
  <c r="E63"/>
  <c r="BP63" s="1"/>
  <c r="BI62"/>
  <c r="AW62"/>
  <c r="AV62"/>
  <c r="AU62"/>
  <c r="AR62"/>
  <c r="AK62"/>
  <c r="AH62"/>
  <c r="BE62" s="1"/>
  <c r="AD62"/>
  <c r="AC62"/>
  <c r="AB62"/>
  <c r="Z62"/>
  <c r="BO62" s="1"/>
  <c r="Y62"/>
  <c r="V62"/>
  <c r="AJ62" s="1"/>
  <c r="E62"/>
  <c r="BP62" s="1"/>
  <c r="BI61"/>
  <c r="AW61"/>
  <c r="AV61"/>
  <c r="AU61"/>
  <c r="AR61"/>
  <c r="AK61"/>
  <c r="AH61"/>
  <c r="BE61" s="1"/>
  <c r="AD61"/>
  <c r="AC61"/>
  <c r="AE61" s="1"/>
  <c r="AB61"/>
  <c r="AA61"/>
  <c r="Z61"/>
  <c r="Y61"/>
  <c r="V61"/>
  <c r="X61" s="1"/>
  <c r="E61"/>
  <c r="BP61" s="1"/>
  <c r="BG63" l="1"/>
  <c r="BO63"/>
  <c r="BG61"/>
  <c r="BO61"/>
  <c r="AE65"/>
  <c r="AE64"/>
  <c r="AA62"/>
  <c r="AE62"/>
  <c r="BG62"/>
  <c r="AA63"/>
  <c r="AE63"/>
  <c r="BH63"/>
  <c r="BH61"/>
  <c r="BH62"/>
  <c r="AA64"/>
  <c r="BG64"/>
  <c r="AA65"/>
  <c r="BH65"/>
  <c r="BH64"/>
  <c r="BG65"/>
  <c r="A42" i="32"/>
  <c r="AJ2"/>
  <c r="AK2" s="1"/>
  <c r="BB77" i="28"/>
  <c r="BF75"/>
  <c r="AF65"/>
  <c r="BJ78"/>
  <c r="BK78" s="1"/>
  <c r="BL78" s="1"/>
  <c r="BM78" s="1"/>
  <c r="BJ230"/>
  <c r="BK230" s="1"/>
  <c r="BL230" s="1"/>
  <c r="BM230" s="1"/>
  <c r="BJ109"/>
  <c r="BK109" s="1"/>
  <c r="BL109" s="1"/>
  <c r="BM109" s="1"/>
  <c r="BJ90"/>
  <c r="BK90" s="1"/>
  <c r="BL90" s="1"/>
  <c r="BM90" s="1"/>
  <c r="BJ332"/>
  <c r="BK332" s="1"/>
  <c r="BL332" s="1"/>
  <c r="BM332" s="1"/>
  <c r="BJ371"/>
  <c r="BK371" s="1"/>
  <c r="BL371" s="1"/>
  <c r="BM371" s="1"/>
  <c r="BJ363"/>
  <c r="BK363" s="1"/>
  <c r="BL363" s="1"/>
  <c r="BM363" s="1"/>
  <c r="BJ336"/>
  <c r="BK336" s="1"/>
  <c r="BL336" s="1"/>
  <c r="BM336" s="1"/>
  <c r="BJ378"/>
  <c r="BK378" s="1"/>
  <c r="BL378" s="1"/>
  <c r="BM378" s="1"/>
  <c r="BJ227"/>
  <c r="BK227" s="1"/>
  <c r="BL227" s="1"/>
  <c r="BM227" s="1"/>
  <c r="BJ290"/>
  <c r="BK290" s="1"/>
  <c r="BL290" s="1"/>
  <c r="BM290" s="1"/>
  <c r="BJ100"/>
  <c r="BK100" s="1"/>
  <c r="BL100" s="1"/>
  <c r="BM100" s="1"/>
  <c r="BJ97"/>
  <c r="BK97" s="1"/>
  <c r="BL97" s="1"/>
  <c r="BM97" s="1"/>
  <c r="BJ88"/>
  <c r="BK88" s="1"/>
  <c r="BL88" s="1"/>
  <c r="BM88" s="1"/>
  <c r="BJ85"/>
  <c r="BK85" s="1"/>
  <c r="BL85" s="1"/>
  <c r="BM85" s="1"/>
  <c r="BJ84"/>
  <c r="BK84" s="1"/>
  <c r="BL84" s="1"/>
  <c r="BM84" s="1"/>
  <c r="BJ83"/>
  <c r="BK83" s="1"/>
  <c r="BL83" s="1"/>
  <c r="BM83" s="1"/>
  <c r="BJ191"/>
  <c r="BK191" s="1"/>
  <c r="BL191" s="1"/>
  <c r="BM191" s="1"/>
  <c r="BJ495"/>
  <c r="BK495" s="1"/>
  <c r="BL495" s="1"/>
  <c r="BM495" s="1"/>
  <c r="BJ402"/>
  <c r="BK402" s="1"/>
  <c r="BL402" s="1"/>
  <c r="BM402" s="1"/>
  <c r="BJ368"/>
  <c r="BK368" s="1"/>
  <c r="BL368" s="1"/>
  <c r="BM368" s="1"/>
  <c r="BJ270"/>
  <c r="BK270" s="1"/>
  <c r="BL270" s="1"/>
  <c r="BM270" s="1"/>
  <c r="BJ116"/>
  <c r="BK116" s="1"/>
  <c r="BL116" s="1"/>
  <c r="BM116" s="1"/>
  <c r="BJ87"/>
  <c r="BK87" s="1"/>
  <c r="BL87" s="1"/>
  <c r="BM87" s="1"/>
  <c r="BJ81"/>
  <c r="BK81" s="1"/>
  <c r="BL81" s="1"/>
  <c r="BM81" s="1"/>
  <c r="BJ101"/>
  <c r="BK101" s="1"/>
  <c r="BL101" s="1"/>
  <c r="BM101" s="1"/>
  <c r="BJ96"/>
  <c r="BK96" s="1"/>
  <c r="BL96" s="1"/>
  <c r="BM96" s="1"/>
  <c r="W61"/>
  <c r="AF61" s="1"/>
  <c r="AG61"/>
  <c r="BJ76"/>
  <c r="BK76" s="1"/>
  <c r="BL76" s="1"/>
  <c r="BM76" s="1"/>
  <c r="BJ74"/>
  <c r="BK74" s="1"/>
  <c r="BL74" s="1"/>
  <c r="BM74" s="1"/>
  <c r="BJ499"/>
  <c r="BK499" s="1"/>
  <c r="BL499" s="1"/>
  <c r="BM499" s="1"/>
  <c r="BJ462"/>
  <c r="BK462" s="1"/>
  <c r="BL462" s="1"/>
  <c r="BM462" s="1"/>
  <c r="BJ461"/>
  <c r="BK461" s="1"/>
  <c r="BL461" s="1"/>
  <c r="BM461" s="1"/>
  <c r="BJ445"/>
  <c r="BK445" s="1"/>
  <c r="BL445" s="1"/>
  <c r="BM445" s="1"/>
  <c r="BJ468"/>
  <c r="BK468" s="1"/>
  <c r="BL468" s="1"/>
  <c r="BM468" s="1"/>
  <c r="BJ458"/>
  <c r="BK458" s="1"/>
  <c r="BL458" s="1"/>
  <c r="BM458" s="1"/>
  <c r="BJ405"/>
  <c r="BK405" s="1"/>
  <c r="BL405" s="1"/>
  <c r="BM405" s="1"/>
  <c r="BJ398"/>
  <c r="BK398" s="1"/>
  <c r="BL398" s="1"/>
  <c r="BM398" s="1"/>
  <c r="BJ395"/>
  <c r="BK395" s="1"/>
  <c r="BL395" s="1"/>
  <c r="BM395" s="1"/>
  <c r="BJ393"/>
  <c r="BK393" s="1"/>
  <c r="BL393" s="1"/>
  <c r="BM393" s="1"/>
  <c r="BJ391"/>
  <c r="BK391" s="1"/>
  <c r="BL391" s="1"/>
  <c r="BM391" s="1"/>
  <c r="BJ417"/>
  <c r="BK417" s="1"/>
  <c r="BL417" s="1"/>
  <c r="BM417" s="1"/>
  <c r="BJ409"/>
  <c r="BK409" s="1"/>
  <c r="BL409" s="1"/>
  <c r="BM409" s="1"/>
  <c r="BJ348"/>
  <c r="BK348" s="1"/>
  <c r="BL348" s="1"/>
  <c r="BM348" s="1"/>
  <c r="BJ337"/>
  <c r="BK337" s="1"/>
  <c r="BL337" s="1"/>
  <c r="BM337" s="1"/>
  <c r="BJ232"/>
  <c r="BK232" s="1"/>
  <c r="BL232" s="1"/>
  <c r="BM232" s="1"/>
  <c r="BJ291"/>
  <c r="BK291" s="1"/>
  <c r="BL291" s="1"/>
  <c r="BM291" s="1"/>
  <c r="BJ342"/>
  <c r="BK342" s="1"/>
  <c r="BL342" s="1"/>
  <c r="BM342" s="1"/>
  <c r="BJ341"/>
  <c r="BK341" s="1"/>
  <c r="BL341" s="1"/>
  <c r="BM341" s="1"/>
  <c r="BJ338"/>
  <c r="BK338" s="1"/>
  <c r="BL338" s="1"/>
  <c r="BM338" s="1"/>
  <c r="BJ311"/>
  <c r="BK311" s="1"/>
  <c r="BL311" s="1"/>
  <c r="BM311" s="1"/>
  <c r="BJ278"/>
  <c r="BK278" s="1"/>
  <c r="BL278" s="1"/>
  <c r="BM278" s="1"/>
  <c r="BJ121"/>
  <c r="BK121" s="1"/>
  <c r="BL121" s="1"/>
  <c r="BM121" s="1"/>
  <c r="BJ112"/>
  <c r="BK112" s="1"/>
  <c r="BL112" s="1"/>
  <c r="BM112" s="1"/>
  <c r="BJ98"/>
  <c r="BK98" s="1"/>
  <c r="BL98" s="1"/>
  <c r="BM98" s="1"/>
  <c r="BJ228"/>
  <c r="BK228" s="1"/>
  <c r="BL228" s="1"/>
  <c r="BM228" s="1"/>
  <c r="BJ360"/>
  <c r="BK360" s="1"/>
  <c r="BL360" s="1"/>
  <c r="BM360" s="1"/>
  <c r="BJ347"/>
  <c r="BK347" s="1"/>
  <c r="BL347" s="1"/>
  <c r="BM347" s="1"/>
  <c r="BJ437"/>
  <c r="BK437" s="1"/>
  <c r="BL437" s="1"/>
  <c r="BM437" s="1"/>
  <c r="BJ314"/>
  <c r="BK314" s="1"/>
  <c r="BL314" s="1"/>
  <c r="BM314" s="1"/>
  <c r="BJ286"/>
  <c r="BK286" s="1"/>
  <c r="BL286" s="1"/>
  <c r="BM286" s="1"/>
  <c r="BJ283"/>
  <c r="BK283" s="1"/>
  <c r="BL283" s="1"/>
  <c r="BM283" s="1"/>
  <c r="BJ244"/>
  <c r="BK244" s="1"/>
  <c r="BL244" s="1"/>
  <c r="BM244" s="1"/>
  <c r="BJ240"/>
  <c r="BK240" s="1"/>
  <c r="BL240" s="1"/>
  <c r="BM240" s="1"/>
  <c r="BJ308"/>
  <c r="BK308" s="1"/>
  <c r="BL308" s="1"/>
  <c r="BM308" s="1"/>
  <c r="BJ306"/>
  <c r="BK306" s="1"/>
  <c r="BL306" s="1"/>
  <c r="BM306" s="1"/>
  <c r="BJ298"/>
  <c r="BK298" s="1"/>
  <c r="BL298" s="1"/>
  <c r="BM298" s="1"/>
  <c r="BJ282"/>
  <c r="BK282" s="1"/>
  <c r="BL282" s="1"/>
  <c r="BM282" s="1"/>
  <c r="BJ268"/>
  <c r="BK268" s="1"/>
  <c r="BL268" s="1"/>
  <c r="BM268" s="1"/>
  <c r="BJ254"/>
  <c r="BK254" s="1"/>
  <c r="BL254" s="1"/>
  <c r="BM254" s="1"/>
  <c r="BJ250"/>
  <c r="BK250" s="1"/>
  <c r="BL250" s="1"/>
  <c r="BM250" s="1"/>
  <c r="BA222"/>
  <c r="BJ185"/>
  <c r="BK185" s="1"/>
  <c r="BL185" s="1"/>
  <c r="BM185" s="1"/>
  <c r="BJ151"/>
  <c r="BK151" s="1"/>
  <c r="BL151" s="1"/>
  <c r="BM151" s="1"/>
  <c r="BJ108"/>
  <c r="BK108" s="1"/>
  <c r="BL108" s="1"/>
  <c r="BM108" s="1"/>
  <c r="BJ262"/>
  <c r="BK262" s="1"/>
  <c r="BL262" s="1"/>
  <c r="BM262" s="1"/>
  <c r="BJ188"/>
  <c r="BK188" s="1"/>
  <c r="BL188" s="1"/>
  <c r="BM188" s="1"/>
  <c r="BJ178"/>
  <c r="BK178" s="1"/>
  <c r="BL178" s="1"/>
  <c r="BM178" s="1"/>
  <c r="BJ167"/>
  <c r="BK167" s="1"/>
  <c r="BL167" s="1"/>
  <c r="BM167" s="1"/>
  <c r="BJ165"/>
  <c r="BK165" s="1"/>
  <c r="BL165" s="1"/>
  <c r="BM165" s="1"/>
  <c r="BJ163"/>
  <c r="BK163" s="1"/>
  <c r="BL163" s="1"/>
  <c r="BM163" s="1"/>
  <c r="BJ160"/>
  <c r="BK160" s="1"/>
  <c r="BL160" s="1"/>
  <c r="BM160" s="1"/>
  <c r="BJ156"/>
  <c r="BK156" s="1"/>
  <c r="BL156" s="1"/>
  <c r="BM156" s="1"/>
  <c r="BJ149"/>
  <c r="BK149" s="1"/>
  <c r="BL149" s="1"/>
  <c r="BM149" s="1"/>
  <c r="BJ113"/>
  <c r="BK113" s="1"/>
  <c r="BL113" s="1"/>
  <c r="BM113" s="1"/>
  <c r="BJ321"/>
  <c r="BK321" s="1"/>
  <c r="BL321" s="1"/>
  <c r="BM321" s="1"/>
  <c r="BJ474"/>
  <c r="BK474" s="1"/>
  <c r="BL474" s="1"/>
  <c r="BM474" s="1"/>
  <c r="BJ471"/>
  <c r="BK471" s="1"/>
  <c r="BL471" s="1"/>
  <c r="BM471" s="1"/>
  <c r="AS467"/>
  <c r="AQ467"/>
  <c r="AO467"/>
  <c r="AM467"/>
  <c r="AT467"/>
  <c r="AP467"/>
  <c r="AN467"/>
  <c r="AL467"/>
  <c r="BJ384"/>
  <c r="BK384" s="1"/>
  <c r="BL384" s="1"/>
  <c r="BM384" s="1"/>
  <c r="BJ358"/>
  <c r="BK358" s="1"/>
  <c r="BL358" s="1"/>
  <c r="BM358" s="1"/>
  <c r="BJ334"/>
  <c r="BK334" s="1"/>
  <c r="BL334" s="1"/>
  <c r="BM334" s="1"/>
  <c r="BJ330"/>
  <c r="BK330" s="1"/>
  <c r="BL330" s="1"/>
  <c r="BM330" s="1"/>
  <c r="BJ318"/>
  <c r="BK318" s="1"/>
  <c r="BL318" s="1"/>
  <c r="BM318" s="1"/>
  <c r="BJ296"/>
  <c r="BK296" s="1"/>
  <c r="BL296" s="1"/>
  <c r="BM296" s="1"/>
  <c r="BJ252"/>
  <c r="BK252" s="1"/>
  <c r="BL252" s="1"/>
  <c r="BM252" s="1"/>
  <c r="BJ226"/>
  <c r="BK226" s="1"/>
  <c r="BL226" s="1"/>
  <c r="BM226" s="1"/>
  <c r="BJ220"/>
  <c r="BK220" s="1"/>
  <c r="BL220" s="1"/>
  <c r="BM220" s="1"/>
  <c r="BJ310"/>
  <c r="BK310" s="1"/>
  <c r="BL310" s="1"/>
  <c r="BM310" s="1"/>
  <c r="BJ297"/>
  <c r="BK297" s="1"/>
  <c r="BL297" s="1"/>
  <c r="BM297" s="1"/>
  <c r="BJ294"/>
  <c r="BK294" s="1"/>
  <c r="BL294" s="1"/>
  <c r="BM294" s="1"/>
  <c r="BJ277"/>
  <c r="BK277" s="1"/>
  <c r="BL277" s="1"/>
  <c r="BM277" s="1"/>
  <c r="BJ265"/>
  <c r="BK265" s="1"/>
  <c r="BL265" s="1"/>
  <c r="BM265" s="1"/>
  <c r="BJ256"/>
  <c r="BK256" s="1"/>
  <c r="BL256" s="1"/>
  <c r="BM256" s="1"/>
  <c r="BJ343"/>
  <c r="BK343" s="1"/>
  <c r="BL343" s="1"/>
  <c r="BM343" s="1"/>
  <c r="BJ213"/>
  <c r="BK213" s="1"/>
  <c r="BL213" s="1"/>
  <c r="BM213" s="1"/>
  <c r="BJ203"/>
  <c r="BK203" s="1"/>
  <c r="BL203" s="1"/>
  <c r="BM203" s="1"/>
  <c r="BJ168"/>
  <c r="BK168" s="1"/>
  <c r="BL168" s="1"/>
  <c r="BM168" s="1"/>
  <c r="BJ106"/>
  <c r="BK106" s="1"/>
  <c r="BL106" s="1"/>
  <c r="BM106" s="1"/>
  <c r="BJ209"/>
  <c r="BK209" s="1"/>
  <c r="BL209" s="1"/>
  <c r="BM209" s="1"/>
  <c r="BJ204"/>
  <c r="BK204" s="1"/>
  <c r="BL204" s="1"/>
  <c r="BM204" s="1"/>
  <c r="BJ197"/>
  <c r="BK197" s="1"/>
  <c r="BL197" s="1"/>
  <c r="BM197" s="1"/>
  <c r="BJ184"/>
  <c r="BK184" s="1"/>
  <c r="BL184" s="1"/>
  <c r="BM184" s="1"/>
  <c r="BJ182"/>
  <c r="BK182" s="1"/>
  <c r="BL182" s="1"/>
  <c r="BM182" s="1"/>
  <c r="BJ179"/>
  <c r="BK179" s="1"/>
  <c r="BL179" s="1"/>
  <c r="BM179" s="1"/>
  <c r="BJ175"/>
  <c r="BK175" s="1"/>
  <c r="BL175" s="1"/>
  <c r="BM175" s="1"/>
  <c r="BJ173"/>
  <c r="BK173" s="1"/>
  <c r="BL173" s="1"/>
  <c r="BM173" s="1"/>
  <c r="BJ169"/>
  <c r="BK169" s="1"/>
  <c r="BL169" s="1"/>
  <c r="BM169" s="1"/>
  <c r="BJ153"/>
  <c r="BK153" s="1"/>
  <c r="BL153" s="1"/>
  <c r="BM153" s="1"/>
  <c r="BJ136"/>
  <c r="BK136" s="1"/>
  <c r="BL136" s="1"/>
  <c r="BM136" s="1"/>
  <c r="BJ125"/>
  <c r="BK125" s="1"/>
  <c r="BL125" s="1"/>
  <c r="BM125" s="1"/>
  <c r="AT350"/>
  <c r="AO350"/>
  <c r="AM350"/>
  <c r="AS350"/>
  <c r="AP350"/>
  <c r="AN350"/>
  <c r="AL350"/>
  <c r="AQ350"/>
  <c r="AS322"/>
  <c r="AP322"/>
  <c r="AN322"/>
  <c r="AL322"/>
  <c r="AT322"/>
  <c r="AO322"/>
  <c r="AM322"/>
  <c r="AQ322"/>
  <c r="AS288"/>
  <c r="AP288"/>
  <c r="AN288"/>
  <c r="AL288"/>
  <c r="AT288"/>
  <c r="AO288"/>
  <c r="AM288"/>
  <c r="AQ288"/>
  <c r="AS285"/>
  <c r="AP285"/>
  <c r="AN285"/>
  <c r="AL285"/>
  <c r="AT285"/>
  <c r="AO285"/>
  <c r="AM285"/>
  <c r="AQ285"/>
  <c r="AS276"/>
  <c r="AP276"/>
  <c r="AN276"/>
  <c r="AL276"/>
  <c r="AT276"/>
  <c r="AO276"/>
  <c r="AM276"/>
  <c r="AQ276"/>
  <c r="W72"/>
  <c r="AG72"/>
  <c r="AF71"/>
  <c r="AZ71" s="1"/>
  <c r="AT70"/>
  <c r="AP70"/>
  <c r="AN70"/>
  <c r="AM70" s="1"/>
  <c r="AS70"/>
  <c r="AQ70"/>
  <c r="AO70"/>
  <c r="AL70"/>
  <c r="AF68"/>
  <c r="AT66"/>
  <c r="AP66"/>
  <c r="AN66"/>
  <c r="AM66" s="1"/>
  <c r="AS66"/>
  <c r="AQ66"/>
  <c r="AO66"/>
  <c r="AL66"/>
  <c r="BJ251"/>
  <c r="BK251" s="1"/>
  <c r="BL251" s="1"/>
  <c r="BM251" s="1"/>
  <c r="X62"/>
  <c r="W63"/>
  <c r="AF63" s="1"/>
  <c r="X64"/>
  <c r="AG65"/>
  <c r="AJ65"/>
  <c r="BF73"/>
  <c r="BB73"/>
  <c r="BB75"/>
  <c r="BA75" s="1"/>
  <c r="BA431"/>
  <c r="BF77"/>
  <c r="BJ243"/>
  <c r="BK243" s="1"/>
  <c r="BL243" s="1"/>
  <c r="BM243" s="1"/>
  <c r="BJ94"/>
  <c r="BK94" s="1"/>
  <c r="BL94" s="1"/>
  <c r="BM94" s="1"/>
  <c r="BJ359"/>
  <c r="BK359" s="1"/>
  <c r="BL359" s="1"/>
  <c r="BM359" s="1"/>
  <c r="BJ441"/>
  <c r="BK441" s="1"/>
  <c r="BL441" s="1"/>
  <c r="BM441" s="1"/>
  <c r="BJ320"/>
  <c r="BK320" s="1"/>
  <c r="BL320" s="1"/>
  <c r="BM320" s="1"/>
  <c r="BJ312"/>
  <c r="BK312" s="1"/>
  <c r="BL312" s="1"/>
  <c r="BM312" s="1"/>
  <c r="BJ284"/>
  <c r="BK284" s="1"/>
  <c r="BL284" s="1"/>
  <c r="BM284" s="1"/>
  <c r="BJ248"/>
  <c r="BK248" s="1"/>
  <c r="BL248" s="1"/>
  <c r="BM248" s="1"/>
  <c r="BJ242"/>
  <c r="BK242" s="1"/>
  <c r="BL242" s="1"/>
  <c r="BM242" s="1"/>
  <c r="BJ236"/>
  <c r="BK236" s="1"/>
  <c r="BL236" s="1"/>
  <c r="BM236" s="1"/>
  <c r="BJ326"/>
  <c r="BK326" s="1"/>
  <c r="BL326" s="1"/>
  <c r="BM326" s="1"/>
  <c r="BJ307"/>
  <c r="BK307" s="1"/>
  <c r="BL307" s="1"/>
  <c r="BM307" s="1"/>
  <c r="BJ301"/>
  <c r="BK301" s="1"/>
  <c r="BL301" s="1"/>
  <c r="BM301" s="1"/>
  <c r="BJ280"/>
  <c r="BK280" s="1"/>
  <c r="BL280" s="1"/>
  <c r="BM280" s="1"/>
  <c r="BJ260"/>
  <c r="BK260" s="1"/>
  <c r="BL260" s="1"/>
  <c r="BM260" s="1"/>
  <c r="BJ246"/>
  <c r="BK246" s="1"/>
  <c r="BL246" s="1"/>
  <c r="BM246" s="1"/>
  <c r="BJ198"/>
  <c r="BK198" s="1"/>
  <c r="BL198" s="1"/>
  <c r="BM198" s="1"/>
  <c r="BJ158"/>
  <c r="BK158" s="1"/>
  <c r="BL158" s="1"/>
  <c r="BM158" s="1"/>
  <c r="BJ123"/>
  <c r="BK123" s="1"/>
  <c r="BL123" s="1"/>
  <c r="BM123" s="1"/>
  <c r="BJ107"/>
  <c r="BK107" s="1"/>
  <c r="BL107" s="1"/>
  <c r="BM107" s="1"/>
  <c r="BJ202"/>
  <c r="BK202" s="1"/>
  <c r="BL202" s="1"/>
  <c r="BM202" s="1"/>
  <c r="BJ186"/>
  <c r="BK186" s="1"/>
  <c r="BL186" s="1"/>
  <c r="BM186" s="1"/>
  <c r="BJ170"/>
  <c r="BK170" s="1"/>
  <c r="BL170" s="1"/>
  <c r="BM170" s="1"/>
  <c r="BJ166"/>
  <c r="BK166" s="1"/>
  <c r="BL166" s="1"/>
  <c r="BM166" s="1"/>
  <c r="BJ164"/>
  <c r="BK164" s="1"/>
  <c r="BL164" s="1"/>
  <c r="BM164" s="1"/>
  <c r="BJ162"/>
  <c r="BK162" s="1"/>
  <c r="BL162" s="1"/>
  <c r="BM162" s="1"/>
  <c r="BJ157"/>
  <c r="BK157" s="1"/>
  <c r="BL157" s="1"/>
  <c r="BM157" s="1"/>
  <c r="BJ152"/>
  <c r="BK152" s="1"/>
  <c r="BL152" s="1"/>
  <c r="BM152" s="1"/>
  <c r="BJ131"/>
  <c r="BK131" s="1"/>
  <c r="BL131" s="1"/>
  <c r="BM131" s="1"/>
  <c r="BJ129"/>
  <c r="BK129" s="1"/>
  <c r="BL129" s="1"/>
  <c r="BM129" s="1"/>
  <c r="BJ472"/>
  <c r="BK472" s="1"/>
  <c r="BL472" s="1"/>
  <c r="BM472" s="1"/>
  <c r="AS470"/>
  <c r="AQ470"/>
  <c r="AO470"/>
  <c r="AM470"/>
  <c r="AT470"/>
  <c r="AP470"/>
  <c r="AN470"/>
  <c r="AL470"/>
  <c r="BJ457"/>
  <c r="BK457" s="1"/>
  <c r="BL457" s="1"/>
  <c r="BM457" s="1"/>
  <c r="BJ401"/>
  <c r="BK401" s="1"/>
  <c r="BL401" s="1"/>
  <c r="BM401" s="1"/>
  <c r="AS380"/>
  <c r="AQ380"/>
  <c r="AO380"/>
  <c r="AM380"/>
  <c r="AT380"/>
  <c r="AP380"/>
  <c r="AN380"/>
  <c r="AL380"/>
  <c r="BJ340"/>
  <c r="BK340" s="1"/>
  <c r="BL340" s="1"/>
  <c r="BM340" s="1"/>
  <c r="BJ331"/>
  <c r="BK331" s="1"/>
  <c r="BL331" s="1"/>
  <c r="BM331" s="1"/>
  <c r="BJ328"/>
  <c r="BK328" s="1"/>
  <c r="BL328" s="1"/>
  <c r="BM328" s="1"/>
  <c r="BJ316"/>
  <c r="BK316" s="1"/>
  <c r="BL316" s="1"/>
  <c r="BM316" s="1"/>
  <c r="BJ299"/>
  <c r="BK299" s="1"/>
  <c r="BL299" s="1"/>
  <c r="BM299" s="1"/>
  <c r="BJ272"/>
  <c r="BK272" s="1"/>
  <c r="BL272" s="1"/>
  <c r="BM272" s="1"/>
  <c r="BJ238"/>
  <c r="BK238" s="1"/>
  <c r="BL238" s="1"/>
  <c r="BM238" s="1"/>
  <c r="BJ224"/>
  <c r="BK224" s="1"/>
  <c r="BL224" s="1"/>
  <c r="BM224" s="1"/>
  <c r="BJ324"/>
  <c r="BK324" s="1"/>
  <c r="BL324" s="1"/>
  <c r="BM324" s="1"/>
  <c r="BJ302"/>
  <c r="BK302" s="1"/>
  <c r="BL302" s="1"/>
  <c r="BM302" s="1"/>
  <c r="BJ295"/>
  <c r="BK295" s="1"/>
  <c r="BL295" s="1"/>
  <c r="BM295" s="1"/>
  <c r="BJ289"/>
  <c r="BK289" s="1"/>
  <c r="BL289" s="1"/>
  <c r="BM289" s="1"/>
  <c r="BJ275"/>
  <c r="BK275" s="1"/>
  <c r="BL275" s="1"/>
  <c r="BM275" s="1"/>
  <c r="BJ264"/>
  <c r="BK264" s="1"/>
  <c r="BL264" s="1"/>
  <c r="BM264" s="1"/>
  <c r="BJ234"/>
  <c r="BK234" s="1"/>
  <c r="BL234" s="1"/>
  <c r="BM234" s="1"/>
  <c r="BJ215"/>
  <c r="BK215" s="1"/>
  <c r="BL215" s="1"/>
  <c r="BM215" s="1"/>
  <c r="BJ206"/>
  <c r="BK206" s="1"/>
  <c r="BL206" s="1"/>
  <c r="BM206" s="1"/>
  <c r="BJ177"/>
  <c r="BK177" s="1"/>
  <c r="BL177" s="1"/>
  <c r="BM177" s="1"/>
  <c r="BJ140"/>
  <c r="BK140" s="1"/>
  <c r="BL140" s="1"/>
  <c r="BM140" s="1"/>
  <c r="BJ211"/>
  <c r="BK211" s="1"/>
  <c r="BL211" s="1"/>
  <c r="BM211" s="1"/>
  <c r="BJ208"/>
  <c r="BK208" s="1"/>
  <c r="BL208" s="1"/>
  <c r="BM208" s="1"/>
  <c r="BJ201"/>
  <c r="BK201" s="1"/>
  <c r="BL201" s="1"/>
  <c r="BM201" s="1"/>
  <c r="BJ187"/>
  <c r="BK187" s="1"/>
  <c r="BL187" s="1"/>
  <c r="BM187" s="1"/>
  <c r="BJ183"/>
  <c r="BK183" s="1"/>
  <c r="BL183" s="1"/>
  <c r="BM183" s="1"/>
  <c r="BJ181"/>
  <c r="BK181" s="1"/>
  <c r="BL181" s="1"/>
  <c r="BM181" s="1"/>
  <c r="BJ176"/>
  <c r="BK176" s="1"/>
  <c r="BL176" s="1"/>
  <c r="BM176" s="1"/>
  <c r="BJ174"/>
  <c r="BK174" s="1"/>
  <c r="BL174" s="1"/>
  <c r="BM174" s="1"/>
  <c r="BJ171"/>
  <c r="BK171" s="1"/>
  <c r="BL171" s="1"/>
  <c r="BM171" s="1"/>
  <c r="BJ159"/>
  <c r="BK159" s="1"/>
  <c r="BL159" s="1"/>
  <c r="BM159" s="1"/>
  <c r="BJ138"/>
  <c r="BK138" s="1"/>
  <c r="BL138" s="1"/>
  <c r="BM138" s="1"/>
  <c r="BJ127"/>
  <c r="BK127" s="1"/>
  <c r="BL127" s="1"/>
  <c r="BM127" s="1"/>
  <c r="BJ80"/>
  <c r="BK80" s="1"/>
  <c r="BL80" s="1"/>
  <c r="BM80" s="1"/>
  <c r="AT67"/>
  <c r="AP67"/>
  <c r="AN67"/>
  <c r="AL67"/>
  <c r="AS67"/>
  <c r="AQ67"/>
  <c r="AO67"/>
  <c r="AM67"/>
  <c r="AT304"/>
  <c r="BA304" s="1"/>
  <c r="AO304"/>
  <c r="AM304"/>
  <c r="AS304"/>
  <c r="AP304"/>
  <c r="AN304"/>
  <c r="AL304"/>
  <c r="AQ304"/>
  <c r="AT300"/>
  <c r="BA300" s="1"/>
  <c r="AO300"/>
  <c r="AM300"/>
  <c r="AS300"/>
  <c r="AQ300"/>
  <c r="AP300" s="1"/>
  <c r="AN300"/>
  <c r="AL300"/>
  <c r="AT281"/>
  <c r="BA281" s="1"/>
  <c r="AO281"/>
  <c r="AM281"/>
  <c r="AS281"/>
  <c r="AP281"/>
  <c r="AN281"/>
  <c r="AL281"/>
  <c r="AQ281"/>
  <c r="AT279"/>
  <c r="BA279" s="1"/>
  <c r="AO279"/>
  <c r="AM279"/>
  <c r="AS279"/>
  <c r="AP279"/>
  <c r="AN279"/>
  <c r="AL279"/>
  <c r="AQ279"/>
  <c r="AS195"/>
  <c r="AQ195"/>
  <c r="AO195"/>
  <c r="AM195"/>
  <c r="AT195"/>
  <c r="BA195" s="1"/>
  <c r="AP195"/>
  <c r="AN195"/>
  <c r="AL195"/>
  <c r="AT161"/>
  <c r="AS161" s="1"/>
  <c r="AQ161"/>
  <c r="AO161"/>
  <c r="AM161"/>
  <c r="AP161"/>
  <c r="AN161"/>
  <c r="AL161"/>
  <c r="AT406"/>
  <c r="BA406" s="1"/>
  <c r="AP406"/>
  <c r="AN406"/>
  <c r="AL406"/>
  <c r="AS406"/>
  <c r="AQ406"/>
  <c r="AO406"/>
  <c r="AM406"/>
  <c r="AT315"/>
  <c r="BA315" s="1"/>
  <c r="AP315"/>
  <c r="AN315"/>
  <c r="AL315"/>
  <c r="AS315"/>
  <c r="AQ315"/>
  <c r="AO315"/>
  <c r="AM315"/>
  <c r="AT229"/>
  <c r="BA229" s="1"/>
  <c r="AN229"/>
  <c r="AL229"/>
  <c r="AS229"/>
  <c r="AP229"/>
  <c r="AO229" s="1"/>
  <c r="AM229"/>
  <c r="AQ229"/>
  <c r="AT292"/>
  <c r="BA292" s="1"/>
  <c r="AO292"/>
  <c r="AM292"/>
  <c r="AS292"/>
  <c r="AP292"/>
  <c r="AN292"/>
  <c r="AL292"/>
  <c r="AQ292"/>
  <c r="AT180"/>
  <c r="AS180" s="1"/>
  <c r="AQ180"/>
  <c r="AO180"/>
  <c r="AM180"/>
  <c r="AP180"/>
  <c r="AN180"/>
  <c r="AL180"/>
  <c r="AT172"/>
  <c r="AS172" s="1"/>
  <c r="AQ172"/>
  <c r="AO172"/>
  <c r="AM172"/>
  <c r="AP172"/>
  <c r="AN172"/>
  <c r="AL172"/>
  <c r="AT145"/>
  <c r="BA145" s="1"/>
  <c r="AO145"/>
  <c r="AM145"/>
  <c r="AS145"/>
  <c r="AP145"/>
  <c r="AN145"/>
  <c r="AL145"/>
  <c r="AQ145"/>
  <c r="AF69"/>
  <c r="AS475"/>
  <c r="AP475"/>
  <c r="AN475"/>
  <c r="AL475"/>
  <c r="AT475"/>
  <c r="BA475" s="1"/>
  <c r="AM475"/>
  <c r="AO475"/>
  <c r="AQ475"/>
  <c r="AS344"/>
  <c r="AP344"/>
  <c r="AN344"/>
  <c r="AL344"/>
  <c r="AT344"/>
  <c r="BA344" s="1"/>
  <c r="AO344"/>
  <c r="AM344"/>
  <c r="AQ344"/>
  <c r="AS483"/>
  <c r="AQ483"/>
  <c r="AP483" s="1"/>
  <c r="AN483"/>
  <c r="AL483"/>
  <c r="AT483"/>
  <c r="BA483" s="1"/>
  <c r="AO483"/>
  <c r="AM483"/>
  <c r="AT339"/>
  <c r="BA339" s="1"/>
  <c r="AO339"/>
  <c r="AM339"/>
  <c r="AS339"/>
  <c r="AP339"/>
  <c r="AN339"/>
  <c r="AL339"/>
  <c r="AQ339"/>
  <c r="AJ61"/>
  <c r="BD61"/>
  <c r="BC61" s="1"/>
  <c r="BD62"/>
  <c r="BC62" s="1"/>
  <c r="AJ63"/>
  <c r="BD64"/>
  <c r="BC64" s="1"/>
  <c r="AZ350"/>
  <c r="BA350" s="1"/>
  <c r="AZ322"/>
  <c r="BA322" s="1"/>
  <c r="AZ288"/>
  <c r="BA288" s="1"/>
  <c r="AZ285"/>
  <c r="BA285" s="1"/>
  <c r="AZ276"/>
  <c r="BA276" s="1"/>
  <c r="BA477"/>
  <c r="AZ68"/>
  <c r="AZ67"/>
  <c r="BA482"/>
  <c r="AL2" i="32"/>
  <c r="BI60" i="28"/>
  <c r="AW60"/>
  <c r="AV60"/>
  <c r="AU60"/>
  <c r="AR60"/>
  <c r="AK60"/>
  <c r="AH60"/>
  <c r="AD60"/>
  <c r="AC60"/>
  <c r="AB60"/>
  <c r="AE60" s="1"/>
  <c r="Z60"/>
  <c r="BO60" s="1"/>
  <c r="Y60"/>
  <c r="V60"/>
  <c r="W60" s="1"/>
  <c r="E60"/>
  <c r="BP60" s="1"/>
  <c r="BI59"/>
  <c r="AW59"/>
  <c r="AV59"/>
  <c r="AU59"/>
  <c r="BF67" l="1"/>
  <c r="AA60"/>
  <c r="BG60"/>
  <c r="A43" i="32"/>
  <c r="BF70" i="28"/>
  <c r="AZ61"/>
  <c r="BJ483"/>
  <c r="BK483" s="1"/>
  <c r="BL483" s="1"/>
  <c r="BM483" s="1"/>
  <c r="BJ344"/>
  <c r="BK344" s="1"/>
  <c r="BL344" s="1"/>
  <c r="BM344" s="1"/>
  <c r="BJ475"/>
  <c r="BK475" s="1"/>
  <c r="BL475" s="1"/>
  <c r="BM475" s="1"/>
  <c r="BJ145"/>
  <c r="BK145" s="1"/>
  <c r="BL145" s="1"/>
  <c r="BM145" s="1"/>
  <c r="BJ292"/>
  <c r="BK292" s="1"/>
  <c r="BL292" s="1"/>
  <c r="BM292" s="1"/>
  <c r="BJ195"/>
  <c r="BK195" s="1"/>
  <c r="BL195" s="1"/>
  <c r="BM195" s="1"/>
  <c r="BJ279"/>
  <c r="BK279" s="1"/>
  <c r="BL279" s="1"/>
  <c r="BM279" s="1"/>
  <c r="BJ281"/>
  <c r="BK281" s="1"/>
  <c r="BL281" s="1"/>
  <c r="BM281" s="1"/>
  <c r="BJ339"/>
  <c r="BK339" s="1"/>
  <c r="BL339" s="1"/>
  <c r="BM339" s="1"/>
  <c r="BJ229"/>
  <c r="BK229" s="1"/>
  <c r="BL229" s="1"/>
  <c r="BM229" s="1"/>
  <c r="BJ315"/>
  <c r="BK315" s="1"/>
  <c r="BL315" s="1"/>
  <c r="BM315" s="1"/>
  <c r="BJ406"/>
  <c r="BK406" s="1"/>
  <c r="BL406" s="1"/>
  <c r="BM406" s="1"/>
  <c r="BJ300"/>
  <c r="BK300" s="1"/>
  <c r="BL300" s="1"/>
  <c r="BM300" s="1"/>
  <c r="BJ304"/>
  <c r="BK304" s="1"/>
  <c r="BL304" s="1"/>
  <c r="BM304" s="1"/>
  <c r="BJ75"/>
  <c r="BK75" s="1"/>
  <c r="BL75" s="1"/>
  <c r="BM75" s="1"/>
  <c r="BJ482"/>
  <c r="BK482" s="1"/>
  <c r="BL482" s="1"/>
  <c r="BM482" s="1"/>
  <c r="BJ285"/>
  <c r="BK285" s="1"/>
  <c r="BL285" s="1"/>
  <c r="BM285" s="1"/>
  <c r="BJ322"/>
  <c r="BK322" s="1"/>
  <c r="BL322" s="1"/>
  <c r="BM322" s="1"/>
  <c r="AS69"/>
  <c r="AQ69"/>
  <c r="AO69"/>
  <c r="AL69"/>
  <c r="AT69"/>
  <c r="AP69"/>
  <c r="AN69"/>
  <c r="AM69" s="1"/>
  <c r="AS63"/>
  <c r="AQ63"/>
  <c r="AO63"/>
  <c r="AM63"/>
  <c r="AT63"/>
  <c r="AP63"/>
  <c r="AN63"/>
  <c r="AL63"/>
  <c r="AT68"/>
  <c r="AP68"/>
  <c r="AN68"/>
  <c r="AM68" s="1"/>
  <c r="AS68"/>
  <c r="AQ68"/>
  <c r="AO68"/>
  <c r="AL68"/>
  <c r="BJ222"/>
  <c r="BK222" s="1"/>
  <c r="BL222" s="1"/>
  <c r="BM222" s="1"/>
  <c r="BA161"/>
  <c r="BB70"/>
  <c r="BA70" s="1"/>
  <c r="BA180"/>
  <c r="BA172"/>
  <c r="BJ477"/>
  <c r="BK477" s="1"/>
  <c r="BL477" s="1"/>
  <c r="BM477" s="1"/>
  <c r="BJ276"/>
  <c r="BK276" s="1"/>
  <c r="BL276" s="1"/>
  <c r="BM276" s="1"/>
  <c r="BJ288"/>
  <c r="BK288" s="1"/>
  <c r="BL288" s="1"/>
  <c r="BM288" s="1"/>
  <c r="BJ350"/>
  <c r="BK350" s="1"/>
  <c r="BL350" s="1"/>
  <c r="BM350" s="1"/>
  <c r="W64"/>
  <c r="AG64"/>
  <c r="W62"/>
  <c r="AG62"/>
  <c r="AT71"/>
  <c r="AP71"/>
  <c r="AN71"/>
  <c r="AL71"/>
  <c r="AS71"/>
  <c r="AQ71"/>
  <c r="AO71"/>
  <c r="AM71"/>
  <c r="AF72"/>
  <c r="AS61"/>
  <c r="AQ61"/>
  <c r="AO61"/>
  <c r="AM61"/>
  <c r="AT61"/>
  <c r="AP61"/>
  <c r="AN61"/>
  <c r="AL61"/>
  <c r="AT65"/>
  <c r="AP65"/>
  <c r="AN65"/>
  <c r="AM65" s="1"/>
  <c r="AS65"/>
  <c r="AQ65"/>
  <c r="AO65"/>
  <c r="AL65"/>
  <c r="X60"/>
  <c r="AG60" s="1"/>
  <c r="AF60" s="1"/>
  <c r="AJ60"/>
  <c r="BB67"/>
  <c r="BA67" s="1"/>
  <c r="BF66"/>
  <c r="BB66"/>
  <c r="AZ69"/>
  <c r="AR59"/>
  <c r="AK59"/>
  <c r="AH59"/>
  <c r="BE59" s="1"/>
  <c r="AD59"/>
  <c r="AC59"/>
  <c r="AB59"/>
  <c r="Z59"/>
  <c r="Y59"/>
  <c r="V59"/>
  <c r="W59" s="1"/>
  <c r="E59"/>
  <c r="BP59" s="1"/>
  <c r="BI58"/>
  <c r="AW58"/>
  <c r="AV58"/>
  <c r="AU58"/>
  <c r="AR58"/>
  <c r="AK58"/>
  <c r="AH58"/>
  <c r="BE58" s="1"/>
  <c r="AD58"/>
  <c r="AC58"/>
  <c r="AB58"/>
  <c r="Z58"/>
  <c r="Y58"/>
  <c r="V58"/>
  <c r="X58" s="1"/>
  <c r="E58"/>
  <c r="BP58" s="1"/>
  <c r="BI57"/>
  <c r="AW57"/>
  <c r="AV57"/>
  <c r="AU57"/>
  <c r="AR57"/>
  <c r="AK57"/>
  <c r="AH57"/>
  <c r="BE57" s="1"/>
  <c r="AD57"/>
  <c r="AC57"/>
  <c r="AB57"/>
  <c r="Z57"/>
  <c r="Y57"/>
  <c r="V57"/>
  <c r="AJ57" s="1"/>
  <c r="E57"/>
  <c r="BP57" s="1"/>
  <c r="BI56"/>
  <c r="AW56"/>
  <c r="AV56"/>
  <c r="AU56"/>
  <c r="AR56"/>
  <c r="AK56"/>
  <c r="AH56"/>
  <c r="BE56" s="1"/>
  <c r="AD56"/>
  <c r="AC56"/>
  <c r="AB56"/>
  <c r="Z56"/>
  <c r="BO56" s="1"/>
  <c r="Y56"/>
  <c r="V56"/>
  <c r="AJ56" s="1"/>
  <c r="E56"/>
  <c r="BP56" s="1"/>
  <c r="BI55"/>
  <c r="AW55"/>
  <c r="AV55"/>
  <c r="AU55"/>
  <c r="AR55"/>
  <c r="AK55"/>
  <c r="AH55"/>
  <c r="BE55" s="1"/>
  <c r="AD55"/>
  <c r="AC55"/>
  <c r="AB55"/>
  <c r="Z55"/>
  <c r="BO55" s="1"/>
  <c r="Y55"/>
  <c r="V55"/>
  <c r="W55" s="1"/>
  <c r="E55"/>
  <c r="BP55" s="1"/>
  <c r="BI54"/>
  <c r="AW54"/>
  <c r="AV54"/>
  <c r="AU54"/>
  <c r="AR54"/>
  <c r="AK54"/>
  <c r="AH54"/>
  <c r="BE54" s="1"/>
  <c r="AD54"/>
  <c r="AC54"/>
  <c r="AB54"/>
  <c r="Z54"/>
  <c r="BO54" s="1"/>
  <c r="Y54"/>
  <c r="V54"/>
  <c r="W54" s="1"/>
  <c r="E54"/>
  <c r="BP54" s="1"/>
  <c r="BI53"/>
  <c r="AW53"/>
  <c r="AV53"/>
  <c r="AU53"/>
  <c r="AR53"/>
  <c r="AK53"/>
  <c r="AH53"/>
  <c r="BE53" s="1"/>
  <c r="AD53"/>
  <c r="AC53"/>
  <c r="AB53"/>
  <c r="Z53"/>
  <c r="BO53" s="1"/>
  <c r="Y53"/>
  <c r="V53"/>
  <c r="W53" s="1"/>
  <c r="E53"/>
  <c r="BP53" s="1"/>
  <c r="BI52"/>
  <c r="AW52"/>
  <c r="AV52"/>
  <c r="AU52"/>
  <c r="AR52"/>
  <c r="AK52"/>
  <c r="AH52"/>
  <c r="BE52" s="1"/>
  <c r="AD52"/>
  <c r="AC52"/>
  <c r="AB52"/>
  <c r="Z52"/>
  <c r="BO52" s="1"/>
  <c r="Y52"/>
  <c r="V52"/>
  <c r="E52"/>
  <c r="BP52" s="1"/>
  <c r="BI51"/>
  <c r="AW51"/>
  <c r="AV51"/>
  <c r="AU51"/>
  <c r="AR51"/>
  <c r="AK51"/>
  <c r="AH51"/>
  <c r="BE51" s="1"/>
  <c r="AD51"/>
  <c r="AC51"/>
  <c r="AB51"/>
  <c r="Z51"/>
  <c r="BO51" s="1"/>
  <c r="Y51"/>
  <c r="V51"/>
  <c r="W51" s="1"/>
  <c r="E51"/>
  <c r="BP51" s="1"/>
  <c r="BI50"/>
  <c r="AX50"/>
  <c r="AW50"/>
  <c r="AV50"/>
  <c r="AU50"/>
  <c r="AR50"/>
  <c r="AK50"/>
  <c r="AH50"/>
  <c r="BE50" s="1"/>
  <c r="AD50"/>
  <c r="AC50"/>
  <c r="AB50"/>
  <c r="Z50"/>
  <c r="Y50"/>
  <c r="V50"/>
  <c r="X50" s="1"/>
  <c r="W50" s="1"/>
  <c r="E50"/>
  <c r="BP50" s="1"/>
  <c r="BI49"/>
  <c r="AX49"/>
  <c r="AW49"/>
  <c r="AV49"/>
  <c r="AU49"/>
  <c r="AR49"/>
  <c r="AK49"/>
  <c r="AH49"/>
  <c r="BE49" s="1"/>
  <c r="AD49"/>
  <c r="AC49"/>
  <c r="AB49"/>
  <c r="Z49"/>
  <c r="Y49"/>
  <c r="V49"/>
  <c r="W49" s="1"/>
  <c r="E49"/>
  <c r="BP49" s="1"/>
  <c r="BI48"/>
  <c r="AX48"/>
  <c r="AW48"/>
  <c r="AV48"/>
  <c r="AU48"/>
  <c r="AR48"/>
  <c r="AK48"/>
  <c r="AH48"/>
  <c r="BE48" s="1"/>
  <c r="AD48"/>
  <c r="AC48"/>
  <c r="AB48"/>
  <c r="Z48"/>
  <c r="Y48"/>
  <c r="V48"/>
  <c r="W48" s="1"/>
  <c r="E48"/>
  <c r="BP48" s="1"/>
  <c r="BI47"/>
  <c r="AX47"/>
  <c r="AW47"/>
  <c r="AV47"/>
  <c r="AU47"/>
  <c r="AR47"/>
  <c r="AK47"/>
  <c r="AH47"/>
  <c r="BE47" s="1"/>
  <c r="AD47"/>
  <c r="AC47"/>
  <c r="AB47"/>
  <c r="AE47" s="1"/>
  <c r="Z47"/>
  <c r="Y47"/>
  <c r="V47"/>
  <c r="E47"/>
  <c r="BP47" s="1"/>
  <c r="BI46"/>
  <c r="BE46"/>
  <c r="AX46"/>
  <c r="AW46"/>
  <c r="AV46"/>
  <c r="AU46"/>
  <c r="AR46"/>
  <c r="AK46"/>
  <c r="AH46"/>
  <c r="AE46"/>
  <c r="AD46"/>
  <c r="AC46"/>
  <c r="AB46"/>
  <c r="AA46"/>
  <c r="Z46"/>
  <c r="Y46"/>
  <c r="V46"/>
  <c r="X46" s="1"/>
  <c r="AG46" s="1"/>
  <c r="E46"/>
  <c r="BP46" s="1"/>
  <c r="BI45"/>
  <c r="AX45"/>
  <c r="AW45"/>
  <c r="AV45"/>
  <c r="AU45"/>
  <c r="AR45"/>
  <c r="AK45"/>
  <c r="AH45"/>
  <c r="BE45" s="1"/>
  <c r="AD45"/>
  <c r="AC45"/>
  <c r="AB45"/>
  <c r="Z45"/>
  <c r="BO45" s="1"/>
  <c r="Y45"/>
  <c r="V45"/>
  <c r="W45" s="1"/>
  <c r="E45"/>
  <c r="BP45" s="1"/>
  <c r="AA48" l="1"/>
  <c r="BO48"/>
  <c r="BG50"/>
  <c r="BO50"/>
  <c r="BG58"/>
  <c r="BO58"/>
  <c r="BG46"/>
  <c r="BO46"/>
  <c r="BG47"/>
  <c r="BO47"/>
  <c r="AA49"/>
  <c r="BO49"/>
  <c r="BG57"/>
  <c r="BO57"/>
  <c r="AA59"/>
  <c r="BO59"/>
  <c r="AE45"/>
  <c r="AE48"/>
  <c r="AE49"/>
  <c r="AE59"/>
  <c r="AE53"/>
  <c r="AA54"/>
  <c r="AE54"/>
  <c r="W58"/>
  <c r="AF58" s="1"/>
  <c r="BH46"/>
  <c r="BG48"/>
  <c r="BG49"/>
  <c r="BG54"/>
  <c r="AE50"/>
  <c r="AE51"/>
  <c r="AA52"/>
  <c r="AE52"/>
  <c r="BG52"/>
  <c r="AE55"/>
  <c r="AE56"/>
  <c r="AE57"/>
  <c r="AE58"/>
  <c r="BG59"/>
  <c r="BH59"/>
  <c r="BG45"/>
  <c r="AA45"/>
  <c r="BH45"/>
  <c r="AA47"/>
  <c r="BH47"/>
  <c r="BH48"/>
  <c r="BH49"/>
  <c r="AA50"/>
  <c r="BH50"/>
  <c r="AA51"/>
  <c r="BG51"/>
  <c r="BH52"/>
  <c r="AA53"/>
  <c r="BG53"/>
  <c r="BH54"/>
  <c r="AA55"/>
  <c r="BG55"/>
  <c r="AA56"/>
  <c r="BG56"/>
  <c r="AA57"/>
  <c r="BH57"/>
  <c r="AA58"/>
  <c r="BH58"/>
  <c r="BC47"/>
  <c r="BH55"/>
  <c r="BH56"/>
  <c r="W46"/>
  <c r="AF46" s="1"/>
  <c r="BD47"/>
  <c r="BD50"/>
  <c r="BD46"/>
  <c r="A44" i="32"/>
  <c r="BC46" i="28"/>
  <c r="BC50"/>
  <c r="BF61"/>
  <c r="BF71"/>
  <c r="BE71" s="1"/>
  <c r="BD71" s="1"/>
  <c r="BC71" s="1"/>
  <c r="AT60"/>
  <c r="AP60"/>
  <c r="AN60"/>
  <c r="AM60" s="1"/>
  <c r="AQ60"/>
  <c r="AL60"/>
  <c r="AS60"/>
  <c r="BF60" s="1"/>
  <c r="BE60" s="1"/>
  <c r="BD60" s="1"/>
  <c r="BC60" s="1"/>
  <c r="AO60"/>
  <c r="AS46"/>
  <c r="AQ46"/>
  <c r="AO46"/>
  <c r="AM46"/>
  <c r="AP46"/>
  <c r="AL46"/>
  <c r="AT46"/>
  <c r="AN46"/>
  <c r="AJ46"/>
  <c r="BJ67"/>
  <c r="BK67" s="1"/>
  <c r="BL67" s="1"/>
  <c r="BM67" s="1"/>
  <c r="BJ70"/>
  <c r="BK70" s="1"/>
  <c r="BL70" s="1"/>
  <c r="BM70" s="1"/>
  <c r="BH70"/>
  <c r="X47"/>
  <c r="AG47" s="1"/>
  <c r="X49"/>
  <c r="AG50"/>
  <c r="BD51"/>
  <c r="BC51" s="1"/>
  <c r="BD52"/>
  <c r="BC52" s="1"/>
  <c r="BD53"/>
  <c r="BC53" s="1"/>
  <c r="X54"/>
  <c r="AG54" s="1"/>
  <c r="BD54"/>
  <c r="BC54" s="1"/>
  <c r="BD55"/>
  <c r="BC55" s="1"/>
  <c r="X56"/>
  <c r="X57"/>
  <c r="AG57" s="1"/>
  <c r="AG58"/>
  <c r="AZ58" s="1"/>
  <c r="BD58"/>
  <c r="BC58" s="1"/>
  <c r="X59"/>
  <c r="AJ59"/>
  <c r="BD59"/>
  <c r="BC59" s="1"/>
  <c r="BF68"/>
  <c r="BB68"/>
  <c r="BB63"/>
  <c r="BF69"/>
  <c r="AS72"/>
  <c r="AQ72"/>
  <c r="AO72"/>
  <c r="AL72"/>
  <c r="AT72"/>
  <c r="AP72"/>
  <c r="AN72"/>
  <c r="AM72" s="1"/>
  <c r="AF62"/>
  <c r="AF64"/>
  <c r="BJ172"/>
  <c r="BK172" s="1"/>
  <c r="BL172" s="1"/>
  <c r="BM172" s="1"/>
  <c r="BJ180"/>
  <c r="BK180" s="1"/>
  <c r="BL180" s="1"/>
  <c r="BM180" s="1"/>
  <c r="BJ161"/>
  <c r="BK161" s="1"/>
  <c r="BL161" s="1"/>
  <c r="BM161" s="1"/>
  <c r="X45"/>
  <c r="AG45" s="1"/>
  <c r="AF45" s="1"/>
  <c r="BD45"/>
  <c r="BC45" s="1"/>
  <c r="W47"/>
  <c r="X48"/>
  <c r="AG48" s="1"/>
  <c r="AF48" s="1"/>
  <c r="BD48"/>
  <c r="BC48" s="1"/>
  <c r="BD49"/>
  <c r="BC49" s="1"/>
  <c r="X51"/>
  <c r="AG51" s="1"/>
  <c r="AF51" s="1"/>
  <c r="X52"/>
  <c r="X53"/>
  <c r="AG53" s="1"/>
  <c r="AF53"/>
  <c r="X55"/>
  <c r="AG55" s="1"/>
  <c r="AF55" s="1"/>
  <c r="AJ55" s="1"/>
  <c r="W56"/>
  <c r="AG56"/>
  <c r="BD56"/>
  <c r="BC56" s="1"/>
  <c r="W57"/>
  <c r="AF57" s="1"/>
  <c r="BD57"/>
  <c r="BC57" s="1"/>
  <c r="AJ58"/>
  <c r="AG59"/>
  <c r="BA66"/>
  <c r="BF65"/>
  <c r="BE65" s="1"/>
  <c r="BD65" s="1"/>
  <c r="BC65" s="1"/>
  <c r="BB65" s="1"/>
  <c r="BB61"/>
  <c r="BA61" s="1"/>
  <c r="BB71"/>
  <c r="BA71" s="1"/>
  <c r="BF63"/>
  <c r="BE63" s="1"/>
  <c r="BD63" s="1"/>
  <c r="BC63" s="1"/>
  <c r="BB69"/>
  <c r="BA69" s="1"/>
  <c r="BI44"/>
  <c r="AX44"/>
  <c r="AW44"/>
  <c r="AV44"/>
  <c r="AU44"/>
  <c r="AR44"/>
  <c r="AK44"/>
  <c r="AH44"/>
  <c r="BE44" s="1"/>
  <c r="AD44"/>
  <c r="AC44"/>
  <c r="AB44"/>
  <c r="Z44"/>
  <c r="BO44" s="1"/>
  <c r="Y44"/>
  <c r="V44"/>
  <c r="E44"/>
  <c r="BP44" s="1"/>
  <c r="BI43"/>
  <c r="AX43"/>
  <c r="AW43"/>
  <c r="AV43"/>
  <c r="AU43"/>
  <c r="AR43"/>
  <c r="AK43"/>
  <c r="AH43"/>
  <c r="BE43" s="1"/>
  <c r="AD43"/>
  <c r="AC43"/>
  <c r="AB43"/>
  <c r="Z43"/>
  <c r="BO43" s="1"/>
  <c r="Y43"/>
  <c r="V43"/>
  <c r="X43" s="1"/>
  <c r="W43" s="1"/>
  <c r="E43"/>
  <c r="BP43" s="1"/>
  <c r="AE43" l="1"/>
  <c r="AE44"/>
  <c r="AA44"/>
  <c r="AA43"/>
  <c r="BG43"/>
  <c r="BH43"/>
  <c r="BG44"/>
  <c r="A45" i="32"/>
  <c r="AG49" i="28"/>
  <c r="AF49" s="1"/>
  <c r="AJ49" s="1"/>
  <c r="BB72"/>
  <c r="BA68"/>
  <c r="AF43"/>
  <c r="BJ69"/>
  <c r="BK69" s="1"/>
  <c r="BL69" s="1"/>
  <c r="BM69" s="1"/>
  <c r="BJ61"/>
  <c r="BK61" s="1"/>
  <c r="BL61" s="1"/>
  <c r="BM61" s="1"/>
  <c r="AT51"/>
  <c r="AP51"/>
  <c r="AN51"/>
  <c r="AL51"/>
  <c r="AS51"/>
  <c r="AQ51"/>
  <c r="AO51"/>
  <c r="AM51"/>
  <c r="AJ51"/>
  <c r="AT48"/>
  <c r="AP48"/>
  <c r="AN48"/>
  <c r="AL48"/>
  <c r="AS48"/>
  <c r="AQ48"/>
  <c r="AO48"/>
  <c r="AM48"/>
  <c r="AJ48"/>
  <c r="AF54"/>
  <c r="AZ54" s="1"/>
  <c r="BJ66"/>
  <c r="BK66" s="1"/>
  <c r="BL66" s="1"/>
  <c r="BM66" s="1"/>
  <c r="AF56"/>
  <c r="AT53"/>
  <c r="AP53"/>
  <c r="AN53"/>
  <c r="AL53"/>
  <c r="AS53"/>
  <c r="AQ53"/>
  <c r="AO53"/>
  <c r="AM53"/>
  <c r="W52"/>
  <c r="AG52"/>
  <c r="AF47"/>
  <c r="AT45"/>
  <c r="AP45"/>
  <c r="AN45"/>
  <c r="AL45"/>
  <c r="AS45"/>
  <c r="AO45"/>
  <c r="AQ45"/>
  <c r="AM45"/>
  <c r="AS64"/>
  <c r="AQ64"/>
  <c r="AO64"/>
  <c r="AL64"/>
  <c r="AT64"/>
  <c r="AP64"/>
  <c r="AN64"/>
  <c r="AM64" s="1"/>
  <c r="AS62"/>
  <c r="AQ62"/>
  <c r="AO62"/>
  <c r="AL62"/>
  <c r="AT62"/>
  <c r="AP62"/>
  <c r="AN62"/>
  <c r="AM62" s="1"/>
  <c r="BJ68"/>
  <c r="BK68" s="1"/>
  <c r="BL68" s="1"/>
  <c r="BM68" s="1"/>
  <c r="AG43"/>
  <c r="AJ43" s="1"/>
  <c r="BD43"/>
  <c r="BC43" s="1"/>
  <c r="X44"/>
  <c r="AG44" s="1"/>
  <c r="BD44"/>
  <c r="BC44" s="1"/>
  <c r="AJ45"/>
  <c r="AN58"/>
  <c r="AT58"/>
  <c r="AO58"/>
  <c r="AS58"/>
  <c r="BJ71"/>
  <c r="BK71" s="1"/>
  <c r="BL71" s="1"/>
  <c r="BM71" s="1"/>
  <c r="AF59"/>
  <c r="AZ59" s="1"/>
  <c r="AT57"/>
  <c r="AP57"/>
  <c r="AN57"/>
  <c r="AL57"/>
  <c r="AS57"/>
  <c r="AQ57"/>
  <c r="AO57"/>
  <c r="AM57"/>
  <c r="AT55"/>
  <c r="AP55"/>
  <c r="AN55"/>
  <c r="AL55"/>
  <c r="AS55"/>
  <c r="AQ55"/>
  <c r="AO55"/>
  <c r="AM55"/>
  <c r="AF50"/>
  <c r="AZ50" s="1"/>
  <c r="AQ49"/>
  <c r="AM49"/>
  <c r="AP49"/>
  <c r="AL49"/>
  <c r="W44"/>
  <c r="AZ53"/>
  <c r="AZ64"/>
  <c r="AZ62"/>
  <c r="BF72"/>
  <c r="AJ53"/>
  <c r="BB46"/>
  <c r="BF46"/>
  <c r="BB60"/>
  <c r="AL58"/>
  <c r="AP58"/>
  <c r="AM58"/>
  <c r="AQ58"/>
  <c r="BI42"/>
  <c r="AX42"/>
  <c r="AW42"/>
  <c r="AV42"/>
  <c r="AU42"/>
  <c r="AR42"/>
  <c r="AK42"/>
  <c r="AH42"/>
  <c r="BE42" s="1"/>
  <c r="AD42"/>
  <c r="AC42"/>
  <c r="AB42"/>
  <c r="Z42"/>
  <c r="BO42" s="1"/>
  <c r="Y42"/>
  <c r="V42"/>
  <c r="E42"/>
  <c r="BP42" s="1"/>
  <c r="BI41"/>
  <c r="AX41"/>
  <c r="AW41"/>
  <c r="AV41"/>
  <c r="AU41"/>
  <c r="AR41"/>
  <c r="AK41"/>
  <c r="AH41"/>
  <c r="BE41" s="1"/>
  <c r="AD41"/>
  <c r="AC41"/>
  <c r="AB41"/>
  <c r="Z41"/>
  <c r="BO41" s="1"/>
  <c r="Y41"/>
  <c r="V41"/>
  <c r="W41" s="1"/>
  <c r="E41"/>
  <c r="BP41" s="1"/>
  <c r="BI40"/>
  <c r="AX40"/>
  <c r="AW40"/>
  <c r="AV40"/>
  <c r="AU40"/>
  <c r="AR40"/>
  <c r="AK40"/>
  <c r="AH40"/>
  <c r="BE40" s="1"/>
  <c r="AD40"/>
  <c r="AC40"/>
  <c r="AB40"/>
  <c r="Z40"/>
  <c r="Y40"/>
  <c r="V40"/>
  <c r="X40" s="1"/>
  <c r="AG40" s="1"/>
  <c r="E40"/>
  <c r="BP40" s="1"/>
  <c r="BI39"/>
  <c r="AX39"/>
  <c r="AW39"/>
  <c r="AV39"/>
  <c r="AU39"/>
  <c r="AR39"/>
  <c r="AK39"/>
  <c r="AH39"/>
  <c r="BE39" s="1"/>
  <c r="AD39"/>
  <c r="AC39"/>
  <c r="AB39"/>
  <c r="Z39"/>
  <c r="BO39" s="1"/>
  <c r="Y39"/>
  <c r="X39"/>
  <c r="W39" s="1"/>
  <c r="V39"/>
  <c r="E39"/>
  <c r="BP39" s="1"/>
  <c r="BG40" l="1"/>
  <c r="BO40"/>
  <c r="W40"/>
  <c r="AF40" s="1"/>
  <c r="BF55"/>
  <c r="BF57"/>
  <c r="AN49"/>
  <c r="AT49"/>
  <c r="AO49"/>
  <c r="AS49"/>
  <c r="AE39"/>
  <c r="AE40"/>
  <c r="AE41"/>
  <c r="AE42"/>
  <c r="BB58"/>
  <c r="BF64"/>
  <c r="BG39"/>
  <c r="AA39"/>
  <c r="BH39"/>
  <c r="AA40"/>
  <c r="BH40"/>
  <c r="AA41"/>
  <c r="BG41"/>
  <c r="AA42"/>
  <c r="BC42"/>
  <c r="BG42"/>
  <c r="BH41"/>
  <c r="BH42"/>
  <c r="BD39"/>
  <c r="BD42"/>
  <c r="A46" i="32"/>
  <c r="BC39" i="28"/>
  <c r="AZ40"/>
  <c r="BF49"/>
  <c r="BF48"/>
  <c r="BB62"/>
  <c r="BF53"/>
  <c r="AT40"/>
  <c r="AP40"/>
  <c r="AN40"/>
  <c r="AL40"/>
  <c r="AJ40"/>
  <c r="AS40"/>
  <c r="AQ40"/>
  <c r="AO40"/>
  <c r="AM40"/>
  <c r="AT47"/>
  <c r="AP47"/>
  <c r="AN47"/>
  <c r="AL47"/>
  <c r="AS47"/>
  <c r="AQ47"/>
  <c r="AO47"/>
  <c r="AM47"/>
  <c r="AJ47"/>
  <c r="AS56"/>
  <c r="AQ56"/>
  <c r="AO56"/>
  <c r="AL56"/>
  <c r="AT56"/>
  <c r="AP56"/>
  <c r="AN56"/>
  <c r="AM56" s="1"/>
  <c r="AS54"/>
  <c r="AQ54"/>
  <c r="AO54"/>
  <c r="AL54"/>
  <c r="AT54"/>
  <c r="AP54"/>
  <c r="AN54"/>
  <c r="AM54" s="1"/>
  <c r="AJ54"/>
  <c r="AS43"/>
  <c r="AQ43"/>
  <c r="AO43"/>
  <c r="AM43"/>
  <c r="AT43"/>
  <c r="AP43"/>
  <c r="AN43"/>
  <c r="AL43"/>
  <c r="AF39"/>
  <c r="AG39"/>
  <c r="BD40"/>
  <c r="BC40" s="1"/>
  <c r="X41"/>
  <c r="AG41" s="1"/>
  <c r="AF41"/>
  <c r="BD41"/>
  <c r="BC41" s="1"/>
  <c r="X42"/>
  <c r="BB49"/>
  <c r="BB55"/>
  <c r="BB57"/>
  <c r="BF58"/>
  <c r="BF62"/>
  <c r="BA62" s="1"/>
  <c r="BB64"/>
  <c r="BB45"/>
  <c r="BB53"/>
  <c r="BA53" s="1"/>
  <c r="BB48"/>
  <c r="BF51"/>
  <c r="AF44"/>
  <c r="AS50"/>
  <c r="AQ50"/>
  <c r="AO50"/>
  <c r="AM50"/>
  <c r="AT50"/>
  <c r="AP50"/>
  <c r="AN50"/>
  <c r="AL50"/>
  <c r="AJ50"/>
  <c r="AT59"/>
  <c r="AS59"/>
  <c r="AQ59"/>
  <c r="AO59"/>
  <c r="AL59"/>
  <c r="AP59"/>
  <c r="AN59"/>
  <c r="AM59" s="1"/>
  <c r="AF52"/>
  <c r="BA58"/>
  <c r="BA64"/>
  <c r="BF45"/>
  <c r="BB51"/>
  <c r="BI38"/>
  <c r="AX38"/>
  <c r="AW38"/>
  <c r="AV38"/>
  <c r="AU38"/>
  <c r="AR38"/>
  <c r="AK38"/>
  <c r="AH38"/>
  <c r="BE38" s="1"/>
  <c r="AD38"/>
  <c r="AC38"/>
  <c r="AB38"/>
  <c r="AE38" s="1"/>
  <c r="Z38"/>
  <c r="BO38" s="1"/>
  <c r="Y38"/>
  <c r="V38"/>
  <c r="X38" s="1"/>
  <c r="W38" s="1"/>
  <c r="E38"/>
  <c r="BP38" s="1"/>
  <c r="BI37"/>
  <c r="AX37"/>
  <c r="AW37"/>
  <c r="AV37"/>
  <c r="AU37"/>
  <c r="AR37"/>
  <c r="AK37"/>
  <c r="AH37"/>
  <c r="BE37" s="1"/>
  <c r="AD37"/>
  <c r="AC37"/>
  <c r="AB37"/>
  <c r="AE37" s="1"/>
  <c r="Z37"/>
  <c r="BO37" s="1"/>
  <c r="Y37"/>
  <c r="V37"/>
  <c r="X37" s="1"/>
  <c r="E37"/>
  <c r="BP37" s="1"/>
  <c r="BI36"/>
  <c r="AX36"/>
  <c r="AW36"/>
  <c r="AV36"/>
  <c r="AU36"/>
  <c r="AR36"/>
  <c r="AK36"/>
  <c r="AH36"/>
  <c r="BE36" s="1"/>
  <c r="AD36"/>
  <c r="AC36"/>
  <c r="AB36"/>
  <c r="Z36"/>
  <c r="Y36"/>
  <c r="V36"/>
  <c r="X36" s="1"/>
  <c r="E36"/>
  <c r="BP36" s="1"/>
  <c r="BG36" l="1"/>
  <c r="BO36"/>
  <c r="AA36"/>
  <c r="AE36"/>
  <c r="BF50"/>
  <c r="BB59"/>
  <c r="BA59" s="1"/>
  <c r="BF59"/>
  <c r="AA37"/>
  <c r="BG37"/>
  <c r="BH36"/>
  <c r="BH37"/>
  <c r="AA38"/>
  <c r="BG38"/>
  <c r="W36"/>
  <c r="BD37"/>
  <c r="A47" i="32"/>
  <c r="BD36" i="28"/>
  <c r="BC37"/>
  <c r="BF43"/>
  <c r="BF54"/>
  <c r="BB56"/>
  <c r="BF47"/>
  <c r="W37"/>
  <c r="AG37"/>
  <c r="BJ62"/>
  <c r="BK62" s="1"/>
  <c r="BL62" s="1"/>
  <c r="BM62" s="1"/>
  <c r="BJ64"/>
  <c r="BK64" s="1"/>
  <c r="BL64" s="1"/>
  <c r="BM64" s="1"/>
  <c r="AT52"/>
  <c r="AP52"/>
  <c r="AN52"/>
  <c r="AL52"/>
  <c r="AS52"/>
  <c r="AQ52"/>
  <c r="AO52"/>
  <c r="AM52"/>
  <c r="AJ52"/>
  <c r="BJ59"/>
  <c r="BK59" s="1"/>
  <c r="BL59" s="1"/>
  <c r="BM59" s="1"/>
  <c r="BJ53"/>
  <c r="BK53" s="1"/>
  <c r="BL53" s="1"/>
  <c r="BM53" s="1"/>
  <c r="BH53"/>
  <c r="AS41"/>
  <c r="AQ41"/>
  <c r="AO41"/>
  <c r="AM41"/>
  <c r="AT41"/>
  <c r="AP41"/>
  <c r="AN41"/>
  <c r="AL41"/>
  <c r="AT39"/>
  <c r="AN39"/>
  <c r="AJ39"/>
  <c r="AS39"/>
  <c r="AQ39"/>
  <c r="AO39"/>
  <c r="AM39"/>
  <c r="AP39"/>
  <c r="AL39"/>
  <c r="AG36"/>
  <c r="AF38"/>
  <c r="AZ52"/>
  <c r="AJ41"/>
  <c r="AT44"/>
  <c r="AP44"/>
  <c r="AN44"/>
  <c r="AL44"/>
  <c r="AS44"/>
  <c r="AQ44"/>
  <c r="AO44"/>
  <c r="AM44"/>
  <c r="AJ44"/>
  <c r="W42"/>
  <c r="AG42"/>
  <c r="BC36"/>
  <c r="AF36"/>
  <c r="AG38"/>
  <c r="BD38"/>
  <c r="BC38" s="1"/>
  <c r="BB50"/>
  <c r="BA50" s="1"/>
  <c r="AZ41"/>
  <c r="BB43"/>
  <c r="BB54"/>
  <c r="BA54" s="1"/>
  <c r="BF56"/>
  <c r="BB47"/>
  <c r="BF40"/>
  <c r="BB40"/>
  <c r="BI35"/>
  <c r="AX35"/>
  <c r="AW35"/>
  <c r="AV35"/>
  <c r="AU35"/>
  <c r="AR35"/>
  <c r="AK35"/>
  <c r="AH35"/>
  <c r="BE35" s="1"/>
  <c r="AD35"/>
  <c r="AC35"/>
  <c r="AB35"/>
  <c r="Z35"/>
  <c r="Y35"/>
  <c r="V35"/>
  <c r="E35"/>
  <c r="BP35" s="1"/>
  <c r="BI34"/>
  <c r="AX34"/>
  <c r="AW34"/>
  <c r="AV34"/>
  <c r="AU34"/>
  <c r="AR34"/>
  <c r="AK34"/>
  <c r="AH34"/>
  <c r="BE34" s="1"/>
  <c r="AD34"/>
  <c r="AC34"/>
  <c r="AB34"/>
  <c r="Z34"/>
  <c r="Y34"/>
  <c r="V34"/>
  <c r="E34"/>
  <c r="BP34" s="1"/>
  <c r="BI33"/>
  <c r="AX33"/>
  <c r="AW33"/>
  <c r="AV33"/>
  <c r="AU33"/>
  <c r="AR33"/>
  <c r="AK33"/>
  <c r="AH33"/>
  <c r="BE33" s="1"/>
  <c r="AD33"/>
  <c r="AC33"/>
  <c r="AB33"/>
  <c r="AE33" s="1"/>
  <c r="Z33"/>
  <c r="BO33" s="1"/>
  <c r="Y33"/>
  <c r="V33"/>
  <c r="E33"/>
  <c r="BP33" s="1"/>
  <c r="BI32"/>
  <c r="AX32"/>
  <c r="AW32"/>
  <c r="AV32"/>
  <c r="AU32"/>
  <c r="AR32"/>
  <c r="AK32"/>
  <c r="AH32"/>
  <c r="BE32" s="1"/>
  <c r="AD32"/>
  <c r="AC32"/>
  <c r="AB32"/>
  <c r="Z32"/>
  <c r="BO32" s="1"/>
  <c r="Y32"/>
  <c r="V32"/>
  <c r="E32"/>
  <c r="BP32" s="1"/>
  <c r="BI31"/>
  <c r="AX31"/>
  <c r="AW31"/>
  <c r="AV31"/>
  <c r="AU31"/>
  <c r="AR31"/>
  <c r="AK31"/>
  <c r="AH31"/>
  <c r="BE31" s="1"/>
  <c r="AD31"/>
  <c r="AC31"/>
  <c r="AB31"/>
  <c r="Z31"/>
  <c r="Y31"/>
  <c r="V31"/>
  <c r="W31" s="1"/>
  <c r="E31"/>
  <c r="BP31" s="1"/>
  <c r="BI30"/>
  <c r="AX30"/>
  <c r="AW30"/>
  <c r="AV30"/>
  <c r="AU30"/>
  <c r="AR30"/>
  <c r="AK30"/>
  <c r="AH30"/>
  <c r="BE30" s="1"/>
  <c r="AD30"/>
  <c r="AC30"/>
  <c r="AB30"/>
  <c r="Z30"/>
  <c r="Y30"/>
  <c r="V30"/>
  <c r="E30"/>
  <c r="BP30" s="1"/>
  <c r="BI29"/>
  <c r="AX29"/>
  <c r="AW29"/>
  <c r="AV29"/>
  <c r="AU29"/>
  <c r="AR29"/>
  <c r="AK29"/>
  <c r="AH29"/>
  <c r="BE29" s="1"/>
  <c r="AD29"/>
  <c r="AC29"/>
  <c r="AB29"/>
  <c r="Z29"/>
  <c r="BO29" s="1"/>
  <c r="Y29"/>
  <c r="V29"/>
  <c r="E29"/>
  <c r="BP29" s="1"/>
  <c r="BI28"/>
  <c r="AX28"/>
  <c r="AW28"/>
  <c r="AV28"/>
  <c r="AU28"/>
  <c r="AR28"/>
  <c r="AK28"/>
  <c r="AH28"/>
  <c r="BE28" s="1"/>
  <c r="AD28"/>
  <c r="AC28"/>
  <c r="AB28"/>
  <c r="Z28"/>
  <c r="Y28"/>
  <c r="V28"/>
  <c r="X28" s="1"/>
  <c r="E28"/>
  <c r="BP28" s="1"/>
  <c r="BI27"/>
  <c r="AX27"/>
  <c r="AW27"/>
  <c r="AV27"/>
  <c r="AU27"/>
  <c r="AR27"/>
  <c r="AK27"/>
  <c r="AH27"/>
  <c r="BE27" s="1"/>
  <c r="BG28" l="1"/>
  <c r="BO28"/>
  <c r="BG30"/>
  <c r="BO30"/>
  <c r="BG34"/>
  <c r="BO34"/>
  <c r="BG31"/>
  <c r="BO31"/>
  <c r="BG35"/>
  <c r="BO35"/>
  <c r="W28"/>
  <c r="AE32"/>
  <c r="AE34"/>
  <c r="AA35"/>
  <c r="AE35"/>
  <c r="BB39"/>
  <c r="BF39"/>
  <c r="AE28"/>
  <c r="AA29"/>
  <c r="AE29"/>
  <c r="BG29"/>
  <c r="AE30"/>
  <c r="AA31"/>
  <c r="AE31"/>
  <c r="BH31"/>
  <c r="AA28"/>
  <c r="BH28"/>
  <c r="BH29"/>
  <c r="AA30"/>
  <c r="BH30"/>
  <c r="AA32"/>
  <c r="BG32"/>
  <c r="AA33"/>
  <c r="BG33"/>
  <c r="AA34"/>
  <c r="BH34"/>
  <c r="BH35"/>
  <c r="BH32"/>
  <c r="BH33"/>
  <c r="A48" i="32"/>
  <c r="BA40" i="28"/>
  <c r="BJ40" s="1"/>
  <c r="BK40" s="1"/>
  <c r="BL40" s="1"/>
  <c r="BM40" s="1"/>
  <c r="BJ50"/>
  <c r="BK50" s="1"/>
  <c r="BL50" s="1"/>
  <c r="BM50" s="1"/>
  <c r="AF42"/>
  <c r="AT38"/>
  <c r="AP38"/>
  <c r="AN38"/>
  <c r="AM38" s="1"/>
  <c r="AS38"/>
  <c r="AQ38"/>
  <c r="AO38"/>
  <c r="AL38"/>
  <c r="AJ38"/>
  <c r="AF28"/>
  <c r="BD28"/>
  <c r="BC28" s="1"/>
  <c r="X29"/>
  <c r="BD30"/>
  <c r="BC30" s="1"/>
  <c r="BD31"/>
  <c r="BC31" s="1"/>
  <c r="BD32"/>
  <c r="BC32" s="1"/>
  <c r="X33"/>
  <c r="X34"/>
  <c r="BD34"/>
  <c r="BC34" s="1"/>
  <c r="BD35"/>
  <c r="BC35" s="1"/>
  <c r="BB44"/>
  <c r="BB41"/>
  <c r="BB52"/>
  <c r="BJ54"/>
  <c r="BK54" s="1"/>
  <c r="BL54" s="1"/>
  <c r="BM54" s="1"/>
  <c r="AS36"/>
  <c r="AQ36"/>
  <c r="AO36"/>
  <c r="AM36"/>
  <c r="AT36"/>
  <c r="AN36"/>
  <c r="AJ36"/>
  <c r="AP36"/>
  <c r="AL36"/>
  <c r="AF37"/>
  <c r="AZ37" s="1"/>
  <c r="BD27"/>
  <c r="BC27" s="1"/>
  <c r="AG28"/>
  <c r="AZ28" s="1"/>
  <c r="BD29"/>
  <c r="BC29" s="1"/>
  <c r="X30"/>
  <c r="X31"/>
  <c r="AF31"/>
  <c r="X32"/>
  <c r="W33"/>
  <c r="AG33"/>
  <c r="BD33"/>
  <c r="BC33" s="1"/>
  <c r="W34"/>
  <c r="AF34" s="1"/>
  <c r="AG34"/>
  <c r="X35"/>
  <c r="BB38"/>
  <c r="AZ42"/>
  <c r="BF44"/>
  <c r="BF41"/>
  <c r="BF52"/>
  <c r="BA52" s="1"/>
  <c r="AD27"/>
  <c r="AC27"/>
  <c r="AB27"/>
  <c r="AE27" s="1"/>
  <c r="Z27"/>
  <c r="Y27"/>
  <c r="V27"/>
  <c r="X27" s="1"/>
  <c r="E27"/>
  <c r="BP27" s="1"/>
  <c r="BI26"/>
  <c r="AX26"/>
  <c r="AW26"/>
  <c r="AV26"/>
  <c r="AU26"/>
  <c r="AR26"/>
  <c r="AK26"/>
  <c r="AH26"/>
  <c r="BE26" s="1"/>
  <c r="AD26"/>
  <c r="AC26"/>
  <c r="AB26"/>
  <c r="Z26"/>
  <c r="BO26" s="1"/>
  <c r="Y26"/>
  <c r="V26"/>
  <c r="E26"/>
  <c r="BP26" s="1"/>
  <c r="BI25"/>
  <c r="AX25"/>
  <c r="AW25"/>
  <c r="AV25"/>
  <c r="AU25"/>
  <c r="AR25"/>
  <c r="AK25"/>
  <c r="BD25" s="1"/>
  <c r="AH25"/>
  <c r="BE25" s="1"/>
  <c r="AD25"/>
  <c r="AC25"/>
  <c r="AB25"/>
  <c r="Z25"/>
  <c r="BO25" s="1"/>
  <c r="Y25"/>
  <c r="V25"/>
  <c r="E25"/>
  <c r="BP25" s="1"/>
  <c r="BI24"/>
  <c r="AX24"/>
  <c r="AW24"/>
  <c r="AV24"/>
  <c r="AU24"/>
  <c r="AR24"/>
  <c r="AK24"/>
  <c r="AH24"/>
  <c r="BE24" s="1"/>
  <c r="AD24"/>
  <c r="AC24"/>
  <c r="AB24"/>
  <c r="Z24"/>
  <c r="BO24" s="1"/>
  <c r="Y24"/>
  <c r="V24"/>
  <c r="X24" s="1"/>
  <c r="E24"/>
  <c r="BP24" s="1"/>
  <c r="BI23"/>
  <c r="AX23"/>
  <c r="AW23"/>
  <c r="AV23"/>
  <c r="AU23"/>
  <c r="AR23"/>
  <c r="AK23"/>
  <c r="AH23"/>
  <c r="BE23" s="1"/>
  <c r="AD23"/>
  <c r="AC23"/>
  <c r="AB23"/>
  <c r="AE23" s="1"/>
  <c r="Z23"/>
  <c r="Y23"/>
  <c r="V23"/>
  <c r="W23" s="1"/>
  <c r="E23"/>
  <c r="BP23" s="1"/>
  <c r="BI22"/>
  <c r="AX22"/>
  <c r="AW22"/>
  <c r="AV22"/>
  <c r="AU22"/>
  <c r="AR22"/>
  <c r="AK22"/>
  <c r="AH22"/>
  <c r="BE22" s="1"/>
  <c r="AD22"/>
  <c r="AC22"/>
  <c r="AB22"/>
  <c r="Z22"/>
  <c r="BO22" s="1"/>
  <c r="Y22"/>
  <c r="V22"/>
  <c r="X22" s="1"/>
  <c r="AG22" s="1"/>
  <c r="E22"/>
  <c r="BP22" s="1"/>
  <c r="BG23" l="1"/>
  <c r="BO23"/>
  <c r="AA27"/>
  <c r="BO27"/>
  <c r="AE25"/>
  <c r="AE26"/>
  <c r="AE22"/>
  <c r="AA24"/>
  <c r="AE24"/>
  <c r="BG24"/>
  <c r="AA25"/>
  <c r="BG25"/>
  <c r="AA22"/>
  <c r="BC22"/>
  <c r="BG22"/>
  <c r="AA23"/>
  <c r="BH23"/>
  <c r="BH24"/>
  <c r="BC25"/>
  <c r="AA26"/>
  <c r="BG26"/>
  <c r="BG27"/>
  <c r="BH22"/>
  <c r="BH26"/>
  <c r="BD22"/>
  <c r="BD23"/>
  <c r="A49" i="32"/>
  <c r="BC23" i="28"/>
  <c r="BF36"/>
  <c r="BJ52"/>
  <c r="BK52" s="1"/>
  <c r="BL52" s="1"/>
  <c r="BM52" s="1"/>
  <c r="W27"/>
  <c r="AG27"/>
  <c r="W35"/>
  <c r="AG35"/>
  <c r="AS34"/>
  <c r="AQ34"/>
  <c r="AO34"/>
  <c r="AL34"/>
  <c r="AT34"/>
  <c r="AP34"/>
  <c r="AN34"/>
  <c r="AM34" s="1"/>
  <c r="AF33"/>
  <c r="W30"/>
  <c r="AG30"/>
  <c r="AS28"/>
  <c r="AQ28"/>
  <c r="AO28"/>
  <c r="AL28"/>
  <c r="AJ28"/>
  <c r="AT28"/>
  <c r="AP28"/>
  <c r="AN28"/>
  <c r="AM28" s="1"/>
  <c r="AT42"/>
  <c r="AP42"/>
  <c r="AN42"/>
  <c r="AL42"/>
  <c r="AS42"/>
  <c r="AQ42"/>
  <c r="AO42"/>
  <c r="AM42"/>
  <c r="AJ42"/>
  <c r="W22"/>
  <c r="AF22" s="1"/>
  <c r="W24"/>
  <c r="AG24"/>
  <c r="BD24"/>
  <c r="BC24" s="1"/>
  <c r="X25"/>
  <c r="X26"/>
  <c r="BA41"/>
  <c r="BB34"/>
  <c r="W32"/>
  <c r="AG32"/>
  <c r="AS37"/>
  <c r="AQ37"/>
  <c r="AO37"/>
  <c r="AM37"/>
  <c r="AT37"/>
  <c r="AP37"/>
  <c r="AN37"/>
  <c r="AL37"/>
  <c r="AJ37"/>
  <c r="W29"/>
  <c r="AG29"/>
  <c r="X23"/>
  <c r="AG23" s="1"/>
  <c r="W26"/>
  <c r="AG26"/>
  <c r="BD26"/>
  <c r="BC26" s="1"/>
  <c r="AZ33"/>
  <c r="BB36"/>
  <c r="AG31"/>
  <c r="AZ31" s="1"/>
  <c r="BB28"/>
  <c r="BF38"/>
  <c r="AJ34"/>
  <c r="BI21"/>
  <c r="AX21"/>
  <c r="AW21"/>
  <c r="AV21"/>
  <c r="AU21"/>
  <c r="AR21"/>
  <c r="AK21"/>
  <c r="AH21"/>
  <c r="BE21" s="1"/>
  <c r="BF37" l="1"/>
  <c r="BC21"/>
  <c r="BD21"/>
  <c r="A50" i="32"/>
  <c r="AS22" i="28"/>
  <c r="AQ22"/>
  <c r="AO22"/>
  <c r="AM22"/>
  <c r="AT22"/>
  <c r="AP22"/>
  <c r="AN22"/>
  <c r="AL22"/>
  <c r="AZ22"/>
  <c r="AJ22"/>
  <c r="AF23"/>
  <c r="AZ23" s="1"/>
  <c r="AF29"/>
  <c r="BJ41"/>
  <c r="BK41" s="1"/>
  <c r="BL41" s="1"/>
  <c r="BM41" s="1"/>
  <c r="AF24"/>
  <c r="BB37"/>
  <c r="BA37" s="1"/>
  <c r="AJ31"/>
  <c r="BB42"/>
  <c r="AN31"/>
  <c r="AM31" s="1"/>
  <c r="AT31"/>
  <c r="AO31"/>
  <c r="AS31"/>
  <c r="AF26"/>
  <c r="AF32"/>
  <c r="AZ32" s="1"/>
  <c r="W25"/>
  <c r="AG25"/>
  <c r="AF30"/>
  <c r="AS33"/>
  <c r="AQ33"/>
  <c r="AO33"/>
  <c r="AL33"/>
  <c r="AT33"/>
  <c r="AP33"/>
  <c r="AN33"/>
  <c r="AM33" s="1"/>
  <c r="AJ33"/>
  <c r="AF35"/>
  <c r="AF27"/>
  <c r="AZ29"/>
  <c r="AZ24"/>
  <c r="BF42"/>
  <c r="BF28"/>
  <c r="BA28" s="1"/>
  <c r="AP31"/>
  <c r="AL31"/>
  <c r="AQ31"/>
  <c r="BF34"/>
  <c r="AD21"/>
  <c r="AC21"/>
  <c r="AB21"/>
  <c r="Z21"/>
  <c r="Y21"/>
  <c r="V21"/>
  <c r="W21" s="1"/>
  <c r="E21"/>
  <c r="BP21" s="1"/>
  <c r="BI20"/>
  <c r="AX20"/>
  <c r="AW20"/>
  <c r="AV20"/>
  <c r="AU20"/>
  <c r="AR20"/>
  <c r="AK20"/>
  <c r="AH20"/>
  <c r="BE20" s="1"/>
  <c r="AD20"/>
  <c r="AC20"/>
  <c r="AB20"/>
  <c r="Z20"/>
  <c r="BO20" s="1"/>
  <c r="Y20"/>
  <c r="V20"/>
  <c r="E20"/>
  <c r="BP20" s="1"/>
  <c r="BI19"/>
  <c r="AX19"/>
  <c r="AW19"/>
  <c r="AV19"/>
  <c r="AU19"/>
  <c r="AR19"/>
  <c r="AK19"/>
  <c r="AH19"/>
  <c r="BE19" s="1"/>
  <c r="AD19"/>
  <c r="AC19"/>
  <c r="AB19"/>
  <c r="Z19"/>
  <c r="BO19" s="1"/>
  <c r="Y19"/>
  <c r="V19"/>
  <c r="E19"/>
  <c r="BP19" s="1"/>
  <c r="BI18"/>
  <c r="AX18"/>
  <c r="AW18"/>
  <c r="AV18"/>
  <c r="AU18"/>
  <c r="AR18"/>
  <c r="AK18"/>
  <c r="AH18"/>
  <c r="BE18" s="1"/>
  <c r="AD18"/>
  <c r="AC18"/>
  <c r="AB18"/>
  <c r="Z18"/>
  <c r="Y18"/>
  <c r="V18"/>
  <c r="W18" s="1"/>
  <c r="E18"/>
  <c r="BP18" s="1"/>
  <c r="BI17"/>
  <c r="AX17"/>
  <c r="AW17"/>
  <c r="AV17"/>
  <c r="AU17"/>
  <c r="AR17"/>
  <c r="AK17"/>
  <c r="AH17"/>
  <c r="BE17" s="1"/>
  <c r="AD17"/>
  <c r="AC17"/>
  <c r="AB17"/>
  <c r="AE17" s="1"/>
  <c r="Z17"/>
  <c r="BO17" s="1"/>
  <c r="Y17"/>
  <c r="V17"/>
  <c r="E17"/>
  <c r="BP17" s="1"/>
  <c r="BI16"/>
  <c r="AX16"/>
  <c r="AW16"/>
  <c r="AV16"/>
  <c r="AU16"/>
  <c r="AR16"/>
  <c r="AK16"/>
  <c r="AH16"/>
  <c r="BE16" s="1"/>
  <c r="AD16"/>
  <c r="AC16"/>
  <c r="AB16"/>
  <c r="Z16"/>
  <c r="Y16"/>
  <c r="V16"/>
  <c r="X16" s="1"/>
  <c r="AG16" s="1"/>
  <c r="E16"/>
  <c r="BP16" s="1"/>
  <c r="BI15"/>
  <c r="AX15"/>
  <c r="AW15"/>
  <c r="AV15"/>
  <c r="AU15"/>
  <c r="AR15"/>
  <c r="AK15"/>
  <c r="AH15"/>
  <c r="BE15" s="1"/>
  <c r="AD15"/>
  <c r="AC15"/>
  <c r="AB15"/>
  <c r="Z15"/>
  <c r="BO15" s="1"/>
  <c r="Y15"/>
  <c r="V15"/>
  <c r="E15"/>
  <c r="BP15" s="1"/>
  <c r="BI14"/>
  <c r="AX14"/>
  <c r="AW14"/>
  <c r="AV14"/>
  <c r="AU14"/>
  <c r="AR14"/>
  <c r="AK14"/>
  <c r="AH14"/>
  <c r="BE14" s="1"/>
  <c r="AD14"/>
  <c r="AC14"/>
  <c r="AB14"/>
  <c r="Z14"/>
  <c r="Y14"/>
  <c r="V14"/>
  <c r="W14" s="1"/>
  <c r="AF14" s="1"/>
  <c r="E14"/>
  <c r="BP14" s="1"/>
  <c r="BG14" l="1"/>
  <c r="BO14"/>
  <c r="BG16"/>
  <c r="BO16"/>
  <c r="BG18"/>
  <c r="BO18"/>
  <c r="AA21"/>
  <c r="BO21"/>
  <c r="AE16"/>
  <c r="AE19"/>
  <c r="AE20"/>
  <c r="AE21"/>
  <c r="AE14"/>
  <c r="AE15"/>
  <c r="W16"/>
  <c r="AE18"/>
  <c r="AA20"/>
  <c r="BB31"/>
  <c r="BH14"/>
  <c r="BG15"/>
  <c r="BH16"/>
  <c r="BG17"/>
  <c r="BH18"/>
  <c r="BG19"/>
  <c r="BG20"/>
  <c r="BH21"/>
  <c r="BG21"/>
  <c r="AA14"/>
  <c r="AA15"/>
  <c r="BH15"/>
  <c r="AA16"/>
  <c r="BC16"/>
  <c r="AA17"/>
  <c r="BH17"/>
  <c r="AA18"/>
  <c r="AA19"/>
  <c r="BH19"/>
  <c r="BH20"/>
  <c r="BF22"/>
  <c r="BD14"/>
  <c r="BD20"/>
  <c r="BD16"/>
  <c r="A51" i="32"/>
  <c r="BC14" i="28"/>
  <c r="BC20"/>
  <c r="BB33"/>
  <c r="AF16"/>
  <c r="AZ16" s="1"/>
  <c r="AF21"/>
  <c r="BJ28"/>
  <c r="BK28" s="1"/>
  <c r="BL28" s="1"/>
  <c r="BM28" s="1"/>
  <c r="BJ37"/>
  <c r="BK37" s="1"/>
  <c r="BL37" s="1"/>
  <c r="BM37" s="1"/>
  <c r="AS30"/>
  <c r="AQ30"/>
  <c r="AO30"/>
  <c r="AL30"/>
  <c r="AT30"/>
  <c r="AP30"/>
  <c r="AN30"/>
  <c r="AM30" s="1"/>
  <c r="AJ30"/>
  <c r="AF25"/>
  <c r="AT24"/>
  <c r="AP24"/>
  <c r="AN24"/>
  <c r="AM24" s="1"/>
  <c r="AS24"/>
  <c r="AQ24"/>
  <c r="AO24"/>
  <c r="AL24"/>
  <c r="AJ24"/>
  <c r="AT23"/>
  <c r="AP23"/>
  <c r="AN23"/>
  <c r="AL23"/>
  <c r="AS23"/>
  <c r="AQ23"/>
  <c r="AO23"/>
  <c r="AM23"/>
  <c r="AJ23"/>
  <c r="W15"/>
  <c r="BD15"/>
  <c r="BC15" s="1"/>
  <c r="X17"/>
  <c r="AG17" s="1"/>
  <c r="BD17"/>
  <c r="BC17" s="1"/>
  <c r="BD18"/>
  <c r="BC18" s="1"/>
  <c r="X19"/>
  <c r="AG19" s="1"/>
  <c r="BD19"/>
  <c r="BC19" s="1"/>
  <c r="BF33"/>
  <c r="BF31"/>
  <c r="AZ30"/>
  <c r="AP27"/>
  <c r="AS27"/>
  <c r="AQ27"/>
  <c r="AO27"/>
  <c r="AL27"/>
  <c r="AT27"/>
  <c r="AN27"/>
  <c r="AM27" s="1"/>
  <c r="AJ27"/>
  <c r="AS35"/>
  <c r="AQ35"/>
  <c r="AO35"/>
  <c r="AL35"/>
  <c r="AT35"/>
  <c r="AP35"/>
  <c r="AN35"/>
  <c r="AM35" s="1"/>
  <c r="AJ35"/>
  <c r="AS32"/>
  <c r="AQ32"/>
  <c r="AO32"/>
  <c r="AL32"/>
  <c r="AT32"/>
  <c r="AP32"/>
  <c r="AN32"/>
  <c r="AM32" s="1"/>
  <c r="AJ32"/>
  <c r="AS26"/>
  <c r="AQ26"/>
  <c r="AO26"/>
  <c r="AL26"/>
  <c r="AT26"/>
  <c r="AP26"/>
  <c r="AN26"/>
  <c r="AM26" s="1"/>
  <c r="AJ26"/>
  <c r="AS29"/>
  <c r="AQ29"/>
  <c r="AO29"/>
  <c r="AM29"/>
  <c r="AT29"/>
  <c r="AP29"/>
  <c r="AN29"/>
  <c r="AL29"/>
  <c r="AJ29"/>
  <c r="X14"/>
  <c r="AG14" s="1"/>
  <c r="AZ14" s="1"/>
  <c r="X15"/>
  <c r="AG15" s="1"/>
  <c r="W17"/>
  <c r="X18"/>
  <c r="W19"/>
  <c r="X20"/>
  <c r="X21"/>
  <c r="AG21" s="1"/>
  <c r="AZ21" s="1"/>
  <c r="BA31"/>
  <c r="BA33"/>
  <c r="AZ25"/>
  <c r="AZ35"/>
  <c r="BA42"/>
  <c r="BB22"/>
  <c r="BA22" s="1"/>
  <c r="BI13"/>
  <c r="AX13"/>
  <c r="AW13"/>
  <c r="AV13"/>
  <c r="AU13"/>
  <c r="AR13"/>
  <c r="AK13"/>
  <c r="AH13"/>
  <c r="AD13"/>
  <c r="AC13"/>
  <c r="AB13"/>
  <c r="Z13"/>
  <c r="BO13" s="1"/>
  <c r="Y13"/>
  <c r="V13"/>
  <c r="X13" s="1"/>
  <c r="W13" s="1"/>
  <c r="AF13" s="1"/>
  <c r="E13"/>
  <c r="BP13" s="1"/>
  <c r="BI12"/>
  <c r="AX12"/>
  <c r="AW12"/>
  <c r="AV12"/>
  <c r="AU12"/>
  <c r="AR12"/>
  <c r="AK12"/>
  <c r="AH12"/>
  <c r="BE12" s="1"/>
  <c r="AD12"/>
  <c r="AC12"/>
  <c r="AB12"/>
  <c r="Z12"/>
  <c r="BO12" s="1"/>
  <c r="Y12"/>
  <c r="V12"/>
  <c r="E12" s="1"/>
  <c r="BP12" s="1"/>
  <c r="BI11"/>
  <c r="AX11"/>
  <c r="AW11"/>
  <c r="AV11"/>
  <c r="AU11"/>
  <c r="AR11"/>
  <c r="AK11"/>
  <c r="AH11"/>
  <c r="BE11" s="1"/>
  <c r="AD11"/>
  <c r="AC11"/>
  <c r="AB11"/>
  <c r="Z11"/>
  <c r="BO11" s="1"/>
  <c r="Y11"/>
  <c r="V11"/>
  <c r="W11" s="1"/>
  <c r="AF11" s="1"/>
  <c r="E11"/>
  <c r="BP11" s="1"/>
  <c r="BI10"/>
  <c r="AX10"/>
  <c r="AW10"/>
  <c r="AV10"/>
  <c r="AU10"/>
  <c r="AR10"/>
  <c r="AK10"/>
  <c r="AH10"/>
  <c r="AD10"/>
  <c r="AC10"/>
  <c r="AB10"/>
  <c r="AE10" s="1"/>
  <c r="Z10"/>
  <c r="BO10" s="1"/>
  <c r="Y10"/>
  <c r="V10"/>
  <c r="E10"/>
  <c r="BP10" s="1"/>
  <c r="BI9"/>
  <c r="AX9"/>
  <c r="AW9"/>
  <c r="AV9"/>
  <c r="AU9"/>
  <c r="AR9"/>
  <c r="AK9"/>
  <c r="AH9"/>
  <c r="BE9" s="1"/>
  <c r="AD9"/>
  <c r="AC9"/>
  <c r="AB9"/>
  <c r="Z9"/>
  <c r="BO9" s="1"/>
  <c r="Y9"/>
  <c r="V9"/>
  <c r="X9" s="1"/>
  <c r="E9"/>
  <c r="BP9" s="1"/>
  <c r="BI8"/>
  <c r="AX8"/>
  <c r="AW8"/>
  <c r="AV8"/>
  <c r="AU8"/>
  <c r="AR8"/>
  <c r="AK8"/>
  <c r="AH8"/>
  <c r="BE8" s="1"/>
  <c r="AD8"/>
  <c r="AC8"/>
  <c r="AB8"/>
  <c r="AE8" s="1"/>
  <c r="Z8"/>
  <c r="Y8"/>
  <c r="V8"/>
  <c r="W8" s="1"/>
  <c r="E8"/>
  <c r="BP8" s="1"/>
  <c r="BI7"/>
  <c r="BG8" l="1"/>
  <c r="BO8"/>
  <c r="AE9"/>
  <c r="BF23"/>
  <c r="AA11"/>
  <c r="AE11"/>
  <c r="AE12"/>
  <c r="AA13"/>
  <c r="AE13"/>
  <c r="BH8"/>
  <c r="BG9"/>
  <c r="BG10"/>
  <c r="AA12"/>
  <c r="BH13"/>
  <c r="AA8"/>
  <c r="AA9"/>
  <c r="BH9"/>
  <c r="AA10"/>
  <c r="BH10"/>
  <c r="BG11"/>
  <c r="BG12"/>
  <c r="BG13"/>
  <c r="BD12"/>
  <c r="BC12" s="1"/>
  <c r="BD8"/>
  <c r="BC8" s="1"/>
  <c r="A52" i="32"/>
  <c r="AG18" i="28"/>
  <c r="AF18" s="1"/>
  <c r="AJ18" s="1"/>
  <c r="AJ16"/>
  <c r="BF29"/>
  <c r="BF26"/>
  <c r="BF32"/>
  <c r="BF35"/>
  <c r="BF30"/>
  <c r="AF8"/>
  <c r="AF15"/>
  <c r="W9"/>
  <c r="AG9"/>
  <c r="BJ22"/>
  <c r="BK22" s="1"/>
  <c r="BL22" s="1"/>
  <c r="BM22" s="1"/>
  <c r="AF19"/>
  <c r="AS25"/>
  <c r="BF25" s="1"/>
  <c r="AQ25"/>
  <c r="AO25"/>
  <c r="AM25"/>
  <c r="AT25"/>
  <c r="AP25"/>
  <c r="AN25"/>
  <c r="AL25"/>
  <c r="AJ25"/>
  <c r="AS16"/>
  <c r="AQ16"/>
  <c r="AO16"/>
  <c r="AM16"/>
  <c r="AT16"/>
  <c r="AP16"/>
  <c r="AN16"/>
  <c r="AL16"/>
  <c r="X8"/>
  <c r="AG8" s="1"/>
  <c r="AJ8"/>
  <c r="BD9"/>
  <c r="BC9" s="1"/>
  <c r="X10"/>
  <c r="W10" s="1"/>
  <c r="X11"/>
  <c r="AG11" s="1"/>
  <c r="AZ11" s="1"/>
  <c r="BD11"/>
  <c r="BC11" s="1"/>
  <c r="W12"/>
  <c r="AF12" s="1"/>
  <c r="AG13"/>
  <c r="AZ13" s="1"/>
  <c r="AJ21"/>
  <c r="BB29"/>
  <c r="BA29" s="1"/>
  <c r="BB26"/>
  <c r="BB32"/>
  <c r="BA32" s="1"/>
  <c r="BB35"/>
  <c r="BF27"/>
  <c r="BB23"/>
  <c r="BA23" s="1"/>
  <c r="BF24"/>
  <c r="BB24"/>
  <c r="BB30"/>
  <c r="BA30" s="1"/>
  <c r="AO14"/>
  <c r="AS14"/>
  <c r="AN14"/>
  <c r="AT14"/>
  <c r="AJ14"/>
  <c r="BJ42"/>
  <c r="BK42" s="1"/>
  <c r="BL42" s="1"/>
  <c r="BM42" s="1"/>
  <c r="W20"/>
  <c r="AG20"/>
  <c r="AT18"/>
  <c r="AP18"/>
  <c r="AN18"/>
  <c r="AL18"/>
  <c r="AS18"/>
  <c r="AQ18"/>
  <c r="AO18"/>
  <c r="AM18"/>
  <c r="AF17"/>
  <c r="AS21"/>
  <c r="BF21" s="1"/>
  <c r="AQ21"/>
  <c r="AO21"/>
  <c r="AM21"/>
  <c r="AT21"/>
  <c r="AP21"/>
  <c r="AN21"/>
  <c r="AL21"/>
  <c r="AG10"/>
  <c r="X12"/>
  <c r="AG12" s="1"/>
  <c r="AJ12" s="1"/>
  <c r="BB27"/>
  <c r="AM14"/>
  <c r="AQ14"/>
  <c r="AL14"/>
  <c r="AP14"/>
  <c r="AX7"/>
  <c r="AW7"/>
  <c r="AV7"/>
  <c r="AU7"/>
  <c r="AR7"/>
  <c r="AK7"/>
  <c r="AH7"/>
  <c r="BE7" s="1"/>
  <c r="AD7"/>
  <c r="AC7"/>
  <c r="AB7"/>
  <c r="AE7" s="1"/>
  <c r="Z7"/>
  <c r="BO7" s="1"/>
  <c r="Y7"/>
  <c r="V7"/>
  <c r="X7" s="1"/>
  <c r="W7" s="1"/>
  <c r="E7"/>
  <c r="BP7" s="1"/>
  <c r="BI6"/>
  <c r="AX6"/>
  <c r="AW6"/>
  <c r="AV6"/>
  <c r="AU6"/>
  <c r="AR6"/>
  <c r="AK6"/>
  <c r="AH6"/>
  <c r="BE6" s="1"/>
  <c r="AD6"/>
  <c r="AC6"/>
  <c r="AB6"/>
  <c r="Z6"/>
  <c r="Y6"/>
  <c r="V6"/>
  <c r="W6" s="1"/>
  <c r="E6"/>
  <c r="BP6" s="1"/>
  <c r="BI5"/>
  <c r="AX5"/>
  <c r="AW5"/>
  <c r="AV5"/>
  <c r="AU5"/>
  <c r="AR5"/>
  <c r="AK5"/>
  <c r="AH5"/>
  <c r="BG6" l="1"/>
  <c r="BO6"/>
  <c r="AE6"/>
  <c r="BB18"/>
  <c r="BF18"/>
  <c r="BA24"/>
  <c r="BG7"/>
  <c r="BH6"/>
  <c r="AA6"/>
  <c r="AA7"/>
  <c r="A53" i="32"/>
  <c r="BB14" i="28"/>
  <c r="BA35"/>
  <c r="AZ8"/>
  <c r="BJ30"/>
  <c r="BK30" s="1"/>
  <c r="BL30" s="1"/>
  <c r="BM30" s="1"/>
  <c r="BJ32"/>
  <c r="BK32" s="1"/>
  <c r="BL32" s="1"/>
  <c r="BM32" s="1"/>
  <c r="AS17"/>
  <c r="AQ17"/>
  <c r="AO17"/>
  <c r="AL17"/>
  <c r="AT17"/>
  <c r="AP17"/>
  <c r="AN17"/>
  <c r="AM17" s="1"/>
  <c r="AJ17"/>
  <c r="AF20"/>
  <c r="BJ23"/>
  <c r="BK23" s="1"/>
  <c r="BL23" s="1"/>
  <c r="BM23" s="1"/>
  <c r="BJ29"/>
  <c r="BK29" s="1"/>
  <c r="BL29" s="1"/>
  <c r="BM29" s="1"/>
  <c r="BJ35"/>
  <c r="BK35" s="1"/>
  <c r="BL35" s="1"/>
  <c r="BM35" s="1"/>
  <c r="AF10"/>
  <c r="AT19"/>
  <c r="AP19"/>
  <c r="AN19"/>
  <c r="AL19"/>
  <c r="AS19"/>
  <c r="AQ19"/>
  <c r="AO19"/>
  <c r="AM19"/>
  <c r="AJ19"/>
  <c r="AS15"/>
  <c r="AQ15"/>
  <c r="AO15"/>
  <c r="AL15"/>
  <c r="AT15"/>
  <c r="AP15"/>
  <c r="AN15"/>
  <c r="AM15" s="1"/>
  <c r="AJ15"/>
  <c r="AP8"/>
  <c r="AL8"/>
  <c r="AS8"/>
  <c r="AQ8"/>
  <c r="AO8"/>
  <c r="AM8"/>
  <c r="AT8"/>
  <c r="AN8"/>
  <c r="X6"/>
  <c r="AG6" s="1"/>
  <c r="AF7"/>
  <c r="BF14"/>
  <c r="BA14" s="1"/>
  <c r="AZ17"/>
  <c r="BB16"/>
  <c r="AL13"/>
  <c r="AP13"/>
  <c r="AM13"/>
  <c r="AQ13"/>
  <c r="AM11"/>
  <c r="AQ11"/>
  <c r="AJ11"/>
  <c r="AN11"/>
  <c r="AT11"/>
  <c r="AS12"/>
  <c r="AQ12"/>
  <c r="AP12" s="1"/>
  <c r="AN12"/>
  <c r="AL12"/>
  <c r="AT12"/>
  <c r="AO12"/>
  <c r="AM12"/>
  <c r="AF9"/>
  <c r="AZ9" s="1"/>
  <c r="BD6"/>
  <c r="BC6" s="1"/>
  <c r="AG7"/>
  <c r="BD7"/>
  <c r="BC7" s="1"/>
  <c r="BB21"/>
  <c r="BA21" s="1"/>
  <c r="AZ20"/>
  <c r="BF16"/>
  <c r="BB25"/>
  <c r="BA25" s="1"/>
  <c r="AZ19"/>
  <c r="AN13"/>
  <c r="AT13"/>
  <c r="AO13"/>
  <c r="AS13"/>
  <c r="BF13" s="1"/>
  <c r="BE13" s="1"/>
  <c r="BD13" s="1"/>
  <c r="BC13" s="1"/>
  <c r="AO11"/>
  <c r="AS11"/>
  <c r="BF11" s="1"/>
  <c r="AL11"/>
  <c r="AP11"/>
  <c r="BB11" s="1"/>
  <c r="BA11" s="1"/>
  <c r="AJ13"/>
  <c r="AZ15"/>
  <c r="AD5"/>
  <c r="AC5"/>
  <c r="AB5"/>
  <c r="Z5"/>
  <c r="Y5"/>
  <c r="V5"/>
  <c r="X5" s="1"/>
  <c r="E5"/>
  <c r="BP5" s="1"/>
  <c r="AA5" l="1"/>
  <c r="BO5"/>
  <c r="AE5"/>
  <c r="BF8"/>
  <c r="BG5"/>
  <c r="BH5"/>
  <c r="A54" i="32"/>
  <c r="BF15" i="28"/>
  <c r="BJ11"/>
  <c r="BK11" s="1"/>
  <c r="BL11" s="1"/>
  <c r="BM11" s="1"/>
  <c r="BH11"/>
  <c r="BJ14"/>
  <c r="BK14" s="1"/>
  <c r="BL14" s="1"/>
  <c r="BM14" s="1"/>
  <c r="BJ25"/>
  <c r="BK25" s="1"/>
  <c r="BL25" s="1"/>
  <c r="BM25" s="1"/>
  <c r="BH25"/>
  <c r="BJ21"/>
  <c r="BK21" s="1"/>
  <c r="BL21" s="1"/>
  <c r="BM21" s="1"/>
  <c r="AS7"/>
  <c r="AQ7"/>
  <c r="AO7"/>
  <c r="AN7" s="1"/>
  <c r="AL7"/>
  <c r="AT7"/>
  <c r="AP7"/>
  <c r="AM7"/>
  <c r="AS10"/>
  <c r="AQ10"/>
  <c r="AO10"/>
  <c r="AM10"/>
  <c r="AT10"/>
  <c r="AP10"/>
  <c r="AN10"/>
  <c r="AL10"/>
  <c r="AJ10"/>
  <c r="BF12"/>
  <c r="BB13"/>
  <c r="BA13" s="1"/>
  <c r="BA16"/>
  <c r="BB8"/>
  <c r="BA8" s="1"/>
  <c r="BB19"/>
  <c r="BB17"/>
  <c r="AJ7"/>
  <c r="W5"/>
  <c r="AG5"/>
  <c r="AT9"/>
  <c r="AP9"/>
  <c r="AM9"/>
  <c r="AS9"/>
  <c r="AQ9"/>
  <c r="AO9"/>
  <c r="AN9" s="1"/>
  <c r="AL9"/>
  <c r="AJ9"/>
  <c r="AF6"/>
  <c r="AZ6" s="1"/>
  <c r="AT20"/>
  <c r="AP20"/>
  <c r="AN20"/>
  <c r="AL20"/>
  <c r="AS20"/>
  <c r="AQ20"/>
  <c r="AO20"/>
  <c r="AM20"/>
  <c r="AJ20"/>
  <c r="BB12"/>
  <c r="BB15"/>
  <c r="BA15" s="1"/>
  <c r="BF19"/>
  <c r="BA19" s="1"/>
  <c r="BF17"/>
  <c r="BI4"/>
  <c r="AX4"/>
  <c r="AW4"/>
  <c r="AV4"/>
  <c r="AU4"/>
  <c r="AR4"/>
  <c r="AK4"/>
  <c r="BD4" s="1"/>
  <c r="AH4"/>
  <c r="BE4" s="1"/>
  <c r="AD4"/>
  <c r="AC4"/>
  <c r="AB4"/>
  <c r="Z4"/>
  <c r="BO4" s="1"/>
  <c r="Y4"/>
  <c r="W4"/>
  <c r="V4"/>
  <c r="E4"/>
  <c r="BP4" s="1"/>
  <c r="BI3"/>
  <c r="AX3"/>
  <c r="AT3"/>
  <c r="AS3"/>
  <c r="AR3"/>
  <c r="AQ3"/>
  <c r="AP3"/>
  <c r="AO3"/>
  <c r="AN3"/>
  <c r="AM3"/>
  <c r="AL3"/>
  <c r="AK3"/>
  <c r="AH3"/>
  <c r="BE3" s="1"/>
  <c r="AF3"/>
  <c r="AD3"/>
  <c r="AC3"/>
  <c r="AB3"/>
  <c r="Z3"/>
  <c r="BO3" s="1"/>
  <c r="Y3"/>
  <c r="AG3" s="1"/>
  <c r="V3"/>
  <c r="X3" s="1"/>
  <c r="W3" s="1"/>
  <c r="AJ3" s="1"/>
  <c r="E3"/>
  <c r="BP3" s="1"/>
  <c r="A3"/>
  <c r="A4" s="1"/>
  <c r="A5" s="1"/>
  <c r="A6" s="1"/>
  <c r="BI2"/>
  <c r="AX2"/>
  <c r="AT2"/>
  <c r="AS2"/>
  <c r="AR2"/>
  <c r="AQ2"/>
  <c r="AP2"/>
  <c r="AO2"/>
  <c r="AN2"/>
  <c r="AM2"/>
  <c r="AL2"/>
  <c r="AK2"/>
  <c r="AI2"/>
  <c r="AH2"/>
  <c r="BE2" s="1"/>
  <c r="AF2"/>
  <c r="AD2"/>
  <c r="AC2"/>
  <c r="AB2"/>
  <c r="AE2" s="1"/>
  <c r="Z2"/>
  <c r="Y2"/>
  <c r="V2"/>
  <c r="E2"/>
  <c r="BP2" s="1"/>
  <c r="B14" i="24"/>
  <c r="AA2" i="28" l="1"/>
  <c r="BO2"/>
  <c r="AE3"/>
  <c r="AE4"/>
  <c r="BF20"/>
  <c r="A7"/>
  <c r="AY6"/>
  <c r="AY2"/>
  <c r="AA3"/>
  <c r="AZ3" s="1"/>
  <c r="AY3"/>
  <c r="AA4"/>
  <c r="BC4"/>
  <c r="AY4"/>
  <c r="BG4"/>
  <c r="A55" i="32"/>
  <c r="BJ15" i="28"/>
  <c r="BK15" s="1"/>
  <c r="BL15" s="1"/>
  <c r="BM15" s="1"/>
  <c r="AU3"/>
  <c r="BJ19"/>
  <c r="BK19" s="1"/>
  <c r="BL19" s="1"/>
  <c r="BM19" s="1"/>
  <c r="BJ16"/>
  <c r="BK16" s="1"/>
  <c r="BL16" s="1"/>
  <c r="BM16" s="1"/>
  <c r="AW3"/>
  <c r="AV3" s="1"/>
  <c r="BB20"/>
  <c r="BA20" s="1"/>
  <c r="BF9"/>
  <c r="BB9"/>
  <c r="BF10"/>
  <c r="BE10" s="1"/>
  <c r="BD10" s="1"/>
  <c r="BC10" s="1"/>
  <c r="BB7"/>
  <c r="AS6"/>
  <c r="AQ6"/>
  <c r="AO6"/>
  <c r="AM6"/>
  <c r="AT6"/>
  <c r="AP6"/>
  <c r="AN6"/>
  <c r="AL6"/>
  <c r="AJ6"/>
  <c r="AF5"/>
  <c r="BJ8"/>
  <c r="BK8" s="1"/>
  <c r="BL8" s="1"/>
  <c r="BM8" s="1"/>
  <c r="BJ13"/>
  <c r="BK13" s="1"/>
  <c r="BL13" s="1"/>
  <c r="BM13" s="1"/>
  <c r="X2"/>
  <c r="W2" s="1"/>
  <c r="AJ2" s="1"/>
  <c r="AG2"/>
  <c r="AZ2" s="1"/>
  <c r="BD3"/>
  <c r="BC3" s="1"/>
  <c r="BB3" s="1"/>
  <c r="X4"/>
  <c r="AG4" s="1"/>
  <c r="AF4"/>
  <c r="BA17"/>
  <c r="BB10"/>
  <c r="BF7"/>
  <c r="C56" i="26"/>
  <c r="BA9" i="28" l="1"/>
  <c r="A8"/>
  <c r="AY7"/>
  <c r="A56" i="32"/>
  <c r="AJ4" i="28"/>
  <c r="BF6"/>
  <c r="BJ9"/>
  <c r="BK9" s="1"/>
  <c r="BL9" s="1"/>
  <c r="BM9" s="1"/>
  <c r="BJ20"/>
  <c r="BK20" s="1"/>
  <c r="BL20" s="1"/>
  <c r="BM20" s="1"/>
  <c r="AT5"/>
  <c r="AP5"/>
  <c r="AN5"/>
  <c r="AL5"/>
  <c r="AQ5"/>
  <c r="AM5"/>
  <c r="AS5"/>
  <c r="BF5" s="1"/>
  <c r="BE5" s="1"/>
  <c r="BD5" s="1"/>
  <c r="BC5" s="1"/>
  <c r="AO5"/>
  <c r="AJ5"/>
  <c r="AU2"/>
  <c r="BD2" s="1"/>
  <c r="AV2"/>
  <c r="BJ17"/>
  <c r="BK17" s="1"/>
  <c r="BL17" s="1"/>
  <c r="BM17" s="1"/>
  <c r="AT4"/>
  <c r="AP4"/>
  <c r="AN4"/>
  <c r="AL4"/>
  <c r="AS4"/>
  <c r="AQ4"/>
  <c r="AO4"/>
  <c r="AM4"/>
  <c r="BB6"/>
  <c r="BA6" s="1"/>
  <c r="AW2"/>
  <c r="F91" i="23"/>
  <c r="F90"/>
  <c r="F89"/>
  <c r="F88"/>
  <c r="F87"/>
  <c r="F86"/>
  <c r="F85"/>
  <c r="A9" i="28" l="1"/>
  <c r="AY8"/>
  <c r="A57" i="32"/>
  <c r="BJ6" i="28"/>
  <c r="BK6" s="1"/>
  <c r="BL6" s="1"/>
  <c r="BM6" s="1"/>
  <c r="BF4"/>
  <c r="BC2"/>
  <c r="BB2" s="1"/>
  <c r="BB4"/>
  <c r="BB5"/>
  <c r="F84" i="23"/>
  <c r="AY9" i="28" l="1"/>
  <c r="A10"/>
  <c r="A58" i="32"/>
  <c r="F83" i="23"/>
  <c r="AY10" i="28" l="1"/>
  <c r="A11"/>
  <c r="A59" i="32"/>
  <c r="F82" i="23"/>
  <c r="A12" i="28" l="1"/>
  <c r="AY11"/>
  <c r="A60" i="32"/>
  <c r="F81" i="23"/>
  <c r="AY12" i="28" l="1"/>
  <c r="A13"/>
  <c r="A61" i="32"/>
  <c r="F80" i="23"/>
  <c r="F79"/>
  <c r="F78"/>
  <c r="F77"/>
  <c r="F76"/>
  <c r="F75"/>
  <c r="F74"/>
  <c r="F73"/>
  <c r="A14" i="28" l="1"/>
  <c r="AY13"/>
  <c r="A62" i="32"/>
  <c r="F72" i="23"/>
  <c r="A15" i="28" l="1"/>
  <c r="AY14"/>
  <c r="A63" i="32"/>
  <c r="F71" i="23"/>
  <c r="AY15" i="28" l="1"/>
  <c r="A16"/>
  <c r="A64" i="32"/>
  <c r="F70" i="23"/>
  <c r="A17" i="28" l="1"/>
  <c r="AY16"/>
  <c r="D20" i="53"/>
  <c r="D21"/>
  <c r="D16"/>
  <c r="D17"/>
  <c r="D18"/>
  <c r="D19"/>
  <c r="D15"/>
  <c r="H41" i="48"/>
  <c r="H35"/>
  <c r="H23"/>
  <c r="H26"/>
  <c r="H17"/>
  <c r="H11"/>
  <c r="H44"/>
  <c r="H38"/>
  <c r="H32"/>
  <c r="H29"/>
  <c r="H20"/>
  <c r="H14"/>
  <c r="A65" i="32"/>
  <c r="F69" i="23"/>
  <c r="AY17" i="28" l="1"/>
  <c r="A18"/>
  <c r="A19" s="1"/>
  <c r="A66" i="32"/>
  <c r="F68" i="23"/>
  <c r="AY19" i="28" l="1"/>
  <c r="A20"/>
  <c r="A67" i="32"/>
  <c r="F67" i="23"/>
  <c r="AY20" i="28" l="1"/>
  <c r="A21"/>
  <c r="A68" i="32"/>
  <c r="F66" i="23"/>
  <c r="A22" i="28" l="1"/>
  <c r="AY21"/>
  <c r="A69" i="32"/>
  <c r="F65" i="23"/>
  <c r="A23" i="28" l="1"/>
  <c r="AY22"/>
  <c r="A70" i="32"/>
  <c r="F64" i="23"/>
  <c r="A24" i="28" l="1"/>
  <c r="AY23"/>
  <c r="A71" i="32"/>
  <c r="F63" i="23"/>
  <c r="A25" i="28" l="1"/>
  <c r="AY24"/>
  <c r="A72" i="32"/>
  <c r="F62" i="23"/>
  <c r="A26" i="28" l="1"/>
  <c r="AY25"/>
  <c r="A73" i="32"/>
  <c r="F61" i="23"/>
  <c r="AY26" i="28" l="1"/>
  <c r="A27"/>
  <c r="A28" s="1"/>
  <c r="A74" i="32"/>
  <c r="F60" i="23"/>
  <c r="A29" i="28" l="1"/>
  <c r="AY28"/>
  <c r="A75" i="32"/>
  <c r="F59" i="23"/>
  <c r="A30" i="28" l="1"/>
  <c r="AY29"/>
  <c r="A76" i="32"/>
  <c r="F58" i="23"/>
  <c r="A31" i="28" l="1"/>
  <c r="AY30"/>
  <c r="A77" i="32"/>
  <c r="F57" i="23"/>
  <c r="A32" i="28" l="1"/>
  <c r="AY31"/>
  <c r="A78" i="32"/>
  <c r="F56" i="23"/>
  <c r="A33" i="28" l="1"/>
  <c r="AY32"/>
  <c r="A79" i="32"/>
  <c r="F55" i="23"/>
  <c r="A34" i="28" l="1"/>
  <c r="AY33"/>
  <c r="A80" i="32"/>
  <c r="A81" s="1"/>
  <c r="A82" s="1"/>
  <c r="A83" s="1"/>
  <c r="A84" s="1"/>
  <c r="A85" s="1"/>
  <c r="A86" s="1"/>
  <c r="A87" s="1"/>
  <c r="A88" s="1"/>
  <c r="A89" s="1"/>
  <c r="A90" s="1"/>
  <c r="A91" s="1"/>
  <c r="A92" s="1"/>
  <c r="A93" s="1"/>
  <c r="A94" s="1"/>
  <c r="A95" s="1"/>
  <c r="A96" s="1"/>
  <c r="F54" i="23"/>
  <c r="AY34" i="28" l="1"/>
  <c r="A35"/>
  <c r="A97" i="32"/>
  <c r="A98" s="1"/>
  <c r="A99" s="1"/>
  <c r="A100" s="1"/>
  <c r="F53" i="23"/>
  <c r="A36" i="28" l="1"/>
  <c r="A37" s="1"/>
  <c r="AY35"/>
  <c r="F52" i="23"/>
  <c r="A38" i="28" l="1"/>
  <c r="AY37"/>
  <c r="F51" i="23"/>
  <c r="A39" i="28" l="1"/>
  <c r="AY38"/>
  <c r="F50" i="23"/>
  <c r="AY39" i="28" l="1"/>
  <c r="A40"/>
  <c r="F49" i="23"/>
  <c r="A41" i="28" l="1"/>
  <c r="AY40"/>
  <c r="F48" i="23"/>
  <c r="AY41" i="28" l="1"/>
  <c r="A42"/>
  <c r="F47" i="23"/>
  <c r="A43" i="28" l="1"/>
  <c r="A44" s="1"/>
  <c r="AY42"/>
  <c r="F46" i="23"/>
  <c r="A45" i="28" l="1"/>
  <c r="AY44"/>
  <c r="F45" i="23"/>
  <c r="A46" i="28" l="1"/>
  <c r="AY45"/>
  <c r="F44" i="23"/>
  <c r="F43"/>
  <c r="AY46" i="28" l="1"/>
  <c r="A47"/>
  <c r="F42" i="23"/>
  <c r="F41"/>
  <c r="A48" i="28" l="1"/>
  <c r="AY47"/>
  <c r="F40" i="23"/>
  <c r="F39"/>
  <c r="F38"/>
  <c r="F37"/>
  <c r="F36"/>
  <c r="F35"/>
  <c r="F34"/>
  <c r="F33"/>
  <c r="F32"/>
  <c r="F31"/>
  <c r="F30"/>
  <c r="F29"/>
  <c r="F28"/>
  <c r="F27"/>
  <c r="F26"/>
  <c r="F25"/>
  <c r="F24"/>
  <c r="AY48" i="28" l="1"/>
  <c r="A49"/>
  <c r="F23" i="23"/>
  <c r="F22"/>
  <c r="F21"/>
  <c r="F20"/>
  <c r="F19"/>
  <c r="A50" i="28" l="1"/>
  <c r="AY49"/>
  <c r="F18" i="23"/>
  <c r="F17"/>
  <c r="F16"/>
  <c r="F15"/>
  <c r="F14"/>
  <c r="H42" i="39"/>
  <c r="AY50" i="28" l="1"/>
  <c r="A51"/>
  <c r="F42" i="39"/>
  <c r="E42"/>
  <c r="D42"/>
  <c r="B42"/>
  <c r="H41"/>
  <c r="F41"/>
  <c r="E41"/>
  <c r="D41"/>
  <c r="B41"/>
  <c r="H40"/>
  <c r="F40"/>
  <c r="E40"/>
  <c r="D40"/>
  <c r="B40"/>
  <c r="H39"/>
  <c r="F39"/>
  <c r="E39"/>
  <c r="D39"/>
  <c r="B39"/>
  <c r="H38"/>
  <c r="F38"/>
  <c r="E38"/>
  <c r="D38"/>
  <c r="B38"/>
  <c r="H37"/>
  <c r="F37"/>
  <c r="E37"/>
  <c r="D37"/>
  <c r="B37"/>
  <c r="H36"/>
  <c r="F36"/>
  <c r="E36"/>
  <c r="D36"/>
  <c r="B36"/>
  <c r="F35"/>
  <c r="F34"/>
  <c r="F33"/>
  <c r="F32"/>
  <c r="F31"/>
  <c r="F30"/>
  <c r="F29"/>
  <c r="F28"/>
  <c r="F27"/>
  <c r="F26"/>
  <c r="F25"/>
  <c r="F24"/>
  <c r="F23"/>
  <c r="F22"/>
  <c r="F21"/>
  <c r="F20"/>
  <c r="F19"/>
  <c r="A52" i="28" l="1"/>
  <c r="AY51"/>
  <c r="F18" i="39"/>
  <c r="F17"/>
  <c r="F16"/>
  <c r="AY52" i="28" l="1"/>
  <c r="A53"/>
  <c r="F15" i="39"/>
  <c r="F14"/>
  <c r="A54" i="28" l="1"/>
  <c r="AY53"/>
  <c r="D499" i="3"/>
  <c r="AY54" i="28" l="1"/>
  <c r="A55"/>
  <c r="B499" i="3"/>
  <c r="D498"/>
  <c r="A56" i="28" l="1"/>
  <c r="AY55"/>
  <c r="B498" i="3"/>
  <c r="D497"/>
  <c r="A57" i="28" l="1"/>
  <c r="AY56"/>
  <c r="B497" i="3"/>
  <c r="AY57" i="28" l="1"/>
  <c r="A58"/>
  <c r="D496" i="3"/>
  <c r="A59" i="28" l="1"/>
  <c r="AY58"/>
  <c r="B496" i="3"/>
  <c r="D495"/>
  <c r="A60" i="28" l="1"/>
  <c r="AY59"/>
  <c r="B495" i="3"/>
  <c r="D494"/>
  <c r="AY60" i="28" l="1"/>
  <c r="A61"/>
  <c r="B494" i="3"/>
  <c r="D493"/>
  <c r="A62" i="28" l="1"/>
  <c r="AY61"/>
  <c r="B493" i="3"/>
  <c r="D492"/>
  <c r="A63" i="28" l="1"/>
  <c r="AY62"/>
  <c r="B492" i="3"/>
  <c r="D491"/>
  <c r="A64" i="28" l="1"/>
  <c r="AY63"/>
  <c r="B491" i="3"/>
  <c r="D490"/>
  <c r="AY64" i="28" l="1"/>
  <c r="A65"/>
  <c r="B490" i="3"/>
  <c r="D489"/>
  <c r="AY65" i="28" l="1"/>
  <c r="A66"/>
  <c r="B489" i="3"/>
  <c r="D488"/>
  <c r="A67" i="28" l="1"/>
  <c r="AY66"/>
  <c r="B488" i="3"/>
  <c r="D487"/>
  <c r="AY67" i="28" l="1"/>
  <c r="A68"/>
  <c r="B487" i="3"/>
  <c r="D486"/>
  <c r="A69" i="28" l="1"/>
  <c r="AY68"/>
  <c r="B486" i="3"/>
  <c r="D485"/>
  <c r="A70" i="28" l="1"/>
  <c r="AY69"/>
  <c r="B485" i="3"/>
  <c r="D484"/>
  <c r="AY70" i="28" l="1"/>
  <c r="A71"/>
  <c r="B484" i="3"/>
  <c r="D483"/>
  <c r="A72" i="28" l="1"/>
  <c r="AY71"/>
  <c r="B483" i="3"/>
  <c r="D482"/>
  <c r="A73" i="28" l="1"/>
  <c r="AY72"/>
  <c r="B482" i="3"/>
  <c r="D481"/>
  <c r="AY73" i="28" l="1"/>
  <c r="A74"/>
  <c r="B481" i="3"/>
  <c r="D480"/>
  <c r="AY74" i="28" l="1"/>
  <c r="A75"/>
  <c r="B480" i="3"/>
  <c r="D479"/>
  <c r="A76" i="28" l="1"/>
  <c r="AY75"/>
  <c r="B479" i="3"/>
  <c r="D478"/>
  <c r="AY76" i="28" l="1"/>
  <c r="A77"/>
  <c r="B478" i="3"/>
  <c r="D477"/>
  <c r="AY77" i="28" l="1"/>
  <c r="A78"/>
  <c r="B477" i="3"/>
  <c r="D476"/>
  <c r="A79" i="28" l="1"/>
  <c r="AY78"/>
  <c r="B476" i="3"/>
  <c r="D475"/>
  <c r="AY79" i="28" l="1"/>
  <c r="A80"/>
  <c r="B475" i="3"/>
  <c r="D474"/>
  <c r="AY80" i="28" l="1"/>
  <c r="A81"/>
  <c r="B474" i="3"/>
  <c r="D473"/>
  <c r="A82" i="28" l="1"/>
  <c r="AY81"/>
  <c r="B473" i="3"/>
  <c r="D472"/>
  <c r="A83" i="28" l="1"/>
  <c r="AY82"/>
  <c r="B472" i="3"/>
  <c r="D471"/>
  <c r="A84" i="28" l="1"/>
  <c r="AY83"/>
  <c r="B471" i="3"/>
  <c r="D470"/>
  <c r="AY84" i="28" l="1"/>
  <c r="A85"/>
  <c r="B470" i="3"/>
  <c r="D469"/>
  <c r="A86" i="28" l="1"/>
  <c r="AY85"/>
  <c r="B469" i="3"/>
  <c r="D468"/>
  <c r="AY86" i="28" l="1"/>
  <c r="A87"/>
  <c r="B468" i="3"/>
  <c r="D467"/>
  <c r="AY87" i="28" l="1"/>
  <c r="A88"/>
  <c r="B467" i="3"/>
  <c r="D466"/>
  <c r="A89" i="28" l="1"/>
  <c r="AY88"/>
  <c r="B466" i="3"/>
  <c r="D465"/>
  <c r="A90" i="28" l="1"/>
  <c r="AY89"/>
  <c r="B465" i="3"/>
  <c r="D464"/>
  <c r="A91" i="28" l="1"/>
  <c r="AY90"/>
  <c r="B464" i="3"/>
  <c r="D463"/>
  <c r="A92" i="28" l="1"/>
  <c r="AY91"/>
  <c r="B463" i="3"/>
  <c r="D462"/>
  <c r="AY92" i="28" l="1"/>
  <c r="A93"/>
  <c r="B462" i="3"/>
  <c r="D461"/>
  <c r="A94" i="28" l="1"/>
  <c r="AY93"/>
  <c r="B461" i="3"/>
  <c r="D460"/>
  <c r="A95" i="28" l="1"/>
  <c r="AY94"/>
  <c r="B460" i="3"/>
  <c r="D459"/>
  <c r="A96" i="28" l="1"/>
  <c r="AY95"/>
  <c r="B459" i="3"/>
  <c r="D458"/>
  <c r="A97" i="28" l="1"/>
  <c r="AY96"/>
  <c r="B458" i="3"/>
  <c r="D457"/>
  <c r="A98" i="28" l="1"/>
  <c r="AY97"/>
  <c r="B457" i="3"/>
  <c r="D456"/>
  <c r="A99" i="28" l="1"/>
  <c r="AY98"/>
  <c r="B456" i="3"/>
  <c r="D455"/>
  <c r="AY99" i="28" l="1"/>
  <c r="A100"/>
  <c r="B455" i="3"/>
  <c r="D454"/>
  <c r="A101" i="28" l="1"/>
  <c r="AY100"/>
  <c r="B454" i="3"/>
  <c r="D453"/>
  <c r="A102" i="28" l="1"/>
  <c r="AY101"/>
  <c r="B453" i="3"/>
  <c r="D452"/>
  <c r="A103" i="28" l="1"/>
  <c r="AY102"/>
  <c r="B452" i="3"/>
  <c r="D451"/>
  <c r="A104" i="28" l="1"/>
  <c r="AY103"/>
  <c r="B451" i="3"/>
  <c r="D450"/>
  <c r="A105" i="28" l="1"/>
  <c r="AY104"/>
  <c r="B450" i="3"/>
  <c r="D449"/>
  <c r="AY105" i="28" l="1"/>
  <c r="A106"/>
  <c r="B449" i="3"/>
  <c r="D448"/>
  <c r="AY106" i="28" l="1"/>
  <c r="A107"/>
  <c r="B448" i="3"/>
  <c r="D447"/>
  <c r="A108" i="28" l="1"/>
  <c r="AY107"/>
  <c r="B447" i="3"/>
  <c r="D446"/>
  <c r="A109" i="28" l="1"/>
  <c r="AY108"/>
  <c r="B446" i="3"/>
  <c r="D445"/>
  <c r="A110" i="28" l="1"/>
  <c r="AY109"/>
  <c r="B445" i="3"/>
  <c r="D444"/>
  <c r="AY110" i="28" l="1"/>
  <c r="A111"/>
  <c r="B444" i="3"/>
  <c r="D443"/>
  <c r="A112" i="28" l="1"/>
  <c r="AY111"/>
  <c r="B443" i="3"/>
  <c r="D442"/>
  <c r="A113" i="28" l="1"/>
  <c r="AY112"/>
  <c r="B442" i="3"/>
  <c r="D441"/>
  <c r="A114" i="28" l="1"/>
  <c r="AY113"/>
  <c r="B441" i="3"/>
  <c r="D440"/>
  <c r="A115" i="28" l="1"/>
  <c r="AY114"/>
  <c r="B440" i="3"/>
  <c r="D439"/>
  <c r="A116" i="28" l="1"/>
  <c r="AY115"/>
  <c r="B439" i="3"/>
  <c r="D438"/>
  <c r="AY116" i="28" l="1"/>
  <c r="A117"/>
  <c r="B438" i="3"/>
  <c r="D437"/>
  <c r="A118" i="28" l="1"/>
  <c r="AY117"/>
  <c r="B437" i="3"/>
  <c r="D436"/>
  <c r="A119" i="28" l="1"/>
  <c r="AY118"/>
  <c r="B436" i="3"/>
  <c r="D435"/>
  <c r="A120" i="28" l="1"/>
  <c r="AY119"/>
  <c r="B435" i="3"/>
  <c r="D434"/>
  <c r="AY120" i="28" l="1"/>
  <c r="A121"/>
  <c r="B434" i="3"/>
  <c r="D433"/>
  <c r="A122" i="28" l="1"/>
  <c r="AY121"/>
  <c r="B433" i="3"/>
  <c r="D432"/>
  <c r="A123" i="28" l="1"/>
  <c r="AY122"/>
  <c r="B432" i="3"/>
  <c r="D431"/>
  <c r="A124" i="28" l="1"/>
  <c r="AY123"/>
  <c r="B431" i="3"/>
  <c r="D430"/>
  <c r="A125" i="28" l="1"/>
  <c r="AY124"/>
  <c r="B430" i="3"/>
  <c r="D429"/>
  <c r="A126" i="28" l="1"/>
  <c r="AY125"/>
  <c r="B429" i="3"/>
  <c r="D428"/>
  <c r="AY126" i="28" l="1"/>
  <c r="A127"/>
  <c r="B428" i="3"/>
  <c r="D427"/>
  <c r="A128" i="28" l="1"/>
  <c r="AY127"/>
  <c r="B427" i="3"/>
  <c r="D426"/>
  <c r="A129" i="28" l="1"/>
  <c r="AY128"/>
  <c r="B426" i="3"/>
  <c r="D425"/>
  <c r="A130" i="28" l="1"/>
  <c r="AY129"/>
  <c r="B425" i="3"/>
  <c r="D424"/>
  <c r="A131" i="28" l="1"/>
  <c r="AY130"/>
  <c r="B424" i="3"/>
  <c r="D423"/>
  <c r="A132" i="28" l="1"/>
  <c r="AY131"/>
  <c r="B423" i="3"/>
  <c r="D422"/>
  <c r="A133" i="28" l="1"/>
  <c r="AY132"/>
  <c r="B422" i="3"/>
  <c r="D421"/>
  <c r="A134" i="28" l="1"/>
  <c r="AY133"/>
  <c r="B421" i="3"/>
  <c r="D420"/>
  <c r="A135" i="28" l="1"/>
  <c r="AY134"/>
  <c r="B420" i="3"/>
  <c r="D419"/>
  <c r="A136" i="28" l="1"/>
  <c r="AY135"/>
  <c r="B419" i="3"/>
  <c r="D418"/>
  <c r="A137" i="28" l="1"/>
  <c r="AY136"/>
  <c r="B418" i="3"/>
  <c r="D417"/>
  <c r="A138" i="28" l="1"/>
  <c r="AY137"/>
  <c r="B417" i="3"/>
  <c r="D416"/>
  <c r="A139" i="28" l="1"/>
  <c r="AY138"/>
  <c r="B416" i="3"/>
  <c r="D415"/>
  <c r="A140" i="28" l="1"/>
  <c r="AY139"/>
  <c r="B415" i="3"/>
  <c r="D414"/>
  <c r="A141" i="28" l="1"/>
  <c r="AY140"/>
  <c r="B414" i="3"/>
  <c r="D413"/>
  <c r="A142" i="28" l="1"/>
  <c r="AY141"/>
  <c r="B413" i="3"/>
  <c r="D412"/>
  <c r="A143" i="28" l="1"/>
  <c r="AY142"/>
  <c r="B412" i="3"/>
  <c r="D411"/>
  <c r="A144" i="28" l="1"/>
  <c r="AY143"/>
  <c r="B411" i="3"/>
  <c r="D410"/>
  <c r="A145" i="28" l="1"/>
  <c r="AY144"/>
  <c r="B410" i="3"/>
  <c r="D409"/>
  <c r="A146" i="28" l="1"/>
  <c r="AY145"/>
  <c r="B409" i="3"/>
  <c r="D408"/>
  <c r="A147" i="28" l="1"/>
  <c r="AY146"/>
  <c r="B408" i="3"/>
  <c r="D407"/>
  <c r="AY147" i="28" l="1"/>
  <c r="A148"/>
  <c r="B407" i="3"/>
  <c r="D406"/>
  <c r="A149" i="28" l="1"/>
  <c r="AY148"/>
  <c r="B406" i="3"/>
  <c r="D405"/>
  <c r="A150" i="28" l="1"/>
  <c r="AY149"/>
  <c r="B405" i="3"/>
  <c r="D404"/>
  <c r="A151" i="28" l="1"/>
  <c r="AY150"/>
  <c r="B404" i="3"/>
  <c r="D403"/>
  <c r="AY151" i="28" l="1"/>
  <c r="A152"/>
  <c r="B403" i="3"/>
  <c r="D402"/>
  <c r="A153" i="28" l="1"/>
  <c r="AY152"/>
  <c r="B402" i="3"/>
  <c r="D401"/>
  <c r="A154" i="28" l="1"/>
  <c r="AY153"/>
  <c r="B401" i="3"/>
  <c r="D400"/>
  <c r="A155" i="28" l="1"/>
  <c r="AY154"/>
  <c r="B400" i="3"/>
  <c r="D399"/>
  <c r="A156" i="28" l="1"/>
  <c r="AY155"/>
  <c r="B399" i="3"/>
  <c r="D398"/>
  <c r="A157" i="28" l="1"/>
  <c r="AY156"/>
  <c r="B398" i="3"/>
  <c r="D397"/>
  <c r="A158" i="28" l="1"/>
  <c r="AY157"/>
  <c r="B397" i="3"/>
  <c r="D396"/>
  <c r="A159" i="28" l="1"/>
  <c r="AY158"/>
  <c r="B396" i="3"/>
  <c r="D395"/>
  <c r="A160" i="28" l="1"/>
  <c r="AY159"/>
  <c r="B395" i="3"/>
  <c r="D394"/>
  <c r="A161" i="28" l="1"/>
  <c r="AY160"/>
  <c r="B394" i="3"/>
  <c r="D393"/>
  <c r="A162" i="28" l="1"/>
  <c r="AY161"/>
  <c r="B393" i="3"/>
  <c r="D392"/>
  <c r="A163" i="28" l="1"/>
  <c r="AY162"/>
  <c r="B392" i="3"/>
  <c r="D391"/>
  <c r="A164" i="28" l="1"/>
  <c r="AY163"/>
  <c r="B391" i="3"/>
  <c r="D390"/>
  <c r="A165" i="28" l="1"/>
  <c r="AY164"/>
  <c r="B390" i="3"/>
  <c r="D389"/>
  <c r="A166" i="28" l="1"/>
  <c r="AY165"/>
  <c r="B389" i="3"/>
  <c r="D388"/>
  <c r="A167" i="28" l="1"/>
  <c r="AY166"/>
  <c r="B388" i="3"/>
  <c r="D387"/>
  <c r="A168" i="28" l="1"/>
  <c r="AY167"/>
  <c r="B387" i="3"/>
  <c r="D386"/>
  <c r="A169" i="28" l="1"/>
  <c r="AY168"/>
  <c r="B386" i="3"/>
  <c r="D385"/>
  <c r="A170" i="28" l="1"/>
  <c r="AY169"/>
  <c r="B385" i="3"/>
  <c r="D384"/>
  <c r="A171" i="28" l="1"/>
  <c r="AY170"/>
  <c r="B384" i="3"/>
  <c r="D383"/>
  <c r="A172" i="28" l="1"/>
  <c r="AY171"/>
  <c r="B383" i="3"/>
  <c r="D382"/>
  <c r="A173" i="28" l="1"/>
  <c r="AY172"/>
  <c r="B382" i="3"/>
  <c r="D381"/>
  <c r="A174" i="28" l="1"/>
  <c r="AY173"/>
  <c r="B381" i="3"/>
  <c r="D380"/>
  <c r="A175" i="28" l="1"/>
  <c r="AY174"/>
  <c r="B380" i="3"/>
  <c r="D379"/>
  <c r="A176" i="28" l="1"/>
  <c r="AY175"/>
  <c r="B379" i="3"/>
  <c r="D378"/>
  <c r="A177" i="28" l="1"/>
  <c r="AY176"/>
  <c r="B378" i="3"/>
  <c r="D377"/>
  <c r="A178" i="28" l="1"/>
  <c r="AY177"/>
  <c r="B377" i="3"/>
  <c r="D376"/>
  <c r="A179" i="28" l="1"/>
  <c r="AY178"/>
  <c r="B376" i="3"/>
  <c r="D375"/>
  <c r="A180" i="28" l="1"/>
  <c r="AY179"/>
  <c r="B375" i="3"/>
  <c r="D374"/>
  <c r="A181" i="28" l="1"/>
  <c r="AY180"/>
  <c r="B374" i="3"/>
  <c r="D373"/>
  <c r="A182" i="28" l="1"/>
  <c r="AY181"/>
  <c r="B373" i="3"/>
  <c r="D372"/>
  <c r="A183" i="28" l="1"/>
  <c r="AY182"/>
  <c r="B372" i="3"/>
  <c r="D371"/>
  <c r="A184" i="28" l="1"/>
  <c r="AY183"/>
  <c r="B371" i="3"/>
  <c r="D370"/>
  <c r="A185" i="28" l="1"/>
  <c r="AY184"/>
  <c r="B370" i="3"/>
  <c r="D369"/>
  <c r="A186" i="28" l="1"/>
  <c r="AY185"/>
  <c r="B369" i="3"/>
  <c r="D368"/>
  <c r="A187" i="28" l="1"/>
  <c r="AY186"/>
  <c r="B368" i="3"/>
  <c r="D367"/>
  <c r="A188" i="28" l="1"/>
  <c r="AY187"/>
  <c r="B367" i="3"/>
  <c r="D366"/>
  <c r="A189" i="28" l="1"/>
  <c r="AY188"/>
  <c r="B366" i="3"/>
  <c r="D365"/>
  <c r="A190" i="28" l="1"/>
  <c r="AY189"/>
  <c r="B365" i="3"/>
  <c r="D364"/>
  <c r="A191" i="28" l="1"/>
  <c r="AY190"/>
  <c r="B364" i="3"/>
  <c r="D363"/>
  <c r="A192" i="28" l="1"/>
  <c r="AY191"/>
  <c r="B363" i="3"/>
  <c r="D362"/>
  <c r="A193" i="28" l="1"/>
  <c r="AY192"/>
  <c r="B362" i="3"/>
  <c r="D361"/>
  <c r="A194" i="28" l="1"/>
  <c r="AY193"/>
  <c r="B361" i="3"/>
  <c r="D360"/>
  <c r="A195" i="28" l="1"/>
  <c r="AY194"/>
  <c r="B360" i="3"/>
  <c r="D359"/>
  <c r="A196" i="28" l="1"/>
  <c r="AY195"/>
  <c r="B359" i="3"/>
  <c r="D358"/>
  <c r="A197" i="28" l="1"/>
  <c r="AY196"/>
  <c r="B358" i="3"/>
  <c r="D357"/>
  <c r="A198" i="28" l="1"/>
  <c r="AY197"/>
  <c r="B357" i="3"/>
  <c r="D356"/>
  <c r="A199" i="28" l="1"/>
  <c r="AY198"/>
  <c r="B356" i="3"/>
  <c r="D355"/>
  <c r="A200" i="28" l="1"/>
  <c r="AY199"/>
  <c r="B355" i="3"/>
  <c r="D354"/>
  <c r="A201" i="28" l="1"/>
  <c r="AY200"/>
  <c r="B354" i="3"/>
  <c r="D353"/>
  <c r="A202" i="28" l="1"/>
  <c r="AY201"/>
  <c r="B353" i="3"/>
  <c r="D352"/>
  <c r="A203" i="28" l="1"/>
  <c r="AY202"/>
  <c r="B352" i="3"/>
  <c r="D351"/>
  <c r="A204" i="28" l="1"/>
  <c r="AY203"/>
  <c r="B351" i="3"/>
  <c r="D350"/>
  <c r="A205" i="28" l="1"/>
  <c r="AY204"/>
  <c r="B350" i="3"/>
  <c r="D349"/>
  <c r="A206" i="28" l="1"/>
  <c r="AY205"/>
  <c r="B349" i="3"/>
  <c r="D348"/>
  <c r="A207" i="28" l="1"/>
  <c r="AY206"/>
  <c r="B348" i="3"/>
  <c r="D347"/>
  <c r="A208" i="28" l="1"/>
  <c r="AY207"/>
  <c r="B347" i="3"/>
  <c r="D346"/>
  <c r="A209" i="28" l="1"/>
  <c r="AY208"/>
  <c r="B346" i="3"/>
  <c r="D345"/>
  <c r="A210" i="28" l="1"/>
  <c r="AY209"/>
  <c r="B345" i="3"/>
  <c r="D344"/>
  <c r="AY210" i="28" l="1"/>
  <c r="A211"/>
  <c r="B344" i="3"/>
  <c r="D343"/>
  <c r="A212" i="28" l="1"/>
  <c r="AY211"/>
  <c r="B343" i="3"/>
  <c r="D342"/>
  <c r="A213" i="28" l="1"/>
  <c r="AY212"/>
  <c r="B342" i="3"/>
  <c r="D341"/>
  <c r="A214" i="28" l="1"/>
  <c r="AY213"/>
  <c r="B341" i="3"/>
  <c r="D340"/>
  <c r="A215" i="28" l="1"/>
  <c r="AY214"/>
  <c r="B340" i="3"/>
  <c r="D339"/>
  <c r="A216" i="28" l="1"/>
  <c r="AY215"/>
  <c r="B339" i="3"/>
  <c r="D338"/>
  <c r="A217" i="28" l="1"/>
  <c r="AY216"/>
  <c r="B338" i="3"/>
  <c r="D337"/>
  <c r="A218" i="28" l="1"/>
  <c r="AY217"/>
  <c r="B337" i="3"/>
  <c r="D336"/>
  <c r="A219" i="28" l="1"/>
  <c r="AY218"/>
  <c r="B336" i="3"/>
  <c r="D335"/>
  <c r="A220" i="28" l="1"/>
  <c r="AY219"/>
  <c r="B335" i="3"/>
  <c r="D334"/>
  <c r="A221" i="28" l="1"/>
  <c r="AY220"/>
  <c r="B334" i="3"/>
  <c r="D333"/>
  <c r="AY221" i="28" l="1"/>
  <c r="A222"/>
  <c r="B333" i="3"/>
  <c r="D332"/>
  <c r="AY222" i="28" l="1"/>
  <c r="A223"/>
  <c r="B332" i="3"/>
  <c r="D331"/>
  <c r="A224" i="28" l="1"/>
  <c r="AY223"/>
  <c r="B331" i="3"/>
  <c r="D330"/>
  <c r="A225" i="28" l="1"/>
  <c r="AY224"/>
  <c r="B330" i="3"/>
  <c r="D329"/>
  <c r="AY225" i="28" l="1"/>
  <c r="A226"/>
  <c r="B329" i="3"/>
  <c r="D328"/>
  <c r="A227" i="28" l="1"/>
  <c r="AY226"/>
  <c r="B328" i="3"/>
  <c r="D327"/>
  <c r="A228" i="28" l="1"/>
  <c r="AY227"/>
  <c r="B327" i="3"/>
  <c r="D326"/>
  <c r="A229" i="28" l="1"/>
  <c r="AY228"/>
  <c r="B326" i="3"/>
  <c r="D325"/>
  <c r="AY229" i="28" l="1"/>
  <c r="A230"/>
  <c r="B325" i="3"/>
  <c r="D324"/>
  <c r="A231" i="28" l="1"/>
  <c r="AY230"/>
  <c r="B324" i="3"/>
  <c r="D323"/>
  <c r="A232" i="28" l="1"/>
  <c r="AY231"/>
  <c r="B323" i="3"/>
  <c r="D322"/>
  <c r="A233" i="28" l="1"/>
  <c r="AY232"/>
  <c r="B322" i="3"/>
  <c r="D321"/>
  <c r="A234" i="28" l="1"/>
  <c r="AY233"/>
  <c r="B321" i="3"/>
  <c r="D320"/>
  <c r="A235" i="28" l="1"/>
  <c r="AY234"/>
  <c r="B320" i="3"/>
  <c r="D319"/>
  <c r="A236" i="28" l="1"/>
  <c r="AY235"/>
  <c r="B319" i="3"/>
  <c r="D318"/>
  <c r="A237" i="28" l="1"/>
  <c r="AY236"/>
  <c r="B318" i="3"/>
  <c r="D317"/>
  <c r="AY237" i="28" l="1"/>
  <c r="A238"/>
  <c r="B317" i="3"/>
  <c r="D316"/>
  <c r="A239" i="28" l="1"/>
  <c r="AY238"/>
  <c r="B316" i="3"/>
  <c r="D315"/>
  <c r="A240" i="28" l="1"/>
  <c r="AY239"/>
  <c r="B315" i="3"/>
  <c r="D314"/>
  <c r="A241" i="28" l="1"/>
  <c r="AY240"/>
  <c r="B314" i="3"/>
  <c r="D313"/>
  <c r="A242" i="28" l="1"/>
  <c r="AY241"/>
  <c r="B313" i="3"/>
  <c r="D312"/>
  <c r="A243" i="28" l="1"/>
  <c r="AY242"/>
  <c r="B312" i="3"/>
  <c r="D311"/>
  <c r="A244" i="28" l="1"/>
  <c r="AY243"/>
  <c r="B311" i="3"/>
  <c r="D310"/>
  <c r="A245" i="28" l="1"/>
  <c r="AY244"/>
  <c r="B310" i="3"/>
  <c r="D309"/>
  <c r="AY245" i="28" l="1"/>
  <c r="A246"/>
  <c r="B309" i="3"/>
  <c r="D308"/>
  <c r="A247" i="28" l="1"/>
  <c r="AY246"/>
  <c r="B308" i="3"/>
  <c r="D307"/>
  <c r="A248" i="28" l="1"/>
  <c r="AY247"/>
  <c r="B307" i="3"/>
  <c r="D306"/>
  <c r="A249" i="28" l="1"/>
  <c r="AY248"/>
  <c r="B306" i="3"/>
  <c r="D305"/>
  <c r="A250" i="28" l="1"/>
  <c r="AY249"/>
  <c r="B305" i="3"/>
  <c r="D304"/>
  <c r="A251" i="28" l="1"/>
  <c r="AY250"/>
  <c r="B304" i="3"/>
  <c r="D303"/>
  <c r="A252" i="28" l="1"/>
  <c r="AY251"/>
  <c r="B303" i="3"/>
  <c r="D302"/>
  <c r="A253" i="28" l="1"/>
  <c r="AY252"/>
  <c r="B302" i="3"/>
  <c r="D301"/>
  <c r="A254" i="28" l="1"/>
  <c r="AY253"/>
  <c r="B301" i="3"/>
  <c r="D300"/>
  <c r="A255" i="28" l="1"/>
  <c r="AY254"/>
  <c r="B300" i="3"/>
  <c r="D299"/>
  <c r="A256" i="28" l="1"/>
  <c r="AY255"/>
  <c r="B299" i="3"/>
  <c r="D298"/>
  <c r="H35" i="47" l="1"/>
  <c r="H23"/>
  <c r="F10" i="46" s="1"/>
  <c r="H11" i="47"/>
  <c r="H38"/>
  <c r="H26"/>
  <c r="H14"/>
  <c r="AY256" i="28"/>
  <c r="H41" i="47"/>
  <c r="H29"/>
  <c r="H17"/>
  <c r="H44"/>
  <c r="H32"/>
  <c r="H20"/>
  <c r="A257" i="28"/>
  <c r="B298" i="3"/>
  <c r="D297"/>
  <c r="A258" i="28" l="1"/>
  <c r="AY257"/>
  <c r="B297" i="3"/>
  <c r="D296"/>
  <c r="A259" i="28" l="1"/>
  <c r="AY258"/>
  <c r="B296" i="3"/>
  <c r="D295"/>
  <c r="A260" i="28" l="1"/>
  <c r="AY259"/>
  <c r="B295" i="3"/>
  <c r="D294"/>
  <c r="A261" i="28" l="1"/>
  <c r="AY260"/>
  <c r="B294" i="3"/>
  <c r="D293"/>
  <c r="A262" i="28" l="1"/>
  <c r="AY261"/>
  <c r="B293" i="3"/>
  <c r="D292"/>
  <c r="A263" i="28" l="1"/>
  <c r="AY262"/>
  <c r="B292" i="3"/>
  <c r="D291"/>
  <c r="A264" i="28" l="1"/>
  <c r="AY263"/>
  <c r="B291" i="3"/>
  <c r="D290"/>
  <c r="A265" i="28" l="1"/>
  <c r="AY264"/>
  <c r="B290" i="3"/>
  <c r="D289"/>
  <c r="A266" i="28" l="1"/>
  <c r="AY265"/>
  <c r="B289" i="3"/>
  <c r="D288"/>
  <c r="A267" i="28" l="1"/>
  <c r="AY266"/>
  <c r="B288" i="3"/>
  <c r="D287"/>
  <c r="A268" i="28" l="1"/>
  <c r="AY267"/>
  <c r="B287" i="3"/>
  <c r="D286"/>
  <c r="A269" i="28" l="1"/>
  <c r="AY268"/>
  <c r="B286" i="3"/>
  <c r="D285"/>
  <c r="A270" i="28" l="1"/>
  <c r="AY269"/>
  <c r="B285" i="3"/>
  <c r="D284"/>
  <c r="A271" i="28" l="1"/>
  <c r="AY270"/>
  <c r="B284" i="3"/>
  <c r="D283"/>
  <c r="A272" i="28" l="1"/>
  <c r="AY271"/>
  <c r="B283" i="3"/>
  <c r="D282"/>
  <c r="A273" i="28" l="1"/>
  <c r="AY272"/>
  <c r="B282" i="3"/>
  <c r="D281"/>
  <c r="A274" i="28" l="1"/>
  <c r="AY273"/>
  <c r="B281" i="3"/>
  <c r="D280"/>
  <c r="A275" i="28" l="1"/>
  <c r="AY274"/>
  <c r="B280" i="3"/>
  <c r="D279"/>
  <c r="A276" i="28" l="1"/>
  <c r="AY275"/>
  <c r="B279" i="3"/>
  <c r="D278"/>
  <c r="A277" i="28" l="1"/>
  <c r="AY276"/>
  <c r="B278" i="3"/>
  <c r="D277"/>
  <c r="A278" i="28" l="1"/>
  <c r="AY277"/>
  <c r="B277" i="3"/>
  <c r="A277"/>
  <c r="D276"/>
  <c r="A279" i="28" l="1"/>
  <c r="AY278"/>
  <c r="A278" i="3"/>
  <c r="B276"/>
  <c r="A276"/>
  <c r="D275"/>
  <c r="A280" i="28" l="1"/>
  <c r="AY279"/>
  <c r="A279" i="3"/>
  <c r="B275"/>
  <c r="A275"/>
  <c r="D274"/>
  <c r="A281" i="28" l="1"/>
  <c r="AY280"/>
  <c r="A280" i="3"/>
  <c r="B274"/>
  <c r="A274"/>
  <c r="D273"/>
  <c r="A282" i="28" l="1"/>
  <c r="AY281"/>
  <c r="A281" i="3"/>
  <c r="B273"/>
  <c r="A273"/>
  <c r="D272"/>
  <c r="A283" i="28" l="1"/>
  <c r="AY282"/>
  <c r="A282" i="3"/>
  <c r="B272"/>
  <c r="A272"/>
  <c r="D271"/>
  <c r="A284" i="28" l="1"/>
  <c r="AY283"/>
  <c r="A283" i="3"/>
  <c r="B271"/>
  <c r="A271"/>
  <c r="D270"/>
  <c r="A285" i="28" l="1"/>
  <c r="AY284"/>
  <c r="A284" i="3"/>
  <c r="B270"/>
  <c r="A270"/>
  <c r="D269"/>
  <c r="A286" i="28" l="1"/>
  <c r="AY285"/>
  <c r="A285" i="3"/>
  <c r="B269"/>
  <c r="A269"/>
  <c r="D268"/>
  <c r="A287" i="28" l="1"/>
  <c r="AY286"/>
  <c r="A286" i="3"/>
  <c r="B268"/>
  <c r="A268"/>
  <c r="D267"/>
  <c r="A288" i="28" l="1"/>
  <c r="AY287"/>
  <c r="A287" i="3"/>
  <c r="B267"/>
  <c r="A267"/>
  <c r="D266"/>
  <c r="A289" i="28" l="1"/>
  <c r="AY288"/>
  <c r="A288" i="3"/>
  <c r="B266"/>
  <c r="A266"/>
  <c r="D265"/>
  <c r="A290" i="28" l="1"/>
  <c r="AY289"/>
  <c r="A289" i="3"/>
  <c r="B265"/>
  <c r="A265"/>
  <c r="D264"/>
  <c r="A291" i="28" l="1"/>
  <c r="AY290"/>
  <c r="A290" i="3"/>
  <c r="B264"/>
  <c r="A264"/>
  <c r="D263"/>
  <c r="AY291" i="28" l="1"/>
  <c r="A292"/>
  <c r="A291" i="3"/>
  <c r="B263"/>
  <c r="A263"/>
  <c r="D262"/>
  <c r="A293" i="28" l="1"/>
  <c r="AY292"/>
  <c r="A292" i="3"/>
  <c r="B262"/>
  <c r="A262"/>
  <c r="D261"/>
  <c r="A294" i="28" l="1"/>
  <c r="AY293"/>
  <c r="A293" i="3"/>
  <c r="B261"/>
  <c r="A261"/>
  <c r="D260"/>
  <c r="A295" i="28" l="1"/>
  <c r="AY294"/>
  <c r="A294" i="3"/>
  <c r="B260"/>
  <c r="A260"/>
  <c r="D259"/>
  <c r="A295" l="1"/>
  <c r="A296" i="28"/>
  <c r="AY295"/>
  <c r="B259" i="3"/>
  <c r="A259"/>
  <c r="D258"/>
  <c r="B258"/>
  <c r="A258"/>
  <c r="D257"/>
  <c r="A297" i="28" l="1"/>
  <c r="AY296"/>
  <c r="A296" i="3"/>
  <c r="B257"/>
  <c r="A257"/>
  <c r="D256"/>
  <c r="A298" i="28" l="1"/>
  <c r="AY297"/>
  <c r="A297" i="3"/>
  <c r="B256"/>
  <c r="A256"/>
  <c r="C256" s="1"/>
  <c r="D255"/>
  <c r="B255"/>
  <c r="A255"/>
  <c r="D254"/>
  <c r="A299" i="28" l="1"/>
  <c r="AY298"/>
  <c r="A298" i="3"/>
  <c r="C255"/>
  <c r="B254"/>
  <c r="A254"/>
  <c r="C254" s="1"/>
  <c r="D253"/>
  <c r="A300" i="28" l="1"/>
  <c r="AY299"/>
  <c r="A299" i="3"/>
  <c r="B253"/>
  <c r="A253"/>
  <c r="C253" s="1"/>
  <c r="D252"/>
  <c r="A301" i="28" l="1"/>
  <c r="AY300"/>
  <c r="A300" i="3"/>
  <c r="B252"/>
  <c r="A252"/>
  <c r="C252" s="1"/>
  <c r="D251"/>
  <c r="A302" i="28" l="1"/>
  <c r="AY301"/>
  <c r="A301" i="3"/>
  <c r="B251"/>
  <c r="A251"/>
  <c r="C251" s="1"/>
  <c r="D250"/>
  <c r="A303" i="28" l="1"/>
  <c r="AY302"/>
  <c r="A302" i="3"/>
  <c r="B250"/>
  <c r="A250"/>
  <c r="C250" s="1"/>
  <c r="D249"/>
  <c r="A304" i="28" l="1"/>
  <c r="AY303"/>
  <c r="A303" i="3"/>
  <c r="B249"/>
  <c r="A249"/>
  <c r="C249" s="1"/>
  <c r="D248"/>
  <c r="A305" i="28" l="1"/>
  <c r="AY304"/>
  <c r="A304" i="3"/>
  <c r="B248"/>
  <c r="A248"/>
  <c r="C248" s="1"/>
  <c r="D247"/>
  <c r="A306" i="28" l="1"/>
  <c r="AY305"/>
  <c r="A305" i="3"/>
  <c r="B247"/>
  <c r="A247"/>
  <c r="C247" s="1"/>
  <c r="D246"/>
  <c r="A307" i="28" l="1"/>
  <c r="AY306"/>
  <c r="A306" i="3"/>
  <c r="B246"/>
  <c r="A246"/>
  <c r="C246" s="1"/>
  <c r="D245"/>
  <c r="A308" i="28" l="1"/>
  <c r="AY307"/>
  <c r="A307" i="3"/>
  <c r="B245"/>
  <c r="A245"/>
  <c r="C245" s="1"/>
  <c r="D244"/>
  <c r="A309" i="28" l="1"/>
  <c r="AY308"/>
  <c r="A308" i="3"/>
  <c r="B244"/>
  <c r="A244"/>
  <c r="C244" s="1"/>
  <c r="D243"/>
  <c r="A310" i="28" l="1"/>
  <c r="AY309"/>
  <c r="A309" i="3"/>
  <c r="B243"/>
  <c r="A243"/>
  <c r="C243" s="1"/>
  <c r="D242"/>
  <c r="A311" i="28" l="1"/>
  <c r="AY310"/>
  <c r="A310" i="3"/>
  <c r="B242"/>
  <c r="A242"/>
  <c r="C242" s="1"/>
  <c r="D241"/>
  <c r="A312" i="28" l="1"/>
  <c r="AY311"/>
  <c r="A311" i="3"/>
  <c r="B241"/>
  <c r="A241"/>
  <c r="C241" s="1"/>
  <c r="D240"/>
  <c r="A313" i="28" l="1"/>
  <c r="AY312"/>
  <c r="A312" i="3"/>
  <c r="B240"/>
  <c r="A240"/>
  <c r="C240" s="1"/>
  <c r="D239"/>
  <c r="AY313" i="28" l="1"/>
  <c r="A313" i="3"/>
  <c r="A314" i="28"/>
  <c r="B239" i="3"/>
  <c r="A239"/>
  <c r="C239" s="1"/>
  <c r="D238"/>
  <c r="AY314" i="28" l="1"/>
  <c r="A314" i="3"/>
  <c r="A315" i="28"/>
  <c r="B238" i="3"/>
  <c r="A238"/>
  <c r="C238" s="1"/>
  <c r="D237"/>
  <c r="AY315" i="28" l="1"/>
  <c r="A315" i="3"/>
  <c r="A316" i="28"/>
  <c r="B237" i="3"/>
  <c r="A237"/>
  <c r="C237" s="1"/>
  <c r="D236"/>
  <c r="AY316" i="28" l="1"/>
  <c r="A316" i="3"/>
  <c r="A317" i="28"/>
  <c r="B236" i="3"/>
  <c r="A236"/>
  <c r="C236" s="1"/>
  <c r="D235"/>
  <c r="AY317" i="28" l="1"/>
  <c r="A317" i="3"/>
  <c r="A318" i="28"/>
  <c r="B235" i="3"/>
  <c r="A235"/>
  <c r="C235" s="1"/>
  <c r="D234"/>
  <c r="AY318" i="28" l="1"/>
  <c r="A318" i="3"/>
  <c r="A319" i="28"/>
  <c r="B234" i="3"/>
  <c r="A234"/>
  <c r="C234" s="1"/>
  <c r="D233"/>
  <c r="AY319" i="28" l="1"/>
  <c r="A319" i="3"/>
  <c r="A320" i="28"/>
  <c r="B233" i="3"/>
  <c r="A233"/>
  <c r="C233" s="1"/>
  <c r="D232"/>
  <c r="AY320" i="28" l="1"/>
  <c r="A320" i="3"/>
  <c r="A321" i="28"/>
  <c r="B232" i="3"/>
  <c r="A232"/>
  <c r="C232" s="1"/>
  <c r="D231"/>
  <c r="AY321" i="28" l="1"/>
  <c r="A321" i="3"/>
  <c r="A322" i="28"/>
  <c r="B231" i="3"/>
  <c r="A231"/>
  <c r="C231" s="1"/>
  <c r="D230"/>
  <c r="AY322" i="28" l="1"/>
  <c r="A322" i="3"/>
  <c r="A323" i="28"/>
  <c r="B230" i="3"/>
  <c r="A230"/>
  <c r="C230" s="1"/>
  <c r="D229"/>
  <c r="AY323" i="28" l="1"/>
  <c r="A323" i="3"/>
  <c r="A324" i="28"/>
  <c r="B229" i="3"/>
  <c r="A229"/>
  <c r="C229" s="1"/>
  <c r="D228"/>
  <c r="AY324" i="28" l="1"/>
  <c r="A324" i="3"/>
  <c r="A325" i="28"/>
  <c r="B228" i="3"/>
  <c r="A228"/>
  <c r="C228" s="1"/>
  <c r="D227"/>
  <c r="AY325" i="28" l="1"/>
  <c r="A325" i="3"/>
  <c r="A326" i="28"/>
  <c r="B227" i="3"/>
  <c r="A227"/>
  <c r="C227" s="1"/>
  <c r="D226"/>
  <c r="AY326" i="28" l="1"/>
  <c r="A326" i="3"/>
  <c r="A327" i="28"/>
  <c r="B226" i="3"/>
  <c r="A226"/>
  <c r="C226" s="1"/>
  <c r="D225"/>
  <c r="A328" i="28" l="1"/>
  <c r="A327" i="3"/>
  <c r="AY327" i="28"/>
  <c r="B225" i="3"/>
  <c r="A225"/>
  <c r="C225" s="1"/>
  <c r="D224"/>
  <c r="AY328" i="28" l="1"/>
  <c r="A328" i="3"/>
  <c r="A329" i="28"/>
  <c r="B224" i="3"/>
  <c r="A224"/>
  <c r="C224" s="1"/>
  <c r="D223"/>
  <c r="AY329" i="28" l="1"/>
  <c r="A329" i="3"/>
  <c r="A330" i="28"/>
  <c r="B223" i="3"/>
  <c r="A223"/>
  <c r="C223" s="1"/>
  <c r="D222"/>
  <c r="AY330" i="28" l="1"/>
  <c r="A330" i="3"/>
  <c r="A331" i="28"/>
  <c r="B222" i="3"/>
  <c r="A222"/>
  <c r="C222" s="1"/>
  <c r="D221"/>
  <c r="AY331" i="28" l="1"/>
  <c r="A331" i="3"/>
  <c r="A332" i="28"/>
  <c r="B221" i="3"/>
  <c r="A221"/>
  <c r="C221" s="1"/>
  <c r="D220"/>
  <c r="AY332" i="28" l="1"/>
  <c r="A332" i="3"/>
  <c r="A333" i="28"/>
  <c r="B220" i="3"/>
  <c r="A220"/>
  <c r="C220" s="1"/>
  <c r="D219"/>
  <c r="AY333" i="28" l="1"/>
  <c r="A333" i="3"/>
  <c r="A334" i="28"/>
  <c r="B219" i="3"/>
  <c r="A219"/>
  <c r="C219" s="1"/>
  <c r="D218"/>
  <c r="AY334" i="28" l="1"/>
  <c r="A334" i="3"/>
  <c r="A335" i="28"/>
  <c r="B218" i="3"/>
  <c r="A218"/>
  <c r="C218" s="1"/>
  <c r="D217"/>
  <c r="AY335" i="28" l="1"/>
  <c r="A335" i="3"/>
  <c r="A336" i="28"/>
  <c r="B217" i="3"/>
  <c r="A217"/>
  <c r="C217" s="1"/>
  <c r="D216"/>
  <c r="AY336" i="28" l="1"/>
  <c r="A336" i="3"/>
  <c r="A337" i="28"/>
  <c r="B216" i="3"/>
  <c r="A216"/>
  <c r="C216" s="1"/>
  <c r="D215"/>
  <c r="AY337" i="28" l="1"/>
  <c r="A337" i="3"/>
  <c r="A338" i="28"/>
  <c r="B215" i="3"/>
  <c r="A215"/>
  <c r="C215" s="1"/>
  <c r="D214"/>
  <c r="AY338" i="28" l="1"/>
  <c r="A338" i="3"/>
  <c r="A339" i="28"/>
  <c r="B214" i="3"/>
  <c r="A214"/>
  <c r="C214" s="1"/>
  <c r="D213"/>
  <c r="A340" i="28" l="1"/>
  <c r="A339" i="3"/>
  <c r="AY339" i="28"/>
  <c r="B213" i="3"/>
  <c r="A213"/>
  <c r="C213" s="1"/>
  <c r="D212"/>
  <c r="A341" i="28" l="1"/>
  <c r="A340" i="3"/>
  <c r="AY340" i="28"/>
  <c r="B212" i="3"/>
  <c r="A212"/>
  <c r="C212" s="1"/>
  <c r="D211"/>
  <c r="AY341" i="28" l="1"/>
  <c r="A341" i="3"/>
  <c r="A342" i="28"/>
  <c r="B211" i="3"/>
  <c r="A211"/>
  <c r="C211" s="1"/>
  <c r="D210"/>
  <c r="AY342" i="28" l="1"/>
  <c r="A342" i="3"/>
  <c r="A343" i="28"/>
  <c r="B210" i="3"/>
  <c r="A210"/>
  <c r="C210" s="1"/>
  <c r="D209"/>
  <c r="AY343" i="28" l="1"/>
  <c r="A343" i="3"/>
  <c r="A344" i="28"/>
  <c r="B209" i="3"/>
  <c r="A209"/>
  <c r="C209" s="1"/>
  <c r="D208"/>
  <c r="AY344" i="28" l="1"/>
  <c r="A344" i="3"/>
  <c r="A345" i="28"/>
  <c r="B208" i="3"/>
  <c r="A208"/>
  <c r="C208" s="1"/>
  <c r="D207"/>
  <c r="AY345" i="28" l="1"/>
  <c r="A345" i="3"/>
  <c r="A346" i="28"/>
  <c r="B207" i="3"/>
  <c r="A207"/>
  <c r="C207" s="1"/>
  <c r="D206"/>
  <c r="AY346" i="28" l="1"/>
  <c r="A346" i="3"/>
  <c r="A347" i="28"/>
  <c r="B206" i="3"/>
  <c r="A206"/>
  <c r="C206" s="1"/>
  <c r="D205"/>
  <c r="AY347" i="28" l="1"/>
  <c r="A347" i="3"/>
  <c r="A348" i="28"/>
  <c r="B205" i="3"/>
  <c r="A205"/>
  <c r="C205" s="1"/>
  <c r="D204"/>
  <c r="AY348" i="28" l="1"/>
  <c r="A348" i="3"/>
  <c r="A349" i="28"/>
  <c r="B204" i="3"/>
  <c r="A204"/>
  <c r="C204" s="1"/>
  <c r="D203"/>
  <c r="AY349" i="28" l="1"/>
  <c r="A349" i="3"/>
  <c r="A350" i="28"/>
  <c r="B203" i="3"/>
  <c r="A203"/>
  <c r="C203" s="1"/>
  <c r="D202"/>
  <c r="AY350" i="28" l="1"/>
  <c r="A350" i="3"/>
  <c r="A351" i="28"/>
  <c r="B202" i="3"/>
  <c r="A202"/>
  <c r="C202" s="1"/>
  <c r="D201"/>
  <c r="AY351" i="28" l="1"/>
  <c r="A351" i="3"/>
  <c r="A352" i="28"/>
  <c r="B201" i="3"/>
  <c r="A201"/>
  <c r="C201" s="1"/>
  <c r="D200"/>
  <c r="A353" i="28" l="1"/>
  <c r="A352" i="3"/>
  <c r="AY352" i="28"/>
  <c r="B200" i="3"/>
  <c r="A200"/>
  <c r="C200" s="1"/>
  <c r="D199"/>
  <c r="AY353" i="28" l="1"/>
  <c r="A353" i="3"/>
  <c r="A354" i="28"/>
  <c r="B199" i="3"/>
  <c r="A199"/>
  <c r="C199" s="1"/>
  <c r="D198"/>
  <c r="AY354" i="28" l="1"/>
  <c r="A354" i="3"/>
  <c r="A355" i="28"/>
  <c r="B198" i="3"/>
  <c r="A198"/>
  <c r="C198" s="1"/>
  <c r="D197"/>
  <c r="AY355" i="28" l="1"/>
  <c r="A355" i="3"/>
  <c r="A356" i="28"/>
  <c r="B197" i="3"/>
  <c r="A197"/>
  <c r="C197" s="1"/>
  <c r="D196"/>
  <c r="AY356" i="28" l="1"/>
  <c r="A356" i="3"/>
  <c r="A357" i="28"/>
  <c r="B196" i="3"/>
  <c r="A196"/>
  <c r="C196" s="1"/>
  <c r="D195"/>
  <c r="AY357" i="28" l="1"/>
  <c r="A357" i="3"/>
  <c r="A358" i="28"/>
  <c r="B195" i="3"/>
  <c r="A195"/>
  <c r="C195" s="1"/>
  <c r="D194"/>
  <c r="AY358" i="28" l="1"/>
  <c r="A358" i="3"/>
  <c r="A359" i="28"/>
  <c r="B194" i="3"/>
  <c r="A194"/>
  <c r="C194" s="1"/>
  <c r="D193"/>
  <c r="AY359" i="28" l="1"/>
  <c r="A359" i="3"/>
  <c r="A360" i="28"/>
  <c r="B193" i="3"/>
  <c r="A193"/>
  <c r="C193" s="1"/>
  <c r="D192"/>
  <c r="AY360" i="28" l="1"/>
  <c r="A360" i="3"/>
  <c r="A361" i="28"/>
  <c r="B192" i="3"/>
  <c r="A192"/>
  <c r="C192" s="1"/>
  <c r="D191"/>
  <c r="AY361" i="28" l="1"/>
  <c r="A361" i="3"/>
  <c r="A362" i="28"/>
  <c r="B191" i="3"/>
  <c r="A191"/>
  <c r="C191" s="1"/>
  <c r="D190"/>
  <c r="AY362" i="28" l="1"/>
  <c r="A362" i="3"/>
  <c r="A363" i="28"/>
  <c r="B190" i="3"/>
  <c r="A190"/>
  <c r="C190" s="1"/>
  <c r="D189"/>
  <c r="AY363" i="28" l="1"/>
  <c r="A363" i="3"/>
  <c r="A364" i="28"/>
  <c r="B189" i="3"/>
  <c r="A189"/>
  <c r="C189" s="1"/>
  <c r="D188"/>
  <c r="AY364" i="28" l="1"/>
  <c r="A364" i="3"/>
  <c r="A365" i="28"/>
  <c r="B188" i="3"/>
  <c r="A188"/>
  <c r="C188" s="1"/>
  <c r="D187"/>
  <c r="AY365" i="28" l="1"/>
  <c r="A365" i="3"/>
  <c r="A366" i="28"/>
  <c r="B187" i="3"/>
  <c r="A187"/>
  <c r="C187" s="1"/>
  <c r="D186"/>
  <c r="AY366" i="28" l="1"/>
  <c r="A366" i="3"/>
  <c r="A367" i="28"/>
  <c r="B186" i="3"/>
  <c r="A186"/>
  <c r="C186" s="1"/>
  <c r="D185"/>
  <c r="AY367" i="28" l="1"/>
  <c r="A367" i="3"/>
  <c r="A368" i="28"/>
  <c r="B185" i="3"/>
  <c r="A185"/>
  <c r="C185" s="1"/>
  <c r="D184"/>
  <c r="AY368" i="28" l="1"/>
  <c r="A368" i="3"/>
  <c r="A369" i="28"/>
  <c r="B184" i="3"/>
  <c r="A184"/>
  <c r="C184" s="1"/>
  <c r="D183"/>
  <c r="AY369" i="28" l="1"/>
  <c r="A369" i="3"/>
  <c r="A370" i="28"/>
  <c r="B183" i="3"/>
  <c r="A183"/>
  <c r="C183" s="1"/>
  <c r="D182"/>
  <c r="AY370" i="28" l="1"/>
  <c r="A370" i="3"/>
  <c r="A371" i="28"/>
  <c r="B182" i="3"/>
  <c r="A182"/>
  <c r="C182" s="1"/>
  <c r="D181"/>
  <c r="AY371" i="28" l="1"/>
  <c r="A371" i="3"/>
  <c r="A372" i="28"/>
  <c r="B181" i="3"/>
  <c r="A181"/>
  <c r="C181" s="1"/>
  <c r="D180"/>
  <c r="AY372" i="28" l="1"/>
  <c r="A372" i="3"/>
  <c r="A373" i="28"/>
  <c r="B180" i="3"/>
  <c r="A180"/>
  <c r="C180" s="1"/>
  <c r="D179"/>
  <c r="AY373" i="28" l="1"/>
  <c r="A373" i="3"/>
  <c r="A374" i="28"/>
  <c r="B179" i="3"/>
  <c r="A179"/>
  <c r="C179" s="1"/>
  <c r="D178"/>
  <c r="A375" i="28" l="1"/>
  <c r="A374" i="3"/>
  <c r="AY374" i="28"/>
  <c r="B178" i="3"/>
  <c r="A178"/>
  <c r="C178" s="1"/>
  <c r="D177"/>
  <c r="AY375" i="28" l="1"/>
  <c r="A375" i="3"/>
  <c r="A376" i="28"/>
  <c r="B177" i="3"/>
  <c r="A177"/>
  <c r="C177" s="1"/>
  <c r="D176"/>
  <c r="AY376" i="28" l="1"/>
  <c r="A376" i="3"/>
  <c r="A377" i="28"/>
  <c r="B176" i="3"/>
  <c r="A176"/>
  <c r="C176" s="1"/>
  <c r="D175"/>
  <c r="A378" i="28" l="1"/>
  <c r="A377" i="3"/>
  <c r="AY377" i="28"/>
  <c r="B175" i="3"/>
  <c r="A175"/>
  <c r="C175" s="1"/>
  <c r="D174"/>
  <c r="AY378" i="28" l="1"/>
  <c r="A378" i="3"/>
  <c r="A379" i="28"/>
  <c r="B174" i="3"/>
  <c r="A174"/>
  <c r="C174" s="1"/>
  <c r="D173"/>
  <c r="AY379" i="28" l="1"/>
  <c r="A379" i="3"/>
  <c r="A380" i="28"/>
  <c r="B173" i="3"/>
  <c r="A173"/>
  <c r="C173" s="1"/>
  <c r="D172"/>
  <c r="AY380" i="28" l="1"/>
  <c r="A380" i="3"/>
  <c r="A381" i="28"/>
  <c r="B172" i="3"/>
  <c r="A172"/>
  <c r="C172" s="1"/>
  <c r="D171"/>
  <c r="AY381" i="28" l="1"/>
  <c r="A381" i="3"/>
  <c r="A382" i="28"/>
  <c r="B171" i="3"/>
  <c r="A171"/>
  <c r="C171" s="1"/>
  <c r="D170"/>
  <c r="AY382" i="28" l="1"/>
  <c r="A382" i="3"/>
  <c r="A383" i="28"/>
  <c r="B170" i="3"/>
  <c r="A170"/>
  <c r="C170" s="1"/>
  <c r="D169"/>
  <c r="AY383" i="28" l="1"/>
  <c r="A383" i="3"/>
  <c r="A384" i="28"/>
  <c r="B169" i="3"/>
  <c r="A169"/>
  <c r="C169" s="1"/>
  <c r="D168"/>
  <c r="AY384" i="28" l="1"/>
  <c r="A384" i="3"/>
  <c r="C294"/>
  <c r="C296"/>
  <c r="C297"/>
  <c r="C298"/>
  <c r="C299"/>
  <c r="C300"/>
  <c r="C301"/>
  <c r="C302"/>
  <c r="C303"/>
  <c r="C304"/>
  <c r="C305"/>
  <c r="C306"/>
  <c r="C307"/>
  <c r="C308"/>
  <c r="C309"/>
  <c r="C310"/>
  <c r="C311"/>
  <c r="C312"/>
  <c r="C313"/>
  <c r="C314"/>
  <c r="C315"/>
  <c r="C316"/>
  <c r="C317"/>
  <c r="C271"/>
  <c r="C319"/>
  <c r="C320"/>
  <c r="C321"/>
  <c r="C322"/>
  <c r="C323"/>
  <c r="C324"/>
  <c r="C325"/>
  <c r="C326"/>
  <c r="C262"/>
  <c r="C328"/>
  <c r="C329"/>
  <c r="C259"/>
  <c r="C257"/>
  <c r="C332"/>
  <c r="C334"/>
  <c r="C336"/>
  <c r="C338"/>
  <c r="C340"/>
  <c r="C342"/>
  <c r="C344"/>
  <c r="C346"/>
  <c r="C348"/>
  <c r="A385" i="28"/>
  <c r="C295" i="3"/>
  <c r="C293"/>
  <c r="C292"/>
  <c r="C291"/>
  <c r="C290"/>
  <c r="C289"/>
  <c r="C288"/>
  <c r="C287"/>
  <c r="C286"/>
  <c r="C285"/>
  <c r="C284"/>
  <c r="C283"/>
  <c r="C282"/>
  <c r="C281"/>
  <c r="C280"/>
  <c r="C279"/>
  <c r="C278"/>
  <c r="C277"/>
  <c r="C276"/>
  <c r="C275"/>
  <c r="C274"/>
  <c r="C273"/>
  <c r="C272"/>
  <c r="C318"/>
  <c r="C270"/>
  <c r="C269"/>
  <c r="C268"/>
  <c r="C267"/>
  <c r="C266"/>
  <c r="C265"/>
  <c r="C264"/>
  <c r="C263"/>
  <c r="C327"/>
  <c r="C261"/>
  <c r="C260"/>
  <c r="C330"/>
  <c r="C258"/>
  <c r="C331"/>
  <c r="C333"/>
  <c r="C335"/>
  <c r="C337"/>
  <c r="C339"/>
  <c r="C341"/>
  <c r="C343"/>
  <c r="C345"/>
  <c r="C347"/>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B168"/>
  <c r="A168"/>
  <c r="C168" s="1"/>
  <c r="D167"/>
  <c r="AY385" i="28" l="1"/>
  <c r="A385" i="3"/>
  <c r="A386" i="28"/>
  <c r="C384" i="3"/>
  <c r="B167"/>
  <c r="A167"/>
  <c r="C167" s="1"/>
  <c r="D166"/>
  <c r="A387" i="28" l="1"/>
  <c r="AY386"/>
  <c r="A386" i="3"/>
  <c r="B166"/>
  <c r="A166"/>
  <c r="C166" s="1"/>
  <c r="D165"/>
  <c r="AY387" i="28" l="1"/>
  <c r="A388"/>
  <c r="A387" i="3"/>
  <c r="B165"/>
  <c r="A165"/>
  <c r="C165" s="1"/>
  <c r="D164"/>
  <c r="A389" i="28" l="1"/>
  <c r="AY388"/>
  <c r="A388" i="3"/>
  <c r="B164"/>
  <c r="A164"/>
  <c r="C164" s="1"/>
  <c r="D163"/>
  <c r="A390" i="28" l="1"/>
  <c r="AY389"/>
  <c r="A389" i="3"/>
  <c r="B163"/>
  <c r="A163"/>
  <c r="C163" s="1"/>
  <c r="D162"/>
  <c r="A391" i="28" l="1"/>
  <c r="AY390"/>
  <c r="A390" i="3"/>
  <c r="B162"/>
  <c r="A162"/>
  <c r="C162" s="1"/>
  <c r="D161"/>
  <c r="A392" i="28" l="1"/>
  <c r="AY391"/>
  <c r="A391" i="3"/>
  <c r="B161"/>
  <c r="A161"/>
  <c r="C161" s="1"/>
  <c r="D160"/>
  <c r="A393" i="28" l="1"/>
  <c r="AY392"/>
  <c r="A392" i="3"/>
  <c r="B160"/>
  <c r="A160"/>
  <c r="C160" s="1"/>
  <c r="D159"/>
  <c r="AY393" i="28" l="1"/>
  <c r="A394"/>
  <c r="A393" i="3"/>
  <c r="B159"/>
  <c r="A159"/>
  <c r="C159" s="1"/>
  <c r="D158"/>
  <c r="A395" i="28" l="1"/>
  <c r="AY394"/>
  <c r="A394" i="3"/>
  <c r="B158"/>
  <c r="A158"/>
  <c r="C158" s="1"/>
  <c r="D157"/>
  <c r="A396" i="28" l="1"/>
  <c r="AY395"/>
  <c r="A395" i="3"/>
  <c r="B157"/>
  <c r="A157"/>
  <c r="C157" s="1"/>
  <c r="D156"/>
  <c r="A397" i="28" l="1"/>
  <c r="AY396"/>
  <c r="A396" i="3"/>
  <c r="B156"/>
  <c r="A156"/>
  <c r="C156" s="1"/>
  <c r="D155"/>
  <c r="A398" i="28" l="1"/>
  <c r="AY397"/>
  <c r="A397" i="3"/>
  <c r="B155"/>
  <c r="A155"/>
  <c r="C155" s="1"/>
  <c r="D154"/>
  <c r="A399" i="28" l="1"/>
  <c r="AY398"/>
  <c r="A398" i="3"/>
  <c r="B154"/>
  <c r="A154"/>
  <c r="C154" s="1"/>
  <c r="D153"/>
  <c r="A400" i="28" l="1"/>
  <c r="AY399"/>
  <c r="A399" i="3"/>
  <c r="B153"/>
  <c r="A153"/>
  <c r="C153" s="1"/>
  <c r="D152"/>
  <c r="AY400" i="28" l="1"/>
  <c r="A401"/>
  <c r="A400" i="3"/>
  <c r="B152"/>
  <c r="A152"/>
  <c r="C152" s="1"/>
  <c r="D151"/>
  <c r="A402" i="28" l="1"/>
  <c r="AY401"/>
  <c r="A401" i="3"/>
  <c r="B151"/>
  <c r="A151"/>
  <c r="C151" s="1"/>
  <c r="D150"/>
  <c r="A403" i="28" l="1"/>
  <c r="AY402"/>
  <c r="A402" i="3"/>
  <c r="B150"/>
  <c r="A150"/>
  <c r="C150" s="1"/>
  <c r="D149"/>
  <c r="A404" i="28" l="1"/>
  <c r="AY403"/>
  <c r="A403" i="3"/>
  <c r="B149"/>
  <c r="A149"/>
  <c r="C149" s="1"/>
  <c r="D148"/>
  <c r="AY404" i="28" l="1"/>
  <c r="A405"/>
  <c r="A404" i="3"/>
  <c r="B148"/>
  <c r="A148"/>
  <c r="C148" s="1"/>
  <c r="D147"/>
  <c r="A406" i="28" l="1"/>
  <c r="AY405"/>
  <c r="A405" i="3"/>
  <c r="B147"/>
  <c r="A147"/>
  <c r="C147" s="1"/>
  <c r="D146"/>
  <c r="A407" i="28" l="1"/>
  <c r="AY406"/>
  <c r="A406" i="3"/>
  <c r="B146"/>
  <c r="A146"/>
  <c r="C146" s="1"/>
  <c r="D145"/>
  <c r="AY407" i="28" l="1"/>
  <c r="A408"/>
  <c r="A407" i="3"/>
  <c r="B145"/>
  <c r="A145"/>
  <c r="C145" s="1"/>
  <c r="D144"/>
  <c r="AY408" i="28" l="1"/>
  <c r="A409"/>
  <c r="A408" i="3"/>
  <c r="B144"/>
  <c r="A144"/>
  <c r="C144" s="1"/>
  <c r="D143"/>
  <c r="A410" i="28" l="1"/>
  <c r="AY409"/>
  <c r="A409" i="3"/>
  <c r="B143"/>
  <c r="A143"/>
  <c r="C143" s="1"/>
  <c r="D142"/>
  <c r="AY410" i="28" l="1"/>
  <c r="A411"/>
  <c r="A410" i="3"/>
  <c r="B142"/>
  <c r="A142"/>
  <c r="C142" s="1"/>
  <c r="D141"/>
  <c r="A412" i="28" l="1"/>
  <c r="AY411"/>
  <c r="A411" i="3"/>
  <c r="B141"/>
  <c r="A141"/>
  <c r="C141" s="1"/>
  <c r="D140"/>
  <c r="AY412" i="28" l="1"/>
  <c r="A413"/>
  <c r="A412" i="3"/>
  <c r="B140"/>
  <c r="A140"/>
  <c r="C140" s="1"/>
  <c r="D139"/>
  <c r="A414" i="28" l="1"/>
  <c r="AY413"/>
  <c r="A413" i="3"/>
  <c r="B139"/>
  <c r="A139"/>
  <c r="C139" s="1"/>
  <c r="D138"/>
  <c r="AY414" i="28" l="1"/>
  <c r="A415"/>
  <c r="A414" i="3"/>
  <c r="B138"/>
  <c r="A138"/>
  <c r="C138" s="1"/>
  <c r="D137"/>
  <c r="A416" i="28" l="1"/>
  <c r="AY415"/>
  <c r="A415" i="3"/>
  <c r="B137"/>
  <c r="A137"/>
  <c r="C137" s="1"/>
  <c r="D136"/>
  <c r="A417" i="28" l="1"/>
  <c r="AY416"/>
  <c r="A416" i="3"/>
  <c r="B136"/>
  <c r="A136"/>
  <c r="C136" s="1"/>
  <c r="D135"/>
  <c r="AY417" i="28" l="1"/>
  <c r="A418"/>
  <c r="A417" i="3"/>
  <c r="B135"/>
  <c r="A135"/>
  <c r="C135" s="1"/>
  <c r="D134"/>
  <c r="AY418" i="28" l="1"/>
  <c r="A419"/>
  <c r="A418" i="3"/>
  <c r="B134"/>
  <c r="A134"/>
  <c r="C134" s="1"/>
  <c r="D133"/>
  <c r="AY419" i="28" l="1"/>
  <c r="A420"/>
  <c r="A419" i="3"/>
  <c r="B133"/>
  <c r="A133"/>
  <c r="C133" s="1"/>
  <c r="D132"/>
  <c r="AY420" i="28" l="1"/>
  <c r="A421"/>
  <c r="A420" i="3"/>
  <c r="B132"/>
  <c r="A132"/>
  <c r="C132" s="1"/>
  <c r="D131"/>
  <c r="AY421" i="28" l="1"/>
  <c r="A421" i="3"/>
  <c r="A422" i="28"/>
  <c r="B131" i="3"/>
  <c r="A131"/>
  <c r="C131" s="1"/>
  <c r="D130"/>
  <c r="AY422" i="28" l="1"/>
  <c r="A422" i="3"/>
  <c r="A423" i="28"/>
  <c r="B130" i="3"/>
  <c r="A130"/>
  <c r="C130" s="1"/>
  <c r="D129"/>
  <c r="AY423" i="28" l="1"/>
  <c r="A423" i="3"/>
  <c r="A424" i="28"/>
  <c r="B129" i="3"/>
  <c r="A129"/>
  <c r="C129" s="1"/>
  <c r="D128"/>
  <c r="AY424" i="28" l="1"/>
  <c r="A424" i="3"/>
  <c r="A425" i="28"/>
  <c r="B128" i="3"/>
  <c r="A128"/>
  <c r="C128" s="1"/>
  <c r="D127"/>
  <c r="AY425" i="28" l="1"/>
  <c r="A425" i="3"/>
  <c r="A426" i="28"/>
  <c r="B127" i="3"/>
  <c r="A127"/>
  <c r="C127" s="1"/>
  <c r="D126"/>
  <c r="AY426" i="28" l="1"/>
  <c r="A426" i="3"/>
  <c r="A427" i="28"/>
  <c r="B126" i="3"/>
  <c r="A126"/>
  <c r="C126" s="1"/>
  <c r="D125"/>
  <c r="AY427" i="28" l="1"/>
  <c r="A427" i="3"/>
  <c r="A428" i="28"/>
  <c r="B125" i="3"/>
  <c r="A125"/>
  <c r="C125" s="1"/>
  <c r="D124"/>
  <c r="AY428" i="28" l="1"/>
  <c r="A428" i="3"/>
  <c r="A429" i="28"/>
  <c r="B124" i="3"/>
  <c r="A124"/>
  <c r="C124" s="1"/>
  <c r="D123"/>
  <c r="AY429" i="28" l="1"/>
  <c r="A429" i="3"/>
  <c r="A430" i="28"/>
  <c r="B123" i="3"/>
  <c r="A123"/>
  <c r="C123" s="1"/>
  <c r="D122"/>
  <c r="AY430" i="28" l="1"/>
  <c r="A430" i="3"/>
  <c r="A431" i="28"/>
  <c r="B122" i="3"/>
  <c r="A122"/>
  <c r="C122" s="1"/>
  <c r="D121"/>
  <c r="AY431" i="28" l="1"/>
  <c r="A431" i="3"/>
  <c r="A432" i="28"/>
  <c r="B121" i="3"/>
  <c r="A121"/>
  <c r="C121" s="1"/>
  <c r="D120"/>
  <c r="AY432" i="28" l="1"/>
  <c r="A432" i="3"/>
  <c r="A433" i="28"/>
  <c r="B120" i="3"/>
  <c r="A120"/>
  <c r="C120" s="1"/>
  <c r="D119"/>
  <c r="AY433" i="28" l="1"/>
  <c r="A433" i="3"/>
  <c r="A434" i="28"/>
  <c r="B119" i="3"/>
  <c r="A119"/>
  <c r="C119" s="1"/>
  <c r="D118"/>
  <c r="AY434" i="28" l="1"/>
  <c r="A434" i="3"/>
  <c r="A435" i="28"/>
  <c r="B118" i="3"/>
  <c r="A118"/>
  <c r="C118" s="1"/>
  <c r="D117"/>
  <c r="AY435" i="28" l="1"/>
  <c r="A435" i="3"/>
  <c r="A436" i="28"/>
  <c r="B117" i="3"/>
  <c r="A117"/>
  <c r="C117" s="1"/>
  <c r="D116"/>
  <c r="AY436" i="28" l="1"/>
  <c r="A436" i="3"/>
  <c r="A437" i="28"/>
  <c r="B116" i="3"/>
  <c r="A116"/>
  <c r="C116" s="1"/>
  <c r="D115"/>
  <c r="AY437" i="28" l="1"/>
  <c r="A437" i="3"/>
  <c r="A438" i="28"/>
  <c r="B115" i="3"/>
  <c r="A115"/>
  <c r="C115" s="1"/>
  <c r="D114"/>
  <c r="AY438" i="28" l="1"/>
  <c r="A438" i="3"/>
  <c r="A439" i="28"/>
  <c r="B114" i="3"/>
  <c r="A114"/>
  <c r="C114" s="1"/>
  <c r="D113"/>
  <c r="AY439" i="28" l="1"/>
  <c r="A439" i="3"/>
  <c r="A440" i="28"/>
  <c r="B113" i="3"/>
  <c r="A113"/>
  <c r="C113" s="1"/>
  <c r="D112"/>
  <c r="AY440" i="28" l="1"/>
  <c r="A440" i="3"/>
  <c r="A441" i="28"/>
  <c r="B112" i="3"/>
  <c r="A112"/>
  <c r="C112" s="1"/>
  <c r="D111"/>
  <c r="AY441" i="28" l="1"/>
  <c r="A441" i="3"/>
  <c r="A442" i="28"/>
  <c r="B111" i="3"/>
  <c r="A111"/>
  <c r="C111" s="1"/>
  <c r="D110"/>
  <c r="AY442" i="28" l="1"/>
  <c r="A442" i="3"/>
  <c r="A443" i="28"/>
  <c r="B110" i="3"/>
  <c r="A110"/>
  <c r="C110" s="1"/>
  <c r="D109"/>
  <c r="AY443" i="28" l="1"/>
  <c r="A443" i="3"/>
  <c r="A444" i="28"/>
  <c r="B109" i="3"/>
  <c r="A109"/>
  <c r="C109" s="1"/>
  <c r="D108"/>
  <c r="AY444" i="28" l="1"/>
  <c r="A444" i="3"/>
  <c r="A445" i="28"/>
  <c r="B108" i="3"/>
  <c r="A108"/>
  <c r="C108" s="1"/>
  <c r="D107"/>
  <c r="AY445" i="28" l="1"/>
  <c r="A445" i="3"/>
  <c r="A446" i="28"/>
  <c r="B107" i="3"/>
  <c r="A107"/>
  <c r="C107" s="1"/>
  <c r="D106"/>
  <c r="AY446" i="28" l="1"/>
  <c r="A446" i="3"/>
  <c r="A447" i="28"/>
  <c r="B106" i="3"/>
  <c r="A106"/>
  <c r="C106" s="1"/>
  <c r="D105"/>
  <c r="AY447" i="28" l="1"/>
  <c r="A447" i="3"/>
  <c r="A448" i="28"/>
  <c r="C446" i="3" s="1"/>
  <c r="B105"/>
  <c r="A105"/>
  <c r="C105" s="1"/>
  <c r="D104"/>
  <c r="AY448" i="28" l="1"/>
  <c r="A448" i="3"/>
  <c r="C386"/>
  <c r="C388"/>
  <c r="C390"/>
  <c r="C392"/>
  <c r="C394"/>
  <c r="C396"/>
  <c r="C398"/>
  <c r="C400"/>
  <c r="C402"/>
  <c r="C404"/>
  <c r="C406"/>
  <c r="C408"/>
  <c r="C410"/>
  <c r="C412"/>
  <c r="A449" i="28"/>
  <c r="C385" i="3"/>
  <c r="C387"/>
  <c r="C389"/>
  <c r="C391"/>
  <c r="C393"/>
  <c r="C395"/>
  <c r="C397"/>
  <c r="C399"/>
  <c r="C401"/>
  <c r="C403"/>
  <c r="C405"/>
  <c r="C407"/>
  <c r="C409"/>
  <c r="C411"/>
  <c r="C413"/>
  <c r="C414"/>
  <c r="C415"/>
  <c r="C416"/>
  <c r="C417"/>
  <c r="C418"/>
  <c r="C419"/>
  <c r="C420"/>
  <c r="C421"/>
  <c r="C422"/>
  <c r="C423"/>
  <c r="C424"/>
  <c r="C425"/>
  <c r="C426"/>
  <c r="C427"/>
  <c r="C428"/>
  <c r="C429"/>
  <c r="C430"/>
  <c r="C431"/>
  <c r="C432"/>
  <c r="C433"/>
  <c r="C434"/>
  <c r="C435"/>
  <c r="C436"/>
  <c r="C437"/>
  <c r="C438"/>
  <c r="C439"/>
  <c r="C440"/>
  <c r="C441"/>
  <c r="C442"/>
  <c r="C443"/>
  <c r="C444"/>
  <c r="C445"/>
  <c r="C447"/>
  <c r="B104"/>
  <c r="A104"/>
  <c r="C104" s="1"/>
  <c r="D103"/>
  <c r="AY449" i="28" l="1"/>
  <c r="A449" i="3"/>
  <c r="A450" i="28"/>
  <c r="C448" i="3"/>
  <c r="B103"/>
  <c r="A103"/>
  <c r="C103" s="1"/>
  <c r="D102"/>
  <c r="A451" i="28" l="1"/>
  <c r="A450" i="3"/>
  <c r="AY450" i="28"/>
  <c r="B102" i="3"/>
  <c r="A102"/>
  <c r="C102" s="1"/>
  <c r="D101"/>
  <c r="AY451" i="28" l="1"/>
  <c r="A452"/>
  <c r="A451" i="3"/>
  <c r="B101"/>
  <c r="A101"/>
  <c r="C101" s="1"/>
  <c r="D100"/>
  <c r="A453" i="28" l="1"/>
  <c r="AY452"/>
  <c r="A452" i="3"/>
  <c r="B100"/>
  <c r="A100"/>
  <c r="C100" s="1"/>
  <c r="D99"/>
  <c r="A454" i="28" l="1"/>
  <c r="AY453"/>
  <c r="A453" i="3"/>
  <c r="B99"/>
  <c r="A99"/>
  <c r="C99" s="1"/>
  <c r="D98"/>
  <c r="A455" i="28" l="1"/>
  <c r="AY454"/>
  <c r="A454" i="3"/>
  <c r="B98"/>
  <c r="A98"/>
  <c r="C98" s="1"/>
  <c r="D97"/>
  <c r="A456" i="28" l="1"/>
  <c r="AY455"/>
  <c r="A455" i="3"/>
  <c r="B97"/>
  <c r="A97"/>
  <c r="C97" s="1"/>
  <c r="D96"/>
  <c r="A457" i="28" l="1"/>
  <c r="AY456"/>
  <c r="A456" i="3"/>
  <c r="B96"/>
  <c r="A96"/>
  <c r="C96" s="1"/>
  <c r="D95"/>
  <c r="A458" i="28" l="1"/>
  <c r="AY457"/>
  <c r="A457" i="3"/>
  <c r="B95"/>
  <c r="A95"/>
  <c r="C95" s="1"/>
  <c r="D94"/>
  <c r="A459" i="28" l="1"/>
  <c r="AY458"/>
  <c r="A458" i="3"/>
  <c r="B94"/>
  <c r="A94"/>
  <c r="C94" s="1"/>
  <c r="D93"/>
  <c r="A460" i="28" l="1"/>
  <c r="AY459"/>
  <c r="A459" i="3"/>
  <c r="B93"/>
  <c r="A93"/>
  <c r="C93" s="1"/>
  <c r="D92"/>
  <c r="A461" i="28" l="1"/>
  <c r="AY460"/>
  <c r="A460" i="3"/>
  <c r="B92"/>
  <c r="A92"/>
  <c r="C92" s="1"/>
  <c r="D91"/>
  <c r="A462" i="28" l="1"/>
  <c r="AY461"/>
  <c r="A461" i="3"/>
  <c r="B91"/>
  <c r="A91"/>
  <c r="C91" s="1"/>
  <c r="D90"/>
  <c r="A463" i="28" l="1"/>
  <c r="AY462"/>
  <c r="A462" i="3"/>
  <c r="B90"/>
  <c r="A90"/>
  <c r="C90" s="1"/>
  <c r="D89"/>
  <c r="A464" i="28" l="1"/>
  <c r="AY463"/>
  <c r="A463" i="3"/>
  <c r="B89"/>
  <c r="A89"/>
  <c r="C89" s="1"/>
  <c r="D88"/>
  <c r="A465" i="28" l="1"/>
  <c r="AY464"/>
  <c r="A464" i="3"/>
  <c r="B88"/>
  <c r="A88"/>
  <c r="C88" s="1"/>
  <c r="D87"/>
  <c r="A466" i="28" l="1"/>
  <c r="AY465"/>
  <c r="A465" i="3"/>
  <c r="B87"/>
  <c r="A87"/>
  <c r="C87" s="1"/>
  <c r="D86"/>
  <c r="A467" i="28" l="1"/>
  <c r="AY466"/>
  <c r="A466" i="3"/>
  <c r="B86"/>
  <c r="A86"/>
  <c r="C86" s="1"/>
  <c r="D85"/>
  <c r="AY467" i="28" l="1"/>
  <c r="A468"/>
  <c r="A467" i="3"/>
  <c r="B85"/>
  <c r="A85"/>
  <c r="C85" s="1"/>
  <c r="D84"/>
  <c r="A469" i="28" l="1"/>
  <c r="AY468"/>
  <c r="A468" i="3"/>
  <c r="B84"/>
  <c r="A84"/>
  <c r="C84" s="1"/>
  <c r="D83"/>
  <c r="A470" i="28" l="1"/>
  <c r="AY469"/>
  <c r="A469" i="3"/>
  <c r="B83"/>
  <c r="A83"/>
  <c r="C83" s="1"/>
  <c r="D82"/>
  <c r="A471" i="28" l="1"/>
  <c r="AY470"/>
  <c r="A470" i="3"/>
  <c r="B82"/>
  <c r="A82"/>
  <c r="C82" s="1"/>
  <c r="D81"/>
  <c r="A472" i="28" l="1"/>
  <c r="AY471"/>
  <c r="A471" i="3"/>
  <c r="B81"/>
  <c r="A81"/>
  <c r="C81" s="1"/>
  <c r="D80"/>
  <c r="A473" i="28" l="1"/>
  <c r="AY472"/>
  <c r="A472" i="3"/>
  <c r="B80"/>
  <c r="A80"/>
  <c r="C80" s="1"/>
  <c r="D79"/>
  <c r="A79"/>
  <c r="D78"/>
  <c r="A78"/>
  <c r="D77"/>
  <c r="A77"/>
  <c r="G89" i="13" s="1"/>
  <c r="D76" i="3"/>
  <c r="A76"/>
  <c r="C76" s="1"/>
  <c r="B76" s="1"/>
  <c r="D75"/>
  <c r="C75"/>
  <c r="B75" s="1"/>
  <c r="A75"/>
  <c r="D74"/>
  <c r="C74" s="1"/>
  <c r="B74" s="1"/>
  <c r="A74"/>
  <c r="D73"/>
  <c r="C73" s="1"/>
  <c r="B73" s="1"/>
  <c r="A73"/>
  <c r="D72"/>
  <c r="A72"/>
  <c r="C72" s="1"/>
  <c r="B72" s="1"/>
  <c r="D71"/>
  <c r="A71"/>
  <c r="D70"/>
  <c r="A70"/>
  <c r="D69"/>
  <c r="A69"/>
  <c r="D68"/>
  <c r="A68"/>
  <c r="C68" s="1"/>
  <c r="B68" s="1"/>
  <c r="D67"/>
  <c r="A67"/>
  <c r="C67" s="1"/>
  <c r="B67" s="1"/>
  <c r="D66"/>
  <c r="A66"/>
  <c r="D65"/>
  <c r="A65"/>
  <c r="D64"/>
  <c r="A64"/>
  <c r="C64" s="1"/>
  <c r="B64" s="1"/>
  <c r="D63"/>
  <c r="A63"/>
  <c r="C63" s="1"/>
  <c r="B63" s="1"/>
  <c r="D62"/>
  <c r="A62"/>
  <c r="C62" s="1"/>
  <c r="B62" s="1"/>
  <c r="D61"/>
  <c r="A61"/>
  <c r="C61" s="1"/>
  <c r="B61" s="1"/>
  <c r="D60"/>
  <c r="A60"/>
  <c r="D59"/>
  <c r="A59"/>
  <c r="D58"/>
  <c r="C58"/>
  <c r="B58" s="1"/>
  <c r="A58"/>
  <c r="D57"/>
  <c r="A57"/>
  <c r="C57" s="1"/>
  <c r="B57" s="1"/>
  <c r="D56"/>
  <c r="A56"/>
  <c r="D55"/>
  <c r="A55"/>
  <c r="C55" s="1"/>
  <c r="B55" s="1"/>
  <c r="D54"/>
  <c r="A54"/>
  <c r="C54" s="1"/>
  <c r="B54" s="1"/>
  <c r="D53"/>
  <c r="A53"/>
  <c r="C53" s="1"/>
  <c r="B53" s="1"/>
  <c r="D52"/>
  <c r="A52"/>
  <c r="D51"/>
  <c r="A51"/>
  <c r="D50"/>
  <c r="G86" i="13" l="1"/>
  <c r="G85"/>
  <c r="G87"/>
  <c r="G88"/>
  <c r="A474" i="28"/>
  <c r="AY473"/>
  <c r="A473" i="3"/>
  <c r="C51"/>
  <c r="B51" s="1"/>
  <c r="C52"/>
  <c r="B52" s="1"/>
  <c r="C77"/>
  <c r="B77" s="1"/>
  <c r="C78"/>
  <c r="B78" s="1"/>
  <c r="C79"/>
  <c r="B79" s="1"/>
  <c r="C56"/>
  <c r="B56" s="1"/>
  <c r="C59"/>
  <c r="B59" s="1"/>
  <c r="C60"/>
  <c r="B60" s="1"/>
  <c r="C65"/>
  <c r="B65" s="1"/>
  <c r="C66"/>
  <c r="B66" s="1"/>
  <c r="C69"/>
  <c r="B69" s="1"/>
  <c r="C70"/>
  <c r="B70" s="1"/>
  <c r="C71"/>
  <c r="B71" s="1"/>
  <c r="A50"/>
  <c r="C50" s="1"/>
  <c r="B50" s="1"/>
  <c r="D49"/>
  <c r="A49"/>
  <c r="C49" s="1"/>
  <c r="B49" s="1"/>
  <c r="D48"/>
  <c r="A48"/>
  <c r="D47"/>
  <c r="A47"/>
  <c r="D46"/>
  <c r="A46"/>
  <c r="C46" s="1"/>
  <c r="B46" s="1"/>
  <c r="D45"/>
  <c r="A45"/>
  <c r="C45" s="1"/>
  <c r="B45" s="1"/>
  <c r="D44"/>
  <c r="A44"/>
  <c r="D43"/>
  <c r="A43"/>
  <c r="D42"/>
  <c r="A42"/>
  <c r="C42" s="1"/>
  <c r="B42" s="1"/>
  <c r="D41"/>
  <c r="A41"/>
  <c r="C41" s="1"/>
  <c r="B41" s="1"/>
  <c r="D40"/>
  <c r="A40"/>
  <c r="D39"/>
  <c r="A39"/>
  <c r="C39" s="1"/>
  <c r="B39" s="1"/>
  <c r="D38"/>
  <c r="A38"/>
  <c r="C38" s="1"/>
  <c r="B38" s="1"/>
  <c r="D37"/>
  <c r="A37"/>
  <c r="C37" s="1"/>
  <c r="B37" s="1"/>
  <c r="D36"/>
  <c r="A36"/>
  <c r="D35"/>
  <c r="A35"/>
  <c r="D34"/>
  <c r="A34"/>
  <c r="C34" s="1"/>
  <c r="B34" s="1"/>
  <c r="D33"/>
  <c r="A33"/>
  <c r="D32"/>
  <c r="A32"/>
  <c r="C32" s="1"/>
  <c r="B32" s="1"/>
  <c r="D31"/>
  <c r="A31"/>
  <c r="D30"/>
  <c r="A30"/>
  <c r="D29"/>
  <c r="A29"/>
  <c r="D28"/>
  <c r="A28"/>
  <c r="D27"/>
  <c r="A27"/>
  <c r="C27" s="1"/>
  <c r="B27" s="1"/>
  <c r="D26"/>
  <c r="A26"/>
  <c r="L26" s="1"/>
  <c r="D41" i="52" s="1"/>
  <c r="D25" i="3"/>
  <c r="A25"/>
  <c r="A475" i="28" l="1"/>
  <c r="AY474"/>
  <c r="A474" i="3"/>
  <c r="C25"/>
  <c r="B25" s="1"/>
  <c r="C30"/>
  <c r="B30" s="1"/>
  <c r="C40"/>
  <c r="B40" s="1"/>
  <c r="C26"/>
  <c r="B26" s="1"/>
  <c r="C33"/>
  <c r="B33" s="1"/>
  <c r="C44"/>
  <c r="B44" s="1"/>
  <c r="C47"/>
  <c r="B47" s="1"/>
  <c r="C43"/>
  <c r="B43" s="1"/>
  <c r="L25"/>
  <c r="D40" i="52" s="1"/>
  <c r="C28" i="3"/>
  <c r="B28" s="1"/>
  <c r="C31"/>
  <c r="B31" s="1"/>
  <c r="C35"/>
  <c r="B35" s="1"/>
  <c r="C36"/>
  <c r="B36" s="1"/>
  <c r="C48"/>
  <c r="B48" s="1"/>
  <c r="C29"/>
  <c r="B29" s="1"/>
  <c r="L29"/>
  <c r="D44" i="52" s="1"/>
  <c r="D24" i="3"/>
  <c r="A24"/>
  <c r="L24" s="1"/>
  <c r="D39" i="52" s="1"/>
  <c r="D23" i="3"/>
  <c r="A23"/>
  <c r="L23" s="1"/>
  <c r="D38" i="52" s="1"/>
  <c r="D22" i="3"/>
  <c r="A22"/>
  <c r="D21"/>
  <c r="C21"/>
  <c r="B21" s="1"/>
  <c r="A21"/>
  <c r="D20"/>
  <c r="A20"/>
  <c r="D19"/>
  <c r="A19"/>
  <c r="L19" s="1"/>
  <c r="D34" i="52" s="1"/>
  <c r="D18" i="3"/>
  <c r="A18"/>
  <c r="L18" s="1"/>
  <c r="D33" i="52" s="1"/>
  <c r="D17" i="3"/>
  <c r="A17"/>
  <c r="C17" s="1"/>
  <c r="B17" s="1"/>
  <c r="D16"/>
  <c r="A16"/>
  <c r="A476" i="28" l="1"/>
  <c r="AY475"/>
  <c r="A475" i="3"/>
  <c r="C22"/>
  <c r="B22" s="1"/>
  <c r="C24"/>
  <c r="B24" s="1"/>
  <c r="C18"/>
  <c r="B18" s="1"/>
  <c r="C19"/>
  <c r="B19" s="1"/>
  <c r="L20"/>
  <c r="D35" i="52" s="1"/>
  <c r="C16" i="3"/>
  <c r="B16" s="1"/>
  <c r="C20"/>
  <c r="B20" s="1"/>
  <c r="L22"/>
  <c r="D37" i="52" s="1"/>
  <c r="C23" i="3"/>
  <c r="B23" s="1"/>
  <c r="L16"/>
  <c r="D31" i="52" s="1"/>
  <c r="D15" i="3"/>
  <c r="A15"/>
  <c r="C15" s="1"/>
  <c r="B15" s="1"/>
  <c r="A477" i="28" l="1"/>
  <c r="AY476"/>
  <c r="A476" i="3"/>
  <c r="D14"/>
  <c r="A478" i="28" l="1"/>
  <c r="AY477"/>
  <c r="A477" i="3"/>
  <c r="A14"/>
  <c r="C14" s="1"/>
  <c r="B14" s="1"/>
  <c r="AA13"/>
  <c r="Z13"/>
  <c r="V13"/>
  <c r="D13"/>
  <c r="A13"/>
  <c r="V12"/>
  <c r="D12"/>
  <c r="A12"/>
  <c r="L12" s="1"/>
  <c r="D27" i="52" s="1"/>
  <c r="A479" i="28" l="1"/>
  <c r="AY478"/>
  <c r="A478" i="3"/>
  <c r="C12"/>
  <c r="B12" s="1"/>
  <c r="AR13"/>
  <c r="AQ13" s="1"/>
  <c r="AP13" s="1"/>
  <c r="AO13" s="1"/>
  <c r="AN13" s="1"/>
  <c r="AM13" s="1"/>
  <c r="AL13" s="1"/>
  <c r="AK13" s="1"/>
  <c r="AJ13" s="1"/>
  <c r="AI13" s="1"/>
  <c r="AH13" s="1"/>
  <c r="AG13" s="1"/>
  <c r="AF13" s="1"/>
  <c r="AE13" s="1"/>
  <c r="AD13" s="1"/>
  <c r="AC13" s="1"/>
  <c r="AB13" s="1"/>
  <c r="L14"/>
  <c r="D29" i="52" s="1"/>
  <c r="C13" i="3"/>
  <c r="B13" s="1"/>
  <c r="V11"/>
  <c r="A480" i="28" l="1"/>
  <c r="AY479"/>
  <c r="A479" i="3"/>
  <c r="C479" s="1"/>
  <c r="C478"/>
  <c r="D11"/>
  <c r="A11"/>
  <c r="L11" s="1"/>
  <c r="D26" i="52" s="1"/>
  <c r="V10" i="3"/>
  <c r="D10"/>
  <c r="A10"/>
  <c r="V9"/>
  <c r="A481" i="28" l="1"/>
  <c r="AY480"/>
  <c r="A480" i="3"/>
  <c r="C480" s="1"/>
  <c r="C449"/>
  <c r="C450"/>
  <c r="C451"/>
  <c r="C452"/>
  <c r="C453"/>
  <c r="C454"/>
  <c r="C455"/>
  <c r="C456"/>
  <c r="C457"/>
  <c r="C458"/>
  <c r="C459"/>
  <c r="C460"/>
  <c r="C461"/>
  <c r="C462"/>
  <c r="C463"/>
  <c r="C464"/>
  <c r="C465"/>
  <c r="C466"/>
  <c r="C467"/>
  <c r="C468"/>
  <c r="C469"/>
  <c r="C470"/>
  <c r="C471"/>
  <c r="C472"/>
  <c r="C473"/>
  <c r="C474"/>
  <c r="C475"/>
  <c r="C476"/>
  <c r="C477"/>
  <c r="C10"/>
  <c r="B10" s="1"/>
  <c r="C11"/>
  <c r="B11" s="1"/>
  <c r="D9"/>
  <c r="A9"/>
  <c r="L9" s="1"/>
  <c r="D24" i="52" s="1"/>
  <c r="V8" i="3"/>
  <c r="D8"/>
  <c r="AY481" i="28" l="1"/>
  <c r="A482"/>
  <c r="A481" i="3"/>
  <c r="C9"/>
  <c r="B9" s="1"/>
  <c r="A8"/>
  <c r="V7"/>
  <c r="D7"/>
  <c r="AY482" i="28" l="1"/>
  <c r="A483"/>
  <c r="A482" i="3"/>
  <c r="C8"/>
  <c r="B8" s="1"/>
  <c r="L8"/>
  <c r="D23" i="52" s="1"/>
  <c r="A7" i="3"/>
  <c r="V6"/>
  <c r="D6"/>
  <c r="AY483" i="28" l="1"/>
  <c r="A483" i="3"/>
  <c r="A484" i="28"/>
  <c r="L7" i="3"/>
  <c r="D22" i="52" s="1"/>
  <c r="C7" i="3"/>
  <c r="B7" s="1"/>
  <c r="A6"/>
  <c r="C6" s="1"/>
  <c r="B6" s="1"/>
  <c r="V5"/>
  <c r="D5"/>
  <c r="A5"/>
  <c r="C5" s="1"/>
  <c r="B5" s="1"/>
  <c r="V4"/>
  <c r="D4"/>
  <c r="A4"/>
  <c r="L4" s="1"/>
  <c r="D19" i="52" s="1"/>
  <c r="V3" i="3"/>
  <c r="D3"/>
  <c r="A3"/>
  <c r="L3" s="1"/>
  <c r="D18" i="52" s="1"/>
  <c r="Y2" i="3"/>
  <c r="Y3" s="1"/>
  <c r="V2"/>
  <c r="A484" l="1"/>
  <c r="A485" i="28"/>
  <c r="Y4" i="3"/>
  <c r="C7" i="24"/>
  <c r="C4" i="3"/>
  <c r="B4" s="1"/>
  <c r="C3"/>
  <c r="B3" s="1"/>
  <c r="D2"/>
  <c r="A486" i="28" l="1"/>
  <c r="AY485"/>
  <c r="A485" i="3"/>
  <c r="Y5"/>
  <c r="Y6" s="1"/>
  <c r="A2"/>
  <c r="L2" s="1"/>
  <c r="D17" i="52" s="1"/>
  <c r="G48" i="47"/>
  <c r="D45"/>
  <c r="G44"/>
  <c r="C44"/>
  <c r="D42"/>
  <c r="G41"/>
  <c r="C41"/>
  <c r="D39"/>
  <c r="G38"/>
  <c r="C38"/>
  <c r="D36"/>
  <c r="G35"/>
  <c r="C35"/>
  <c r="D33"/>
  <c r="G32"/>
  <c r="C32"/>
  <c r="D30"/>
  <c r="G29"/>
  <c r="C29"/>
  <c r="D27"/>
  <c r="G26"/>
  <c r="C26"/>
  <c r="D24"/>
  <c r="C23"/>
  <c r="C10" i="46" s="1"/>
  <c r="C20" i="47"/>
  <c r="C17"/>
  <c r="C14"/>
  <c r="C11"/>
  <c r="B11"/>
  <c r="B14" s="1"/>
  <c r="B17" s="1"/>
  <c r="H7"/>
  <c r="D45" i="48"/>
  <c r="D42"/>
  <c r="D39"/>
  <c r="D36"/>
  <c r="D33"/>
  <c r="D30"/>
  <c r="D27"/>
  <c r="D24"/>
  <c r="C2" i="3" l="1"/>
  <c r="B2" s="1"/>
  <c r="A487" i="28"/>
  <c r="AY486"/>
  <c r="A486" i="3"/>
  <c r="B20" i="47"/>
  <c r="B23" s="1"/>
  <c r="B26" s="1"/>
  <c r="B29" s="1"/>
  <c r="K4" i="48"/>
  <c r="A488" i="28" l="1"/>
  <c r="A487" i="3"/>
  <c r="AY487" i="28"/>
  <c r="B32" i="47"/>
  <c r="B35" s="1"/>
  <c r="B38" s="1"/>
  <c r="B41" s="1"/>
  <c r="B44" s="1"/>
  <c r="L4" i="48" s="1"/>
  <c r="B11" s="1"/>
  <c r="H7"/>
  <c r="F24" i="46"/>
  <c r="M24" s="1"/>
  <c r="AY488" i="28" l="1"/>
  <c r="A489"/>
  <c r="A488" i="3"/>
  <c r="B14" i="48"/>
  <c r="B17" s="1"/>
  <c r="B20" s="1"/>
  <c r="B23" s="1"/>
  <c r="B26" s="1"/>
  <c r="B29" s="1"/>
  <c r="B32" s="1"/>
  <c r="B35" s="1"/>
  <c r="B38" s="1"/>
  <c r="B41" s="1"/>
  <c r="B44" s="1"/>
  <c r="A489" i="3" l="1"/>
  <c r="A490" i="28"/>
  <c r="F10" i="49"/>
  <c r="E19" i="46"/>
  <c r="L19" s="1"/>
  <c r="I19" s="1"/>
  <c r="M10"/>
  <c r="J10"/>
  <c r="F7"/>
  <c r="M7" s="1"/>
  <c r="J6"/>
  <c r="AY490" i="28" l="1"/>
  <c r="A491"/>
  <c r="A490" i="3"/>
  <c r="F24" i="49"/>
  <c r="M24" s="1"/>
  <c r="A492" i="28" l="1"/>
  <c r="AY491"/>
  <c r="A491" i="3"/>
  <c r="E19" i="49"/>
  <c r="A493" i="28" l="1"/>
  <c r="AY492"/>
  <c r="A492" i="3"/>
  <c r="M10" i="49"/>
  <c r="L19"/>
  <c r="F7"/>
  <c r="M7" s="1"/>
  <c r="J6"/>
  <c r="B87" i="22"/>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A494" i="28" l="1"/>
  <c r="AY493"/>
  <c r="A493" i="3"/>
  <c r="B31" i="41"/>
  <c r="B30"/>
  <c r="B29"/>
  <c r="B28"/>
  <c r="B27"/>
  <c r="B26"/>
  <c r="B25"/>
  <c r="B24"/>
  <c r="B23"/>
  <c r="A494" i="3" l="1"/>
  <c r="A495" i="28"/>
  <c r="B22" i="41"/>
  <c r="B21"/>
  <c r="B20"/>
  <c r="C494" i="3" l="1"/>
  <c r="A496" i="28"/>
  <c r="AY495"/>
  <c r="A495" i="3"/>
  <c r="C495" s="1"/>
  <c r="B19" i="41"/>
  <c r="A497" i="28" l="1"/>
  <c r="AY496"/>
  <c r="A496" i="3"/>
  <c r="C496" s="1"/>
  <c r="C481"/>
  <c r="C482"/>
  <c r="C483"/>
  <c r="C484"/>
  <c r="C485"/>
  <c r="C486"/>
  <c r="C487"/>
  <c r="C488"/>
  <c r="C489"/>
  <c r="C490"/>
  <c r="C491"/>
  <c r="C492"/>
  <c r="C493"/>
  <c r="B18" i="41"/>
  <c r="B17"/>
  <c r="B16"/>
  <c r="B15"/>
  <c r="B14"/>
  <c r="B13"/>
  <c r="B12"/>
  <c r="B11"/>
  <c r="B10"/>
  <c r="A498" i="28" l="1"/>
  <c r="AY497"/>
  <c r="A497" i="3"/>
  <c r="C497" s="1"/>
  <c r="B16" i="42"/>
  <c r="B15"/>
  <c r="B14"/>
  <c r="B13"/>
  <c r="A499" i="28" l="1"/>
  <c r="AY498"/>
  <c r="A498" i="3"/>
  <c r="C498" s="1"/>
  <c r="B12" i="42"/>
  <c r="B11"/>
  <c r="A499" i="3" l="1"/>
  <c r="C499" s="1"/>
  <c r="AY499" i="28"/>
  <c r="B10" i="42"/>
  <c r="BF47" i="18" l="1"/>
  <c r="A12" i="21" l="1"/>
  <c r="B87" i="20"/>
  <c r="B88" s="1"/>
  <c r="B86"/>
  <c r="B85"/>
  <c r="B84"/>
  <c r="B83"/>
  <c r="F77"/>
  <c r="F40"/>
  <c r="F95" i="17" l="1"/>
  <c r="G94" s="1"/>
  <c r="E94"/>
  <c r="D94" s="1"/>
  <c r="C94" s="1"/>
  <c r="A94"/>
  <c r="G93" s="1"/>
  <c r="E93"/>
  <c r="D93" s="1"/>
  <c r="C93" s="1"/>
  <c r="A93"/>
  <c r="G92" s="1"/>
  <c r="E92"/>
  <c r="D92" s="1"/>
  <c r="C92" s="1"/>
  <c r="A92"/>
  <c r="G91" s="1"/>
  <c r="F91"/>
  <c r="E91"/>
  <c r="D91" s="1"/>
  <c r="C91" s="1"/>
  <c r="A91"/>
  <c r="G90" s="1"/>
  <c r="E90"/>
  <c r="D90" s="1"/>
  <c r="C90" s="1"/>
  <c r="A90"/>
  <c r="G89" s="1"/>
  <c r="E89"/>
  <c r="D89" s="1"/>
  <c r="C89" s="1"/>
  <c r="A89"/>
  <c r="G88" s="1"/>
  <c r="E88"/>
  <c r="D88" s="1"/>
  <c r="C88" s="1"/>
  <c r="A88"/>
  <c r="G87" s="1"/>
  <c r="E87"/>
  <c r="D87" s="1"/>
  <c r="C87" s="1"/>
  <c r="A87"/>
  <c r="G86" s="1"/>
  <c r="E86"/>
  <c r="D86" s="1"/>
  <c r="C86" s="1"/>
  <c r="A86"/>
  <c r="G85" s="1"/>
  <c r="E85"/>
  <c r="D85" s="1"/>
  <c r="C85" s="1"/>
  <c r="A85"/>
  <c r="G84" s="1"/>
  <c r="E84"/>
  <c r="D84" s="1"/>
  <c r="C84" s="1"/>
  <c r="A84"/>
  <c r="G83" s="1"/>
  <c r="F83"/>
  <c r="E83"/>
  <c r="D83" s="1"/>
  <c r="C83" s="1"/>
  <c r="A83"/>
  <c r="G82" s="1"/>
  <c r="E82"/>
  <c r="D82" s="1"/>
  <c r="C82" s="1"/>
  <c r="A82"/>
  <c r="G81" s="1"/>
  <c r="E81"/>
  <c r="D81" s="1"/>
  <c r="C81" s="1"/>
  <c r="A81"/>
  <c r="G80" s="1"/>
  <c r="E80"/>
  <c r="D80" s="1"/>
  <c r="C80" s="1"/>
  <c r="A80"/>
  <c r="G79" s="1"/>
  <c r="E79"/>
  <c r="D79" s="1"/>
  <c r="C79" s="1"/>
  <c r="A79"/>
  <c r="G78" s="1"/>
  <c r="E78"/>
  <c r="D78" s="1"/>
  <c r="C78" s="1"/>
  <c r="A78"/>
  <c r="G77" s="1"/>
  <c r="F77"/>
  <c r="E77"/>
  <c r="D77" s="1"/>
  <c r="C77" s="1"/>
  <c r="A77"/>
  <c r="G76" s="1"/>
  <c r="E76"/>
  <c r="D76" s="1"/>
  <c r="C76" s="1"/>
  <c r="A76"/>
  <c r="G75" s="1"/>
  <c r="E75"/>
  <c r="D75" s="1"/>
  <c r="C75" s="1"/>
  <c r="A75"/>
  <c r="G74" s="1"/>
  <c r="E74"/>
  <c r="D74" s="1"/>
  <c r="C74" s="1"/>
  <c r="A74"/>
  <c r="G73" s="1"/>
  <c r="E73"/>
  <c r="D73" s="1"/>
  <c r="C73" s="1"/>
  <c r="A73"/>
  <c r="G72" s="1"/>
  <c r="E72"/>
  <c r="D72" s="1"/>
  <c r="C72" s="1"/>
  <c r="A72"/>
  <c r="G71" s="1"/>
  <c r="E71"/>
  <c r="D71" s="1"/>
  <c r="C71" s="1"/>
  <c r="A71"/>
  <c r="G70" s="1"/>
  <c r="E70"/>
  <c r="D70" s="1"/>
  <c r="C70" s="1"/>
  <c r="A70"/>
  <c r="G69" s="1"/>
  <c r="F69"/>
  <c r="E69"/>
  <c r="D69" s="1"/>
  <c r="C69" s="1"/>
  <c r="A69"/>
  <c r="G68" s="1"/>
  <c r="E68"/>
  <c r="D68" s="1"/>
  <c r="C68" s="1"/>
  <c r="A68"/>
  <c r="G67" s="1"/>
  <c r="E67"/>
  <c r="D67" s="1"/>
  <c r="C67" s="1"/>
  <c r="A67"/>
  <c r="G66" s="1"/>
  <c r="E66"/>
  <c r="D66" s="1"/>
  <c r="C66" s="1"/>
  <c r="A66"/>
  <c r="G65" s="1"/>
  <c r="E65"/>
  <c r="D65" s="1"/>
  <c r="C65" s="1"/>
  <c r="A65"/>
  <c r="G64" s="1"/>
  <c r="E64"/>
  <c r="D64" s="1"/>
  <c r="C64" s="1"/>
  <c r="A64"/>
  <c r="G63" s="1"/>
  <c r="E63"/>
  <c r="D63" s="1"/>
  <c r="C63" s="1"/>
  <c r="A63"/>
  <c r="G62" s="1"/>
  <c r="E62"/>
  <c r="D62" s="1"/>
  <c r="C62" s="1"/>
  <c r="A62"/>
  <c r="G61" s="1"/>
  <c r="E61"/>
  <c r="D61" s="1"/>
  <c r="C61" s="1"/>
  <c r="A61"/>
  <c r="G60" s="1"/>
  <c r="E60"/>
  <c r="D60" s="1"/>
  <c r="C60" s="1"/>
  <c r="A60"/>
  <c r="G59" s="1"/>
  <c r="E59"/>
  <c r="D59" s="1"/>
  <c r="C59" s="1"/>
  <c r="A59"/>
  <c r="G58" s="1"/>
  <c r="E58"/>
  <c r="D58" s="1"/>
  <c r="C58" s="1"/>
  <c r="A58"/>
  <c r="G57" s="1"/>
  <c r="E57"/>
  <c r="D57" s="1"/>
  <c r="C57" s="1"/>
  <c r="A57"/>
  <c r="G56" s="1"/>
  <c r="E56"/>
  <c r="D56" s="1"/>
  <c r="C56" s="1"/>
  <c r="A56"/>
  <c r="G55" s="1"/>
  <c r="F55"/>
  <c r="E55"/>
  <c r="D55" s="1"/>
  <c r="C55" s="1"/>
  <c r="A55"/>
  <c r="G54" s="1"/>
  <c r="E54"/>
  <c r="D54" s="1"/>
  <c r="C54" s="1"/>
  <c r="A54"/>
  <c r="G53" s="1"/>
  <c r="E53"/>
  <c r="D53" s="1"/>
  <c r="C53" s="1"/>
  <c r="A53"/>
  <c r="G52" s="1"/>
  <c r="E52"/>
  <c r="D52" s="1"/>
  <c r="C52" s="1"/>
  <c r="A52"/>
  <c r="G51" s="1"/>
  <c r="F51"/>
  <c r="E51"/>
  <c r="D51" s="1"/>
  <c r="C51" s="1"/>
  <c r="A51"/>
  <c r="G50" s="1"/>
  <c r="E50"/>
  <c r="D50" s="1"/>
  <c r="C50" s="1"/>
  <c r="A50"/>
  <c r="G49" s="1"/>
  <c r="E49"/>
  <c r="D49" s="1"/>
  <c r="C49" s="1"/>
  <c r="A49"/>
  <c r="G48" s="1"/>
  <c r="E48"/>
  <c r="D48" s="1"/>
  <c r="C48" s="1"/>
  <c r="A48"/>
  <c r="G47" s="1"/>
  <c r="F47"/>
  <c r="E47"/>
  <c r="D47" s="1"/>
  <c r="C47" s="1"/>
  <c r="A47"/>
  <c r="G46" s="1"/>
  <c r="E46"/>
  <c r="D46" s="1"/>
  <c r="C46" s="1"/>
  <c r="A46"/>
  <c r="G45" s="1"/>
  <c r="E45"/>
  <c r="D45" s="1"/>
  <c r="C45" s="1"/>
  <c r="A45"/>
  <c r="G44" s="1"/>
  <c r="E44"/>
  <c r="D44" s="1"/>
  <c r="C44" s="1"/>
  <c r="A44"/>
  <c r="G43" s="1"/>
  <c r="F43"/>
  <c r="E43"/>
  <c r="D43" s="1"/>
  <c r="C43" s="1"/>
  <c r="A43"/>
  <c r="G42" s="1"/>
  <c r="E42"/>
  <c r="D42" s="1"/>
  <c r="C42" s="1"/>
  <c r="A42"/>
  <c r="G41" s="1"/>
  <c r="E41"/>
  <c r="D41" s="1"/>
  <c r="C41" s="1"/>
  <c r="A41"/>
  <c r="G40" s="1"/>
  <c r="E40"/>
  <c r="D40" s="1"/>
  <c r="C40" s="1"/>
  <c r="A40"/>
  <c r="G39" s="1"/>
  <c r="F39"/>
  <c r="E39"/>
  <c r="D39" s="1"/>
  <c r="C39" s="1"/>
  <c r="A39"/>
  <c r="G38" s="1"/>
  <c r="E38"/>
  <c r="D38" s="1"/>
  <c r="C38" s="1"/>
  <c r="A38"/>
  <c r="G37" s="1"/>
  <c r="E37"/>
  <c r="D37" s="1"/>
  <c r="C37" s="1"/>
  <c r="A37"/>
  <c r="G36" s="1"/>
  <c r="E36"/>
  <c r="D36" s="1"/>
  <c r="C36" s="1"/>
  <c r="A36"/>
  <c r="G35" s="1"/>
  <c r="F35"/>
  <c r="E35"/>
  <c r="D35" s="1"/>
  <c r="C35" s="1"/>
  <c r="A35"/>
  <c r="G34" s="1"/>
  <c r="E34"/>
  <c r="D34" s="1"/>
  <c r="C34" s="1"/>
  <c r="A34"/>
  <c r="G33" s="1"/>
  <c r="E33"/>
  <c r="D33" s="1"/>
  <c r="C33" s="1"/>
  <c r="A33"/>
  <c r="G32" s="1"/>
  <c r="E32"/>
  <c r="D32" s="1"/>
  <c r="C32" s="1"/>
  <c r="A32"/>
  <c r="G31" s="1"/>
  <c r="F31"/>
  <c r="E31"/>
  <c r="D31" s="1"/>
  <c r="C31" s="1"/>
  <c r="A31"/>
  <c r="G30" s="1"/>
  <c r="E30"/>
  <c r="D30" s="1"/>
  <c r="C30" s="1"/>
  <c r="A30"/>
  <c r="G29" s="1"/>
  <c r="E29"/>
  <c r="D29" s="1"/>
  <c r="C29" s="1"/>
  <c r="A29"/>
  <c r="G28" s="1"/>
  <c r="E28"/>
  <c r="D28" s="1"/>
  <c r="C28" s="1"/>
  <c r="A28"/>
  <c r="G27" s="1"/>
  <c r="F27"/>
  <c r="E27"/>
  <c r="D27" s="1"/>
  <c r="C27" s="1"/>
  <c r="A27"/>
  <c r="G26" s="1"/>
  <c r="E26"/>
  <c r="D26" s="1"/>
  <c r="C26" s="1"/>
  <c r="A26"/>
  <c r="G25" s="1"/>
  <c r="E25"/>
  <c r="D25" s="1"/>
  <c r="C25" s="1"/>
  <c r="A25"/>
  <c r="G24" s="1"/>
  <c r="E24"/>
  <c r="D24" s="1"/>
  <c r="C24" s="1"/>
  <c r="A24"/>
  <c r="G23" s="1"/>
  <c r="F23"/>
  <c r="E23"/>
  <c r="D23"/>
  <c r="C23" s="1"/>
  <c r="A23"/>
  <c r="G22" s="1"/>
  <c r="F22"/>
  <c r="E22"/>
  <c r="D22" s="1"/>
  <c r="C22" s="1"/>
  <c r="A22"/>
  <c r="G21" s="1"/>
  <c r="E21"/>
  <c r="F21" s="1"/>
  <c r="D21"/>
  <c r="C21" s="1"/>
  <c r="A21"/>
  <c r="G20" s="1"/>
  <c r="E20"/>
  <c r="F20" s="1"/>
  <c r="D20"/>
  <c r="C20" s="1"/>
  <c r="A20"/>
  <c r="G19" s="1"/>
  <c r="F19" s="1"/>
  <c r="E19"/>
  <c r="D19"/>
  <c r="C19" s="1"/>
  <c r="A19"/>
  <c r="G18" s="1"/>
  <c r="E18"/>
  <c r="D18" s="1"/>
  <c r="C18" s="1"/>
  <c r="A18"/>
  <c r="G17" s="1"/>
  <c r="E17"/>
  <c r="F17" s="1"/>
  <c r="D17"/>
  <c r="C17" s="1"/>
  <c r="A17"/>
  <c r="F87" l="1"/>
  <c r="F73"/>
  <c r="F65"/>
  <c r="F18"/>
  <c r="F25"/>
  <c r="F29"/>
  <c r="F33"/>
  <c r="F37"/>
  <c r="F41"/>
  <c r="F45"/>
  <c r="F49"/>
  <c r="F53"/>
  <c r="F63"/>
  <c r="F67"/>
  <c r="F71"/>
  <c r="F75"/>
  <c r="F79"/>
  <c r="F81"/>
  <c r="F85"/>
  <c r="F89"/>
  <c r="F93"/>
  <c r="E104"/>
  <c r="E100"/>
  <c r="E96"/>
  <c r="E102"/>
  <c r="E98"/>
  <c r="F57"/>
  <c r="F59"/>
  <c r="F61"/>
  <c r="F24"/>
  <c r="F26"/>
  <c r="F28"/>
  <c r="F30"/>
  <c r="F32"/>
  <c r="F34"/>
  <c r="F36"/>
  <c r="F38"/>
  <c r="F40"/>
  <c r="F42"/>
  <c r="F44"/>
  <c r="F46"/>
  <c r="F48"/>
  <c r="F50"/>
  <c r="F52"/>
  <c r="F54"/>
  <c r="F56"/>
  <c r="F58"/>
  <c r="F60"/>
  <c r="F62"/>
  <c r="F64"/>
  <c r="F66"/>
  <c r="F68"/>
  <c r="F70"/>
  <c r="F72"/>
  <c r="F74"/>
  <c r="F76"/>
  <c r="F78"/>
  <c r="F80"/>
  <c r="F82"/>
  <c r="F84"/>
  <c r="F86"/>
  <c r="F88"/>
  <c r="F90"/>
  <c r="F92"/>
  <c r="F94"/>
  <c r="C105"/>
  <c r="C101"/>
  <c r="C99"/>
  <c r="C97"/>
  <c r="C103"/>
  <c r="E38" i="35" l="1"/>
  <c r="D38" s="1"/>
  <c r="E37"/>
  <c r="D37" s="1"/>
  <c r="E36"/>
  <c r="E35"/>
  <c r="D35" s="1"/>
  <c r="E34"/>
  <c r="D34" s="1"/>
  <c r="E33"/>
  <c r="D33" s="1"/>
  <c r="E32"/>
  <c r="E31"/>
  <c r="D31" s="1"/>
  <c r="E30"/>
  <c r="E29"/>
  <c r="D29" s="1"/>
  <c r="E28"/>
  <c r="E27"/>
  <c r="D27" s="1"/>
  <c r="E26"/>
  <c r="D26" s="1"/>
  <c r="E25"/>
  <c r="E24"/>
  <c r="D24" s="1"/>
  <c r="E23"/>
  <c r="D23" s="1"/>
  <c r="E22"/>
  <c r="D22" s="1"/>
  <c r="E21"/>
  <c r="E20"/>
  <c r="E19"/>
  <c r="D19" s="1"/>
  <c r="E18"/>
  <c r="D18" s="1"/>
  <c r="E17"/>
  <c r="D17" s="1"/>
  <c r="B18" i="15"/>
  <c r="B17"/>
  <c r="B16"/>
  <c r="B15"/>
  <c r="B14"/>
  <c r="D11"/>
  <c r="Y7" i="3" s="1"/>
  <c r="B9" i="15"/>
  <c r="D30" i="16"/>
  <c r="L16"/>
  <c r="J16"/>
  <c r="H16"/>
  <c r="D11"/>
  <c r="G33" s="1"/>
  <c r="B11"/>
  <c r="F14" i="21" l="1"/>
  <c r="F17" i="35"/>
  <c r="F33" i="20"/>
  <c r="F33" i="36"/>
  <c r="Y8" i="3"/>
  <c r="D5" i="22"/>
  <c r="H9" s="1"/>
  <c r="K6" i="20"/>
  <c r="B83" i="36"/>
  <c r="Y9" i="3" l="1"/>
  <c r="B84" i="36"/>
  <c r="D10" i="17"/>
  <c r="G16" s="1"/>
  <c r="E30" i="33"/>
  <c r="F9"/>
  <c r="Y10" i="3" l="1"/>
  <c r="B85" i="36"/>
  <c r="AE9" i="14"/>
  <c r="F9"/>
  <c r="AE8"/>
  <c r="AE7"/>
  <c r="B7" i="17"/>
  <c r="P59" i="51"/>
  <c r="F55"/>
  <c r="B55"/>
  <c r="Y11" i="3" l="1"/>
  <c r="G14" i="38" s="1"/>
  <c r="B86" i="36"/>
  <c r="D5" i="42"/>
  <c r="H9" s="1"/>
  <c r="D5" i="41"/>
  <c r="H9" s="1"/>
  <c r="E30" i="34"/>
  <c r="B8" i="17"/>
  <c r="B7" i="35"/>
  <c r="P49" i="51"/>
  <c r="P39"/>
  <c r="G14" i="53" l="1"/>
  <c r="Y12" i="3"/>
  <c r="D10" i="52" s="1"/>
  <c r="G16" s="1"/>
  <c r="B87" i="36"/>
  <c r="AG29" i="51"/>
  <c r="B88" i="36" l="1"/>
  <c r="D10" i="35"/>
  <c r="G16" s="1"/>
  <c r="F9" i="34"/>
  <c r="K6" i="36"/>
  <c r="P29" i="51"/>
  <c r="P19"/>
  <c r="W15"/>
  <c r="W25" s="1"/>
  <c r="W5"/>
  <c r="F5"/>
  <c r="F15" s="1"/>
  <c r="F25" s="1"/>
  <c r="F35" s="1"/>
  <c r="F45" s="1"/>
  <c r="Z52" i="29" l="1"/>
  <c r="Z38"/>
  <c r="Z36"/>
  <c r="A36"/>
  <c r="Z35"/>
  <c r="A35"/>
  <c r="A35" i="38" s="1"/>
  <c r="Z34" i="29"/>
  <c r="A34"/>
  <c r="A34" i="38" s="1"/>
  <c r="Z33" i="29"/>
  <c r="D35" i="38" l="1"/>
  <c r="G35"/>
  <c r="E35"/>
  <c r="F35" s="1"/>
  <c r="C35"/>
  <c r="G34"/>
  <c r="E34"/>
  <c r="F34" s="1"/>
  <c r="C34"/>
  <c r="D34"/>
  <c r="G36" i="29"/>
  <c r="A36" i="38"/>
  <c r="E36" i="29"/>
  <c r="C36"/>
  <c r="J21" i="3"/>
  <c r="A36" i="52" s="1"/>
  <c r="G36" s="1"/>
  <c r="A29" i="41"/>
  <c r="J22" i="3"/>
  <c r="A37" i="52" s="1"/>
  <c r="G37" s="1"/>
  <c r="A30" i="41"/>
  <c r="E35" i="39"/>
  <c r="K23" i="3"/>
  <c r="C31" i="41"/>
  <c r="J23" i="3"/>
  <c r="A38" i="52" s="1"/>
  <c r="G38" s="1"/>
  <c r="A31" i="41"/>
  <c r="D34" i="29"/>
  <c r="F34"/>
  <c r="L34"/>
  <c r="N34"/>
  <c r="P34"/>
  <c r="R34"/>
  <c r="T34"/>
  <c r="V34"/>
  <c r="D35"/>
  <c r="F35"/>
  <c r="K35"/>
  <c r="M35"/>
  <c r="O35"/>
  <c r="Q35"/>
  <c r="S35"/>
  <c r="U35"/>
  <c r="W35"/>
  <c r="Y35"/>
  <c r="C34"/>
  <c r="E34"/>
  <c r="G34"/>
  <c r="K34"/>
  <c r="M34"/>
  <c r="O34"/>
  <c r="Q34"/>
  <c r="S34"/>
  <c r="U34"/>
  <c r="W34"/>
  <c r="Y34"/>
  <c r="C35"/>
  <c r="E35"/>
  <c r="G35"/>
  <c r="L35"/>
  <c r="N35"/>
  <c r="P35"/>
  <c r="R35"/>
  <c r="T35"/>
  <c r="V35"/>
  <c r="D36"/>
  <c r="F36"/>
  <c r="L36"/>
  <c r="N36"/>
  <c r="P36"/>
  <c r="R36"/>
  <c r="T36"/>
  <c r="V36"/>
  <c r="K36"/>
  <c r="M36"/>
  <c r="O36"/>
  <c r="Q36"/>
  <c r="S36"/>
  <c r="U36"/>
  <c r="W36"/>
  <c r="Y36"/>
  <c r="A33"/>
  <c r="Z32"/>
  <c r="A32"/>
  <c r="U32" s="1"/>
  <c r="Z31"/>
  <c r="A31"/>
  <c r="Z30"/>
  <c r="A30"/>
  <c r="A30" i="38" s="1"/>
  <c r="Z29" i="29"/>
  <c r="M32" l="1"/>
  <c r="C32"/>
  <c r="G30" i="38"/>
  <c r="E30"/>
  <c r="F30" s="1"/>
  <c r="D30"/>
  <c r="C30"/>
  <c r="Y31" i="29"/>
  <c r="A31" i="38"/>
  <c r="W32" i="29"/>
  <c r="A32" i="38"/>
  <c r="V33" i="29"/>
  <c r="A33" i="38"/>
  <c r="G36"/>
  <c r="E36"/>
  <c r="F36" s="1"/>
  <c r="D36"/>
  <c r="C36"/>
  <c r="G31" i="29"/>
  <c r="R31"/>
  <c r="C31"/>
  <c r="N31"/>
  <c r="V31"/>
  <c r="G32"/>
  <c r="Q32"/>
  <c r="Y32"/>
  <c r="E33"/>
  <c r="L33"/>
  <c r="P33"/>
  <c r="T33"/>
  <c r="E31"/>
  <c r="L31"/>
  <c r="P31"/>
  <c r="T31"/>
  <c r="E32"/>
  <c r="K32"/>
  <c r="O32"/>
  <c r="S32"/>
  <c r="C33"/>
  <c r="E32" i="39" s="1"/>
  <c r="G33" i="29"/>
  <c r="N33"/>
  <c r="R33"/>
  <c r="C38" i="35"/>
  <c r="C38" i="52"/>
  <c r="H30" i="39"/>
  <c r="M18" i="3"/>
  <c r="H26" i="41"/>
  <c r="E31" i="39"/>
  <c r="K19" i="3"/>
  <c r="C27" i="41"/>
  <c r="H31" i="39"/>
  <c r="M19" i="3"/>
  <c r="H27" i="41"/>
  <c r="H35" i="39"/>
  <c r="M23" i="3"/>
  <c r="H31" i="41"/>
  <c r="AI36" i="29"/>
  <c r="AG36"/>
  <c r="AH36"/>
  <c r="D35" i="39"/>
  <c r="D31" i="41"/>
  <c r="H33" i="39"/>
  <c r="M21" i="3"/>
  <c r="H29" i="41"/>
  <c r="AI34" i="29"/>
  <c r="AG34"/>
  <c r="AH34"/>
  <c r="H34" i="39"/>
  <c r="M22" i="3"/>
  <c r="H30" i="41"/>
  <c r="AH35" i="29"/>
  <c r="AI35"/>
  <c r="AG35"/>
  <c r="D33" i="39"/>
  <c r="D29" i="41"/>
  <c r="A37" i="35"/>
  <c r="AG31" i="29"/>
  <c r="AI31"/>
  <c r="AG32"/>
  <c r="AI32"/>
  <c r="J17" i="3"/>
  <c r="A25" i="41"/>
  <c r="E30" i="39"/>
  <c r="K18" i="3"/>
  <c r="C26" i="41"/>
  <c r="J18" i="3"/>
  <c r="A33" i="52" s="1"/>
  <c r="G33" s="1"/>
  <c r="A26" i="41"/>
  <c r="J19" i="3"/>
  <c r="A27" i="41"/>
  <c r="J20" i="3"/>
  <c r="A35" i="52" s="1"/>
  <c r="G35" s="1"/>
  <c r="A28" i="41"/>
  <c r="E34" i="39"/>
  <c r="K22" i="3"/>
  <c r="C30" i="41"/>
  <c r="E33" i="39"/>
  <c r="K21" i="3"/>
  <c r="C36" i="52" s="1"/>
  <c r="C29" i="41"/>
  <c r="D34" i="39"/>
  <c r="D30" i="41"/>
  <c r="E30" i="29"/>
  <c r="G30"/>
  <c r="K30"/>
  <c r="M30"/>
  <c r="O30"/>
  <c r="Q30"/>
  <c r="S30"/>
  <c r="U30"/>
  <c r="W30"/>
  <c r="Y30"/>
  <c r="D30"/>
  <c r="F30"/>
  <c r="L30"/>
  <c r="N30"/>
  <c r="P30"/>
  <c r="R30"/>
  <c r="T30"/>
  <c r="V30"/>
  <c r="D31"/>
  <c r="F31"/>
  <c r="K31"/>
  <c r="M31"/>
  <c r="O31"/>
  <c r="Q31"/>
  <c r="S31"/>
  <c r="U31"/>
  <c r="W31"/>
  <c r="AH31"/>
  <c r="D32"/>
  <c r="F32"/>
  <c r="L32"/>
  <c r="N32"/>
  <c r="P32"/>
  <c r="R32"/>
  <c r="T32"/>
  <c r="V32"/>
  <c r="AH32"/>
  <c r="D33"/>
  <c r="F33"/>
  <c r="K33"/>
  <c r="M33"/>
  <c r="O33"/>
  <c r="Q33"/>
  <c r="S33"/>
  <c r="U33"/>
  <c r="W33"/>
  <c r="Y33"/>
  <c r="A38" i="35"/>
  <c r="A29" i="29"/>
  <c r="A29" i="38" s="1"/>
  <c r="Z28" i="29"/>
  <c r="A28"/>
  <c r="A28" i="38" s="1"/>
  <c r="Z27" i="29"/>
  <c r="A27"/>
  <c r="A27" i="38" s="1"/>
  <c r="Z26" i="29"/>
  <c r="V26"/>
  <c r="R26"/>
  <c r="N26"/>
  <c r="G26"/>
  <c r="C26"/>
  <c r="A26"/>
  <c r="A26" i="38" s="1"/>
  <c r="Z25" i="29"/>
  <c r="A25"/>
  <c r="A25" i="38" s="1"/>
  <c r="Z24" i="29"/>
  <c r="A24"/>
  <c r="A24" i="38" s="1"/>
  <c r="Z23" i="29"/>
  <c r="A23"/>
  <c r="A23" i="38" s="1"/>
  <c r="Z22" i="29"/>
  <c r="Y22"/>
  <c r="U22"/>
  <c r="Q22"/>
  <c r="M22"/>
  <c r="G22"/>
  <c r="C22"/>
  <c r="A22"/>
  <c r="A22" i="38" s="1"/>
  <c r="Z21" i="29"/>
  <c r="A21"/>
  <c r="A21" i="38" s="1"/>
  <c r="Z20" i="29"/>
  <c r="A20"/>
  <c r="A20" i="38" s="1"/>
  <c r="Z19" i="29"/>
  <c r="K20" i="3" l="1"/>
  <c r="C28" i="41"/>
  <c r="G20" i="38"/>
  <c r="E20"/>
  <c r="F20" s="1"/>
  <c r="C20"/>
  <c r="D20"/>
  <c r="D23"/>
  <c r="C23"/>
  <c r="G23"/>
  <c r="E23"/>
  <c r="F23" s="1"/>
  <c r="D27"/>
  <c r="C27"/>
  <c r="G27"/>
  <c r="E27"/>
  <c r="F27" s="1"/>
  <c r="G28"/>
  <c r="E28"/>
  <c r="F28" s="1"/>
  <c r="D28"/>
  <c r="C28"/>
  <c r="D29"/>
  <c r="C29"/>
  <c r="G29"/>
  <c r="E29"/>
  <c r="F29" s="1"/>
  <c r="R23" i="29"/>
  <c r="F28"/>
  <c r="N28"/>
  <c r="R28"/>
  <c r="V28"/>
  <c r="G24" i="38"/>
  <c r="E24"/>
  <c r="F24" s="1"/>
  <c r="D24"/>
  <c r="C24"/>
  <c r="D21"/>
  <c r="G21"/>
  <c r="E21"/>
  <c r="F21" s="1"/>
  <c r="C21"/>
  <c r="G22"/>
  <c r="E22"/>
  <c r="F22" s="1"/>
  <c r="D22"/>
  <c r="C22"/>
  <c r="D25"/>
  <c r="C25"/>
  <c r="G25"/>
  <c r="E25"/>
  <c r="F25" s="1"/>
  <c r="G26"/>
  <c r="E26"/>
  <c r="F26" s="1"/>
  <c r="D26"/>
  <c r="C26"/>
  <c r="A32" i="35"/>
  <c r="A32" i="52"/>
  <c r="G32" s="1"/>
  <c r="D33" i="38"/>
  <c r="C33"/>
  <c r="G33"/>
  <c r="E33"/>
  <c r="F33" s="1"/>
  <c r="G32"/>
  <c r="E32"/>
  <c r="F32" s="1"/>
  <c r="C32"/>
  <c r="D32"/>
  <c r="D31"/>
  <c r="G31"/>
  <c r="E31"/>
  <c r="F31" s="1"/>
  <c r="C31"/>
  <c r="E20" i="29"/>
  <c r="L20"/>
  <c r="P20"/>
  <c r="T20"/>
  <c r="F23"/>
  <c r="N23"/>
  <c r="V23"/>
  <c r="E24"/>
  <c r="L24"/>
  <c r="P24"/>
  <c r="T24"/>
  <c r="C20"/>
  <c r="G20"/>
  <c r="N20"/>
  <c r="R20"/>
  <c r="V20"/>
  <c r="E22"/>
  <c r="K22"/>
  <c r="O22"/>
  <c r="S22"/>
  <c r="W22"/>
  <c r="D23"/>
  <c r="L23"/>
  <c r="P23"/>
  <c r="T23"/>
  <c r="C24"/>
  <c r="G24"/>
  <c r="N24"/>
  <c r="R24"/>
  <c r="V24"/>
  <c r="E26"/>
  <c r="L26"/>
  <c r="P26"/>
  <c r="T26"/>
  <c r="D28"/>
  <c r="L28"/>
  <c r="P28"/>
  <c r="T28"/>
  <c r="A34" i="35"/>
  <c r="A34" i="52"/>
  <c r="G34" s="1"/>
  <c r="C37" i="35"/>
  <c r="C37" i="52"/>
  <c r="G37" i="35"/>
  <c r="F37" s="1"/>
  <c r="L21" i="3"/>
  <c r="G38" i="35"/>
  <c r="F38" s="1"/>
  <c r="G34"/>
  <c r="F34" s="1"/>
  <c r="G33"/>
  <c r="F33" s="1"/>
  <c r="C33"/>
  <c r="A33" s="1"/>
  <c r="C33" i="52"/>
  <c r="C35" i="35"/>
  <c r="C35" i="52"/>
  <c r="C34" i="35"/>
  <c r="C34" i="52"/>
  <c r="J8" i="3"/>
  <c r="A23" i="52" s="1"/>
  <c r="G23" s="1"/>
  <c r="A16" i="41"/>
  <c r="H21" i="39"/>
  <c r="M9" i="3"/>
  <c r="H17" i="41"/>
  <c r="E23" i="39"/>
  <c r="K11" i="3"/>
  <c r="C19" i="41"/>
  <c r="J12" i="3"/>
  <c r="A27" i="52" s="1"/>
  <c r="G27" s="1"/>
  <c r="A20" i="41"/>
  <c r="E25" i="39"/>
  <c r="K13" i="3"/>
  <c r="C21" i="41"/>
  <c r="J14" i="3"/>
  <c r="A29" i="52" s="1"/>
  <c r="G29" s="1"/>
  <c r="A22" i="41"/>
  <c r="C28" i="29"/>
  <c r="D27" i="39"/>
  <c r="D23" i="41"/>
  <c r="J16" i="3"/>
  <c r="A31" i="52" s="1"/>
  <c r="G31" s="1"/>
  <c r="A24" i="41"/>
  <c r="Y29" i="29"/>
  <c r="W29"/>
  <c r="U29"/>
  <c r="S29"/>
  <c r="Q29"/>
  <c r="O29"/>
  <c r="X29"/>
  <c r="V29"/>
  <c r="T29"/>
  <c r="R29"/>
  <c r="N29"/>
  <c r="P29"/>
  <c r="D32" i="39"/>
  <c r="D28" i="41"/>
  <c r="D31" i="39"/>
  <c r="D27" i="41"/>
  <c r="D30" i="39"/>
  <c r="D26" i="41"/>
  <c r="H29" i="39"/>
  <c r="M17" i="3"/>
  <c r="G32" i="35" s="1"/>
  <c r="F32" s="1"/>
  <c r="H25" i="41"/>
  <c r="AH30" i="29"/>
  <c r="AI30"/>
  <c r="AG30"/>
  <c r="AG22"/>
  <c r="AI22"/>
  <c r="F27"/>
  <c r="M27"/>
  <c r="D29"/>
  <c r="F29"/>
  <c r="K29"/>
  <c r="M29"/>
  <c r="C36" i="35"/>
  <c r="A36" s="1"/>
  <c r="A35"/>
  <c r="E19" i="39"/>
  <c r="K7" i="3"/>
  <c r="C15" i="41"/>
  <c r="E21" i="39"/>
  <c r="K9" i="3"/>
  <c r="C17" i="41"/>
  <c r="C23" i="29"/>
  <c r="D22" i="39"/>
  <c r="D18" i="41"/>
  <c r="J7" i="3"/>
  <c r="A22" i="52" s="1"/>
  <c r="G22" s="1"/>
  <c r="A15" i="41"/>
  <c r="J9" i="3"/>
  <c r="A24" i="52" s="1"/>
  <c r="G24" s="1"/>
  <c r="A17" i="41"/>
  <c r="J10" i="3"/>
  <c r="A25" i="52" s="1"/>
  <c r="G25" s="1"/>
  <c r="A18" i="41"/>
  <c r="J11" i="3"/>
  <c r="A26" i="52" s="1"/>
  <c r="G26" s="1"/>
  <c r="A19" i="41"/>
  <c r="J13" i="3"/>
  <c r="A28" i="52" s="1"/>
  <c r="G28" s="1"/>
  <c r="A21" i="41"/>
  <c r="J15" i="3"/>
  <c r="A30" i="52" s="1"/>
  <c r="G30" s="1"/>
  <c r="A23" i="41"/>
  <c r="H32" i="39"/>
  <c r="M20" i="3"/>
  <c r="H28" i="41"/>
  <c r="AI33" i="29"/>
  <c r="AG33"/>
  <c r="AH33"/>
  <c r="C30"/>
  <c r="D29" i="39"/>
  <c r="D25" i="41"/>
  <c r="D21" i="29"/>
  <c r="F21"/>
  <c r="K21"/>
  <c r="M21"/>
  <c r="O21"/>
  <c r="Q21"/>
  <c r="S21"/>
  <c r="U21"/>
  <c r="W21"/>
  <c r="Y21"/>
  <c r="D25"/>
  <c r="F25"/>
  <c r="K25"/>
  <c r="M25"/>
  <c r="O25"/>
  <c r="Q25"/>
  <c r="S25"/>
  <c r="U25"/>
  <c r="W25"/>
  <c r="Y25"/>
  <c r="D27"/>
  <c r="K27"/>
  <c r="O27"/>
  <c r="Q27"/>
  <c r="S27"/>
  <c r="U27"/>
  <c r="W27"/>
  <c r="Y27"/>
  <c r="D20"/>
  <c r="F20"/>
  <c r="K20"/>
  <c r="M20"/>
  <c r="O20"/>
  <c r="Q20"/>
  <c r="S20"/>
  <c r="U20"/>
  <c r="W20"/>
  <c r="Y20"/>
  <c r="C21"/>
  <c r="E21"/>
  <c r="G21"/>
  <c r="I21"/>
  <c r="L21"/>
  <c r="N21"/>
  <c r="P21"/>
  <c r="R21"/>
  <c r="T21"/>
  <c r="V21"/>
  <c r="X21"/>
  <c r="D22"/>
  <c r="F22"/>
  <c r="L22"/>
  <c r="N22"/>
  <c r="P22"/>
  <c r="R22"/>
  <c r="T22"/>
  <c r="V22"/>
  <c r="X22"/>
  <c r="AH22"/>
  <c r="E23"/>
  <c r="G23"/>
  <c r="I23"/>
  <c r="K23"/>
  <c r="M23"/>
  <c r="O23"/>
  <c r="Q23"/>
  <c r="S23"/>
  <c r="U23"/>
  <c r="W23"/>
  <c r="Y23"/>
  <c r="D24"/>
  <c r="F24"/>
  <c r="I24"/>
  <c r="K24"/>
  <c r="M24"/>
  <c r="O24"/>
  <c r="Q24"/>
  <c r="S24"/>
  <c r="U24"/>
  <c r="W24"/>
  <c r="Y24"/>
  <c r="C25"/>
  <c r="E25"/>
  <c r="G25"/>
  <c r="I25"/>
  <c r="L25"/>
  <c r="N25"/>
  <c r="P25"/>
  <c r="R25"/>
  <c r="T25"/>
  <c r="V25"/>
  <c r="X25"/>
  <c r="D26"/>
  <c r="F26"/>
  <c r="I26"/>
  <c r="K26"/>
  <c r="M26"/>
  <c r="O26"/>
  <c r="Q26"/>
  <c r="S26"/>
  <c r="U26"/>
  <c r="W26"/>
  <c r="Y26"/>
  <c r="C27"/>
  <c r="E27"/>
  <c r="G27"/>
  <c r="I27"/>
  <c r="L27"/>
  <c r="N27"/>
  <c r="P27"/>
  <c r="R27"/>
  <c r="T27"/>
  <c r="V27"/>
  <c r="X27"/>
  <c r="E28"/>
  <c r="G28"/>
  <c r="I28"/>
  <c r="K28"/>
  <c r="M28"/>
  <c r="O28"/>
  <c r="Q28"/>
  <c r="S28"/>
  <c r="U28"/>
  <c r="W28"/>
  <c r="Y28"/>
  <c r="C29"/>
  <c r="E29"/>
  <c r="G29"/>
  <c r="I29"/>
  <c r="L29"/>
  <c r="G36" i="35"/>
  <c r="F36" s="1"/>
  <c r="A19" i="29"/>
  <c r="A19" i="38" s="1"/>
  <c r="Z18" i="29"/>
  <c r="W18"/>
  <c r="S18"/>
  <c r="O18"/>
  <c r="K18"/>
  <c r="D18"/>
  <c r="A18"/>
  <c r="A18" i="38" s="1"/>
  <c r="Z17" i="29"/>
  <c r="A17"/>
  <c r="A17" i="38" s="1"/>
  <c r="Z16" i="29"/>
  <c r="A16"/>
  <c r="A16" i="38" s="1"/>
  <c r="Z15" i="29"/>
  <c r="A15"/>
  <c r="A15" i="38" s="1"/>
  <c r="H12" i="29"/>
  <c r="Y14" s="1"/>
  <c r="E10"/>
  <c r="E7" i="41" s="1"/>
  <c r="G16" i="38" l="1"/>
  <c r="E16"/>
  <c r="F16" s="1"/>
  <c r="C16"/>
  <c r="D16"/>
  <c r="L16" i="29"/>
  <c r="P16"/>
  <c r="T16"/>
  <c r="C15" i="38"/>
  <c r="D15"/>
  <c r="G15"/>
  <c r="E15"/>
  <c r="F15" s="1"/>
  <c r="D17"/>
  <c r="G17"/>
  <c r="E17"/>
  <c r="F17" s="1"/>
  <c r="C17"/>
  <c r="G18"/>
  <c r="E18"/>
  <c r="F18" s="1"/>
  <c r="D18"/>
  <c r="C18"/>
  <c r="D19"/>
  <c r="C19"/>
  <c r="G19"/>
  <c r="E19"/>
  <c r="F19" s="1"/>
  <c r="E15" i="29"/>
  <c r="L15"/>
  <c r="K15" s="1"/>
  <c r="Q15"/>
  <c r="U15"/>
  <c r="Y15"/>
  <c r="E16"/>
  <c r="C15"/>
  <c r="K2" i="3" s="1"/>
  <c r="G15" i="29"/>
  <c r="O15"/>
  <c r="N15" s="1"/>
  <c r="S15"/>
  <c r="W15"/>
  <c r="C16"/>
  <c r="E15" i="39" s="1"/>
  <c r="G16" i="29"/>
  <c r="N16"/>
  <c r="R16"/>
  <c r="V16"/>
  <c r="F18"/>
  <c r="M18"/>
  <c r="Q18"/>
  <c r="U18"/>
  <c r="Y18"/>
  <c r="M5" i="3" s="1"/>
  <c r="C24" i="35"/>
  <c r="C24" i="52"/>
  <c r="L17" i="3"/>
  <c r="C28" i="52"/>
  <c r="G24" i="35"/>
  <c r="F24" s="1"/>
  <c r="D36"/>
  <c r="D36" i="52"/>
  <c r="C22" i="35"/>
  <c r="C22" i="52"/>
  <c r="C26" i="35"/>
  <c r="C26" i="52"/>
  <c r="E14" i="39"/>
  <c r="C10" i="41"/>
  <c r="M2" i="3"/>
  <c r="G17" i="35" s="1"/>
  <c r="K3" i="3"/>
  <c r="J4"/>
  <c r="A19" i="52" s="1"/>
  <c r="G19" s="1"/>
  <c r="A12" i="41"/>
  <c r="C18" i="29"/>
  <c r="D17" i="39"/>
  <c r="D13" i="41"/>
  <c r="H17" i="39"/>
  <c r="H13" i="41"/>
  <c r="J6" i="3"/>
  <c r="A21" i="52" s="1"/>
  <c r="G21" s="1"/>
  <c r="A14" i="41"/>
  <c r="E28" i="39"/>
  <c r="K16" i="3"/>
  <c r="C24" i="41"/>
  <c r="E26" i="39"/>
  <c r="K14" i="3"/>
  <c r="C22" i="41"/>
  <c r="E24" i="39"/>
  <c r="K12" i="3"/>
  <c r="C20" i="41"/>
  <c r="H22" i="39"/>
  <c r="M10" i="3"/>
  <c r="H18" i="41"/>
  <c r="AG23" i="29"/>
  <c r="AI23"/>
  <c r="AH23" s="1"/>
  <c r="D21" i="39"/>
  <c r="D17" i="41"/>
  <c r="H19" i="39"/>
  <c r="M7" i="3"/>
  <c r="H15" i="41"/>
  <c r="AI20" i="29"/>
  <c r="AG20"/>
  <c r="AH20"/>
  <c r="D19" i="39"/>
  <c r="D15" i="41"/>
  <c r="D26" i="39"/>
  <c r="D22" i="41"/>
  <c r="D24" i="39"/>
  <c r="D20" i="41"/>
  <c r="D20" i="39"/>
  <c r="D16" i="41"/>
  <c r="E29" i="39"/>
  <c r="K17" i="3"/>
  <c r="C32" i="52" s="1"/>
  <c r="C25" i="41"/>
  <c r="A26" i="35"/>
  <c r="A25"/>
  <c r="E22" i="39"/>
  <c r="K10" i="3"/>
  <c r="C25" i="52" s="1"/>
  <c r="C18" i="41"/>
  <c r="D28" i="39"/>
  <c r="D24" i="41"/>
  <c r="H28" i="39"/>
  <c r="M16" i="3"/>
  <c r="H24" i="41"/>
  <c r="AI29" i="29"/>
  <c r="AG29"/>
  <c r="AH29"/>
  <c r="A31" i="35"/>
  <c r="X26" i="29"/>
  <c r="J26" s="1"/>
  <c r="P13" i="3" s="1"/>
  <c r="X24" i="29"/>
  <c r="X23"/>
  <c r="X20"/>
  <c r="X28"/>
  <c r="J28" s="1"/>
  <c r="I22"/>
  <c r="E27" i="39"/>
  <c r="K15" i="3"/>
  <c r="C23" i="41"/>
  <c r="A27" i="35"/>
  <c r="AG15" i="29"/>
  <c r="D17"/>
  <c r="F17"/>
  <c r="M17"/>
  <c r="O17"/>
  <c r="Q17"/>
  <c r="S17"/>
  <c r="U17"/>
  <c r="W17"/>
  <c r="Y17"/>
  <c r="D19"/>
  <c r="F19"/>
  <c r="I19"/>
  <c r="K19"/>
  <c r="M19"/>
  <c r="O19"/>
  <c r="Q19"/>
  <c r="S19"/>
  <c r="U19"/>
  <c r="W19"/>
  <c r="Y19"/>
  <c r="J24"/>
  <c r="P11" i="3" s="1"/>
  <c r="J25" i="29"/>
  <c r="P12" i="3" s="1"/>
  <c r="J21" i="29"/>
  <c r="H21" s="1"/>
  <c r="J29"/>
  <c r="P16" i="3" s="1"/>
  <c r="C32" i="35"/>
  <c r="H29" i="29"/>
  <c r="P8" i="3"/>
  <c r="J2"/>
  <c r="A17" i="52" s="1"/>
  <c r="G17" s="1"/>
  <c r="A10" i="41"/>
  <c r="J3" i="3"/>
  <c r="A18" i="52" s="1"/>
  <c r="G18" s="1"/>
  <c r="A11" i="41"/>
  <c r="J5" i="3"/>
  <c r="A20" i="52" s="1"/>
  <c r="G20" s="1"/>
  <c r="A13" i="41"/>
  <c r="H27" i="39"/>
  <c r="M15" i="3"/>
  <c r="H23" i="41"/>
  <c r="AI28" i="29"/>
  <c r="AG28"/>
  <c r="AH28"/>
  <c r="H25" i="39"/>
  <c r="M13" i="3"/>
  <c r="H21" i="41"/>
  <c r="AI26" i="29"/>
  <c r="AG26"/>
  <c r="AH26"/>
  <c r="D25" i="39"/>
  <c r="D21" i="41"/>
  <c r="H23" i="39"/>
  <c r="M11" i="3"/>
  <c r="H19" i="41"/>
  <c r="AI24" i="29"/>
  <c r="AG24"/>
  <c r="AH24"/>
  <c r="D23" i="39"/>
  <c r="D19" i="41"/>
  <c r="J22" i="29"/>
  <c r="P9" i="3" s="1"/>
  <c r="E20" i="39"/>
  <c r="K8" i="3"/>
  <c r="C16" i="41"/>
  <c r="H26" i="39"/>
  <c r="M14" i="3"/>
  <c r="H22" i="41"/>
  <c r="V70" i="29"/>
  <c r="T70"/>
  <c r="R70"/>
  <c r="P70"/>
  <c r="N70"/>
  <c r="L70"/>
  <c r="W70"/>
  <c r="U70"/>
  <c r="S70"/>
  <c r="Q70"/>
  <c r="O70"/>
  <c r="M70"/>
  <c r="K70"/>
  <c r="AH27"/>
  <c r="AI27"/>
  <c r="AG27"/>
  <c r="H24" i="39"/>
  <c r="M12" i="3"/>
  <c r="H20" i="41"/>
  <c r="AH25" i="29"/>
  <c r="AI25"/>
  <c r="AG25"/>
  <c r="H20" i="39"/>
  <c r="M8" i="3"/>
  <c r="H16" i="41"/>
  <c r="AH21" i="29"/>
  <c r="AI21"/>
  <c r="AG21"/>
  <c r="K17"/>
  <c r="D15"/>
  <c r="F15"/>
  <c r="M15"/>
  <c r="P15"/>
  <c r="R15"/>
  <c r="T15"/>
  <c r="V15"/>
  <c r="X15"/>
  <c r="D16"/>
  <c r="F16"/>
  <c r="K16"/>
  <c r="M16"/>
  <c r="O16"/>
  <c r="Q16"/>
  <c r="S16"/>
  <c r="U16"/>
  <c r="W16"/>
  <c r="Y16"/>
  <c r="C17"/>
  <c r="E17"/>
  <c r="G17"/>
  <c r="L17"/>
  <c r="N17"/>
  <c r="P17"/>
  <c r="R17"/>
  <c r="T17"/>
  <c r="V17"/>
  <c r="X17"/>
  <c r="E18"/>
  <c r="G18"/>
  <c r="I18"/>
  <c r="L18"/>
  <c r="N18"/>
  <c r="P18"/>
  <c r="R18"/>
  <c r="T18"/>
  <c r="V18"/>
  <c r="X18"/>
  <c r="AI18"/>
  <c r="AH18" s="1"/>
  <c r="C19"/>
  <c r="E19"/>
  <c r="G19"/>
  <c r="L19"/>
  <c r="N19"/>
  <c r="P19"/>
  <c r="R19"/>
  <c r="T19"/>
  <c r="V19"/>
  <c r="X19"/>
  <c r="H25"/>
  <c r="J23"/>
  <c r="P10" i="3" s="1"/>
  <c r="J20" i="29"/>
  <c r="P7" i="3" s="1"/>
  <c r="J27" i="29"/>
  <c r="H27" s="1"/>
  <c r="A24" i="35"/>
  <c r="G23" s="1"/>
  <c r="F23" s="1"/>
  <c r="A22"/>
  <c r="G35"/>
  <c r="F35" s="1"/>
  <c r="G22" i="33"/>
  <c r="G22" i="34"/>
  <c r="B5" i="51"/>
  <c r="H14" i="39" l="1"/>
  <c r="AQ8" i="3"/>
  <c r="AQ9"/>
  <c r="AQ7"/>
  <c r="H24" i="29"/>
  <c r="H28"/>
  <c r="P15" i="3"/>
  <c r="H26" i="29"/>
  <c r="B47" i="36"/>
  <c r="AH15" i="29"/>
  <c r="AG18"/>
  <c r="AI15"/>
  <c r="H10" i="41"/>
  <c r="E37" i="38"/>
  <c r="E38"/>
  <c r="E39"/>
  <c r="E41"/>
  <c r="E40"/>
  <c r="T38" i="29"/>
  <c r="T64" s="1"/>
  <c r="P38"/>
  <c r="G25" i="35"/>
  <c r="F25" s="1"/>
  <c r="C11" i="41"/>
  <c r="G27" i="35"/>
  <c r="F27" s="1"/>
  <c r="C23"/>
  <c r="A23" s="1"/>
  <c r="G22" s="1"/>
  <c r="F22" s="1"/>
  <c r="C23" i="52"/>
  <c r="C30" i="35"/>
  <c r="A30" s="1"/>
  <c r="C30" i="52"/>
  <c r="L10" i="3"/>
  <c r="C29" i="35"/>
  <c r="A29" s="1"/>
  <c r="C29" i="52"/>
  <c r="L5" i="3"/>
  <c r="C18" i="35"/>
  <c r="C18" i="52"/>
  <c r="C17" i="35"/>
  <c r="C17" i="52"/>
  <c r="D32" i="35"/>
  <c r="D32" i="52"/>
  <c r="V38" i="29"/>
  <c r="R38"/>
  <c r="G29" i="35"/>
  <c r="F29" s="1"/>
  <c r="L13" i="3"/>
  <c r="L15"/>
  <c r="G31" i="35"/>
  <c r="F31" s="1"/>
  <c r="C27"/>
  <c r="C27" i="52"/>
  <c r="C31" i="35"/>
  <c r="C31" i="52"/>
  <c r="H23" i="29"/>
  <c r="B22" i="39" s="1"/>
  <c r="J15" i="29"/>
  <c r="J38" s="1"/>
  <c r="B26" i="39"/>
  <c r="E22" i="41"/>
  <c r="B20" i="39"/>
  <c r="E16" i="41"/>
  <c r="E18"/>
  <c r="B23" i="39"/>
  <c r="E19" i="41"/>
  <c r="B25" i="39"/>
  <c r="E21" i="41"/>
  <c r="J17" i="29"/>
  <c r="I17" s="1"/>
  <c r="H17" s="1"/>
  <c r="E16" i="39"/>
  <c r="K4" i="3"/>
  <c r="C12" i="41"/>
  <c r="D15" i="39"/>
  <c r="D11" i="41"/>
  <c r="D14" i="39"/>
  <c r="D10" i="41"/>
  <c r="P2" i="3"/>
  <c r="A17" i="35"/>
  <c r="H16" i="39"/>
  <c r="M4" i="3"/>
  <c r="H12" i="41"/>
  <c r="AH17" i="29"/>
  <c r="AI17"/>
  <c r="AG17"/>
  <c r="D16" i="39"/>
  <c r="D12" i="41"/>
  <c r="A21" i="35"/>
  <c r="G20" s="1"/>
  <c r="F20" s="1"/>
  <c r="E17" i="39"/>
  <c r="K5" i="3"/>
  <c r="C20" i="52" s="1"/>
  <c r="C13" i="41"/>
  <c r="P4" i="3"/>
  <c r="X16" i="29"/>
  <c r="I16"/>
  <c r="I15"/>
  <c r="H15" s="1"/>
  <c r="I20"/>
  <c r="H20" s="1"/>
  <c r="J16"/>
  <c r="P3" i="3" s="1"/>
  <c r="H22" i="29"/>
  <c r="P14" i="3"/>
  <c r="K38" i="29"/>
  <c r="N46"/>
  <c r="R46"/>
  <c r="V46"/>
  <c r="K52"/>
  <c r="O52"/>
  <c r="S52"/>
  <c r="W52"/>
  <c r="AB9" i="3" s="1"/>
  <c r="M58" i="29"/>
  <c r="L58" s="1"/>
  <c r="K58" s="1"/>
  <c r="R58"/>
  <c r="V58"/>
  <c r="L38"/>
  <c r="Q38"/>
  <c r="Q64" s="1"/>
  <c r="P64" s="1"/>
  <c r="U38"/>
  <c r="O46"/>
  <c r="S46"/>
  <c r="W46"/>
  <c r="AB8" i="3" s="1"/>
  <c r="N52" i="29"/>
  <c r="R52"/>
  <c r="V52"/>
  <c r="J58"/>
  <c r="Q58"/>
  <c r="U58"/>
  <c r="K12" i="36"/>
  <c r="H16" i="29"/>
  <c r="B24" i="39"/>
  <c r="E20" i="41"/>
  <c r="E18" i="39"/>
  <c r="K6" i="3"/>
  <c r="C14" i="41"/>
  <c r="H15" i="39"/>
  <c r="M3" i="3"/>
  <c r="H11" i="41"/>
  <c r="AI16" i="29"/>
  <c r="AG16"/>
  <c r="AH16"/>
  <c r="E73"/>
  <c r="E72" s="1"/>
  <c r="E74"/>
  <c r="D71"/>
  <c r="Z70" s="1"/>
  <c r="B28" i="39"/>
  <c r="E24" i="41"/>
  <c r="B27" i="39"/>
  <c r="E23" i="41"/>
  <c r="H18" i="39"/>
  <c r="M6" i="3"/>
  <c r="H14" i="41"/>
  <c r="AH19" i="29"/>
  <c r="AI19"/>
  <c r="AG19"/>
  <c r="D18" i="39"/>
  <c r="D14" i="41"/>
  <c r="J19" i="29"/>
  <c r="P6" i="3" s="1"/>
  <c r="J18" i="29"/>
  <c r="H18" s="1"/>
  <c r="G26" i="35"/>
  <c r="F26" s="1"/>
  <c r="G30"/>
  <c r="F30" s="1"/>
  <c r="C25"/>
  <c r="G28"/>
  <c r="F28" s="1"/>
  <c r="C20"/>
  <c r="A20" s="1"/>
  <c r="A18"/>
  <c r="N38" i="29"/>
  <c r="K46"/>
  <c r="P46"/>
  <c r="T46"/>
  <c r="M52"/>
  <c r="AF9" i="3" s="1"/>
  <c r="Q52" i="29"/>
  <c r="U52"/>
  <c r="I58"/>
  <c r="P58"/>
  <c r="O58" s="1"/>
  <c r="T58"/>
  <c r="O38"/>
  <c r="S38"/>
  <c r="S64" s="1"/>
  <c r="R64" s="1"/>
  <c r="W38"/>
  <c r="W64" s="1"/>
  <c r="V64" s="1"/>
  <c r="U64" s="1"/>
  <c r="M46"/>
  <c r="Q46"/>
  <c r="U46"/>
  <c r="L52"/>
  <c r="P52"/>
  <c r="T52"/>
  <c r="H58"/>
  <c r="N58"/>
  <c r="S58"/>
  <c r="W58"/>
  <c r="B48" i="36"/>
  <c r="E75" i="29"/>
  <c r="B15" i="51"/>
  <c r="B25" s="1"/>
  <c r="B35" s="1"/>
  <c r="B45" s="1"/>
  <c r="S5"/>
  <c r="S15" s="1"/>
  <c r="S25" s="1"/>
  <c r="Z22" i="37"/>
  <c r="Z21"/>
  <c r="A21"/>
  <c r="Z20"/>
  <c r="A20"/>
  <c r="A20" i="53" s="1"/>
  <c r="Z19" i="37"/>
  <c r="A19"/>
  <c r="Z18"/>
  <c r="A18"/>
  <c r="A18" i="53" s="1"/>
  <c r="Z17" i="37"/>
  <c r="A17"/>
  <c r="A17" i="53" s="1"/>
  <c r="Z16" i="37"/>
  <c r="B40" i="38"/>
  <c r="B38"/>
  <c r="B37"/>
  <c r="G71" i="29"/>
  <c r="B41" i="38"/>
  <c r="B39"/>
  <c r="M18" i="37" l="1"/>
  <c r="C18"/>
  <c r="U18"/>
  <c r="C17" i="53"/>
  <c r="E17"/>
  <c r="F17" s="1"/>
  <c r="G17"/>
  <c r="C18"/>
  <c r="E18"/>
  <c r="F18" s="1"/>
  <c r="G18"/>
  <c r="V19" i="37"/>
  <c r="A19" i="53"/>
  <c r="G20"/>
  <c r="C20"/>
  <c r="E20"/>
  <c r="F20" s="1"/>
  <c r="V21" i="37"/>
  <c r="A21" i="53"/>
  <c r="G18" i="37"/>
  <c r="Q18"/>
  <c r="Y18"/>
  <c r="H17" i="40" s="1"/>
  <c r="G44" i="48"/>
  <c r="G38"/>
  <c r="G32"/>
  <c r="F19" i="49" s="1"/>
  <c r="M19" s="1"/>
  <c r="M20" s="1"/>
  <c r="F20" s="1"/>
  <c r="G11" i="48"/>
  <c r="G41"/>
  <c r="G35"/>
  <c r="G20"/>
  <c r="C41"/>
  <c r="C35"/>
  <c r="C44"/>
  <c r="C38"/>
  <c r="C32"/>
  <c r="B19" i="49" s="1"/>
  <c r="I19" s="1"/>
  <c r="C29" i="48"/>
  <c r="C20"/>
  <c r="G14"/>
  <c r="G29"/>
  <c r="A12" i="42"/>
  <c r="J26" i="3"/>
  <c r="A41" i="52" s="1"/>
  <c r="G41" s="1"/>
  <c r="A13" i="42"/>
  <c r="J27" i="3"/>
  <c r="A42" i="52" s="1"/>
  <c r="G42" s="1"/>
  <c r="E18" i="37"/>
  <c r="O18"/>
  <c r="S18"/>
  <c r="W18"/>
  <c r="C19"/>
  <c r="G19"/>
  <c r="R19"/>
  <c r="C21"/>
  <c r="G21"/>
  <c r="R21"/>
  <c r="A14" i="42"/>
  <c r="J28" i="3"/>
  <c r="A43" i="52" s="1"/>
  <c r="G43" s="1"/>
  <c r="A15" i="42"/>
  <c r="J29" i="3"/>
  <c r="A44" i="52" s="1"/>
  <c r="G44" s="1"/>
  <c r="A16" i="42"/>
  <c r="J30" i="3"/>
  <c r="A45" i="52" s="1"/>
  <c r="G45" s="1"/>
  <c r="E19" i="37"/>
  <c r="P19"/>
  <c r="T19"/>
  <c r="E21"/>
  <c r="P21"/>
  <c r="T21"/>
  <c r="C14" i="42"/>
  <c r="K28" i="3"/>
  <c r="C43" i="52" s="1"/>
  <c r="E18" i="40"/>
  <c r="C16" i="42"/>
  <c r="K30" i="3"/>
  <c r="E20" i="40"/>
  <c r="G18" i="35"/>
  <c r="F18" s="1"/>
  <c r="G19"/>
  <c r="F19" s="1"/>
  <c r="D30"/>
  <c r="D30" i="52"/>
  <c r="D28" i="35"/>
  <c r="C28" s="1"/>
  <c r="A28" s="1"/>
  <c r="D28" i="52"/>
  <c r="D20" i="35"/>
  <c r="D20" i="52"/>
  <c r="D25" i="35"/>
  <c r="D25" i="52"/>
  <c r="C13" i="42"/>
  <c r="E17" i="40"/>
  <c r="K27" i="3"/>
  <c r="C42" i="52" s="1"/>
  <c r="L6" i="3"/>
  <c r="C21" i="52"/>
  <c r="C11" i="48"/>
  <c r="C10" i="49" s="1"/>
  <c r="J10" s="1"/>
  <c r="C19" i="35"/>
  <c r="A19" s="1"/>
  <c r="C14" i="48"/>
  <c r="C19" i="52"/>
  <c r="E36" i="41"/>
  <c r="B17" i="39"/>
  <c r="E13" i="41"/>
  <c r="B16" i="39"/>
  <c r="E12" i="41"/>
  <c r="B14" i="39"/>
  <c r="E10" i="41"/>
  <c r="H38" i="29"/>
  <c r="M27" i="3"/>
  <c r="H13" i="42"/>
  <c r="E62" i="29"/>
  <c r="E60"/>
  <c r="E61"/>
  <c r="D59"/>
  <c r="Z58" s="1"/>
  <c r="L46"/>
  <c r="AF8" i="3"/>
  <c r="M38" i="29"/>
  <c r="AP7" i="3"/>
  <c r="E41" i="29"/>
  <c r="D39"/>
  <c r="E42"/>
  <c r="E40"/>
  <c r="N64"/>
  <c r="AP9" i="3"/>
  <c r="E56" i="29"/>
  <c r="E54"/>
  <c r="E55"/>
  <c r="D53"/>
  <c r="AE7" i="3"/>
  <c r="L64" i="29"/>
  <c r="AP8" i="3"/>
  <c r="E50" i="29"/>
  <c r="E48"/>
  <c r="E49"/>
  <c r="D47"/>
  <c r="Z46" s="1"/>
  <c r="AD7" i="3"/>
  <c r="K64" i="29"/>
  <c r="B19" i="39"/>
  <c r="E15" i="41"/>
  <c r="E17" i="37"/>
  <c r="G17"/>
  <c r="K17"/>
  <c r="M17"/>
  <c r="O17"/>
  <c r="Q17"/>
  <c r="S17"/>
  <c r="U17"/>
  <c r="W17"/>
  <c r="Y17"/>
  <c r="H16" i="40" s="1"/>
  <c r="AG18" i="37"/>
  <c r="AI18"/>
  <c r="D20"/>
  <c r="F20"/>
  <c r="K20"/>
  <c r="M20"/>
  <c r="O20"/>
  <c r="Q20"/>
  <c r="S20"/>
  <c r="U20"/>
  <c r="W20"/>
  <c r="Y20"/>
  <c r="H19" i="40" s="1"/>
  <c r="D17" i="37"/>
  <c r="D16" i="40" s="1"/>
  <c r="F17" i="37"/>
  <c r="L17"/>
  <c r="N17"/>
  <c r="P17"/>
  <c r="R17"/>
  <c r="T17"/>
  <c r="V17"/>
  <c r="D18"/>
  <c r="F18"/>
  <c r="P18"/>
  <c r="R18"/>
  <c r="T18"/>
  <c r="V18"/>
  <c r="AH18"/>
  <c r="D19"/>
  <c r="F19"/>
  <c r="M19"/>
  <c r="Q19"/>
  <c r="S19"/>
  <c r="U19"/>
  <c r="W19"/>
  <c r="Y19"/>
  <c r="H18" i="40" s="1"/>
  <c r="C20" i="37"/>
  <c r="E20"/>
  <c r="G20"/>
  <c r="L20"/>
  <c r="N20"/>
  <c r="P20"/>
  <c r="R20"/>
  <c r="T20"/>
  <c r="V20"/>
  <c r="D21"/>
  <c r="F21"/>
  <c r="M21"/>
  <c r="Q21"/>
  <c r="S21"/>
  <c r="U21"/>
  <c r="W21"/>
  <c r="Y21"/>
  <c r="H20" i="40" s="1"/>
  <c r="H19" i="29"/>
  <c r="P5" i="3"/>
  <c r="G21" i="35"/>
  <c r="F21" s="1"/>
  <c r="B19" i="51"/>
  <c r="I9"/>
  <c r="D9"/>
  <c r="M29"/>
  <c r="F29"/>
  <c r="B29"/>
  <c r="G19"/>
  <c r="C19"/>
  <c r="G9"/>
  <c r="C9"/>
  <c r="G59"/>
  <c r="C59"/>
  <c r="I59"/>
  <c r="D59"/>
  <c r="L49"/>
  <c r="E49"/>
  <c r="M39"/>
  <c r="F39"/>
  <c r="G39"/>
  <c r="M49"/>
  <c r="F49"/>
  <c r="B49"/>
  <c r="E39"/>
  <c r="D39" s="1"/>
  <c r="G29"/>
  <c r="C29"/>
  <c r="I19"/>
  <c r="D19"/>
  <c r="M9"/>
  <c r="F9"/>
  <c r="B9"/>
  <c r="I29"/>
  <c r="D29"/>
  <c r="L19"/>
  <c r="E19"/>
  <c r="L9"/>
  <c r="E9"/>
  <c r="F19"/>
  <c r="E29"/>
  <c r="L39"/>
  <c r="I49"/>
  <c r="C39"/>
  <c r="C49"/>
  <c r="B59"/>
  <c r="M59"/>
  <c r="L59"/>
  <c r="M19"/>
  <c r="L29"/>
  <c r="D49"/>
  <c r="B39"/>
  <c r="I39"/>
  <c r="G49"/>
  <c r="F59"/>
  <c r="E59"/>
  <c r="B15" i="39"/>
  <c r="E11" i="41"/>
  <c r="B21" i="39"/>
  <c r="E17" i="41"/>
  <c r="I38" i="29"/>
  <c r="AJ7" i="3" s="1"/>
  <c r="AI7"/>
  <c r="J64" i="29"/>
  <c r="I64" s="1"/>
  <c r="H64" s="1"/>
  <c r="AE9" i="3"/>
  <c r="AD9" s="1"/>
  <c r="AC9" s="1"/>
  <c r="O64" i="29"/>
  <c r="E34" i="41"/>
  <c r="A16" i="37"/>
  <c r="Z15"/>
  <c r="A15"/>
  <c r="A15" i="53" s="1"/>
  <c r="H12" i="37"/>
  <c r="Y14" s="1"/>
  <c r="E10"/>
  <c r="E7" i="42" s="1"/>
  <c r="AI119" i="50"/>
  <c r="AI99"/>
  <c r="B22" i="49"/>
  <c r="G15" i="53" l="1"/>
  <c r="C15"/>
  <c r="E15"/>
  <c r="F15" s="1"/>
  <c r="J25" i="3"/>
  <c r="A40" i="52" s="1"/>
  <c r="G40" s="1"/>
  <c r="A16" i="53"/>
  <c r="G21"/>
  <c r="C21"/>
  <c r="E21"/>
  <c r="F21" s="1"/>
  <c r="C19"/>
  <c r="E19"/>
  <c r="F19" s="1"/>
  <c r="G19"/>
  <c r="I22" i="49"/>
  <c r="A10" i="42"/>
  <c r="J24" i="3"/>
  <c r="F15" i="37"/>
  <c r="R15"/>
  <c r="V15"/>
  <c r="D15"/>
  <c r="D14" i="40" s="1"/>
  <c r="P15" i="37"/>
  <c r="T15"/>
  <c r="X15"/>
  <c r="D14" i="42"/>
  <c r="D18" i="40"/>
  <c r="D13" i="42"/>
  <c r="D17" i="40"/>
  <c r="D15" i="42"/>
  <c r="D19" i="40"/>
  <c r="C23" i="48"/>
  <c r="C45" i="52"/>
  <c r="D16" i="42"/>
  <c r="D20" i="40"/>
  <c r="C15" i="42"/>
  <c r="E19" i="40"/>
  <c r="K29" i="3"/>
  <c r="D21" i="35"/>
  <c r="C21" s="1"/>
  <c r="D21" i="52"/>
  <c r="AE8" i="3"/>
  <c r="AD8" s="1"/>
  <c r="AC8" s="1"/>
  <c r="AO8" s="1"/>
  <c r="C15" i="37"/>
  <c r="D10" i="42"/>
  <c r="A11"/>
  <c r="V16" i="37"/>
  <c r="P16"/>
  <c r="L16"/>
  <c r="Y16"/>
  <c r="H15" i="40" s="1"/>
  <c r="W16" i="37"/>
  <c r="U16"/>
  <c r="S16"/>
  <c r="Q16"/>
  <c r="O16"/>
  <c r="M16"/>
  <c r="K16"/>
  <c r="I16"/>
  <c r="G16"/>
  <c r="E16"/>
  <c r="X16"/>
  <c r="T16"/>
  <c r="R16"/>
  <c r="N16"/>
  <c r="F16"/>
  <c r="M28" i="3"/>
  <c r="H14" i="42"/>
  <c r="AI19" i="37"/>
  <c r="AG19"/>
  <c r="AH19"/>
  <c r="M29" i="3"/>
  <c r="H15" i="42"/>
  <c r="AH20" i="37"/>
  <c r="AI20"/>
  <c r="AG20"/>
  <c r="AC7" i="3"/>
  <c r="E27" i="33"/>
  <c r="AM8" i="3"/>
  <c r="E57" i="29"/>
  <c r="E43"/>
  <c r="E63"/>
  <c r="AO9" i="3"/>
  <c r="AM9"/>
  <c r="AN9"/>
  <c r="B18" i="39"/>
  <c r="E14" i="41"/>
  <c r="M30" i="3"/>
  <c r="H16" i="42"/>
  <c r="AH21" i="37"/>
  <c r="AI21"/>
  <c r="AG21"/>
  <c r="C17"/>
  <c r="D12" i="42"/>
  <c r="M26" i="3"/>
  <c r="H12" i="42"/>
  <c r="AH17" i="37"/>
  <c r="AI17"/>
  <c r="AG17"/>
  <c r="E66" i="29"/>
  <c r="E68"/>
  <c r="E67" s="1"/>
  <c r="D65"/>
  <c r="Z64" s="1"/>
  <c r="AF7" i="3"/>
  <c r="M64" i="29"/>
  <c r="L27" i="3"/>
  <c r="E15" i="37"/>
  <c r="G15"/>
  <c r="I15"/>
  <c r="M15"/>
  <c r="Q15"/>
  <c r="S15"/>
  <c r="U15"/>
  <c r="W15"/>
  <c r="Y15"/>
  <c r="D16"/>
  <c r="D15" i="40" s="1"/>
  <c r="E51" i="29"/>
  <c r="AI89" i="50"/>
  <c r="G39" i="29"/>
  <c r="G47"/>
  <c r="G59"/>
  <c r="G53"/>
  <c r="AQ12" i="3" l="1"/>
  <c r="AQ10"/>
  <c r="AQ11"/>
  <c r="AN8"/>
  <c r="C16" i="53"/>
  <c r="E16"/>
  <c r="F16" s="1"/>
  <c r="G16"/>
  <c r="E24" s="1"/>
  <c r="A39" i="52"/>
  <c r="G39" s="1"/>
  <c r="C17" i="48"/>
  <c r="I36" i="29"/>
  <c r="X36"/>
  <c r="J36" s="1"/>
  <c r="I33"/>
  <c r="X34"/>
  <c r="J34" s="1"/>
  <c r="I35"/>
  <c r="I46" s="1"/>
  <c r="AJ8" i="3" s="1"/>
  <c r="X30" i="29"/>
  <c r="J30" s="1"/>
  <c r="I30"/>
  <c r="X35"/>
  <c r="J35" s="1"/>
  <c r="X33"/>
  <c r="J33" s="1"/>
  <c r="I32"/>
  <c r="I34"/>
  <c r="I31"/>
  <c r="X31"/>
  <c r="J31" s="1"/>
  <c r="X32"/>
  <c r="J32" s="1"/>
  <c r="H32" s="1"/>
  <c r="X19" i="37"/>
  <c r="X21"/>
  <c r="I20"/>
  <c r="X18"/>
  <c r="I19"/>
  <c r="X20"/>
  <c r="J20" s="1"/>
  <c r="P29" i="3" s="1"/>
  <c r="I18" i="37"/>
  <c r="I54" s="1"/>
  <c r="AJ12" i="3" s="1"/>
  <c r="I17" i="37"/>
  <c r="X17"/>
  <c r="J17" s="1"/>
  <c r="P26" i="3" s="1"/>
  <c r="Q26" s="1"/>
  <c r="R26" s="1"/>
  <c r="I21" i="37"/>
  <c r="B50" i="36"/>
  <c r="H14" i="40"/>
  <c r="C10" i="42"/>
  <c r="E14" i="40"/>
  <c r="K24" i="3"/>
  <c r="C44" i="52"/>
  <c r="C26" i="48"/>
  <c r="D42" i="52"/>
  <c r="C12" i="42"/>
  <c r="K26" i="3"/>
  <c r="E16" i="40"/>
  <c r="E69" i="29"/>
  <c r="C16" i="37"/>
  <c r="D11" i="42"/>
  <c r="L30" i="3"/>
  <c r="AK8"/>
  <c r="AL8"/>
  <c r="M24"/>
  <c r="H10" i="42"/>
  <c r="V54" i="37"/>
  <c r="T54"/>
  <c r="R54"/>
  <c r="P54"/>
  <c r="W54"/>
  <c r="AB12" i="3" s="1"/>
  <c r="U54" i="37"/>
  <c r="Q54"/>
  <c r="V48"/>
  <c r="S54"/>
  <c r="M54"/>
  <c r="AF12" i="3" s="1"/>
  <c r="V42" i="37"/>
  <c r="T42"/>
  <c r="R42"/>
  <c r="P42"/>
  <c r="M42"/>
  <c r="I42"/>
  <c r="AJ10" i="3" s="1"/>
  <c r="W36" i="37"/>
  <c r="U36"/>
  <c r="S36"/>
  <c r="Q36"/>
  <c r="M36"/>
  <c r="W42"/>
  <c r="AB10" i="3" s="1"/>
  <c r="U42" i="37"/>
  <c r="S42"/>
  <c r="Q42"/>
  <c r="V36"/>
  <c r="T36"/>
  <c r="R36"/>
  <c r="P36"/>
  <c r="U30"/>
  <c r="O30"/>
  <c r="K30"/>
  <c r="W22"/>
  <c r="W48" s="1"/>
  <c r="AB11" i="3" s="1"/>
  <c r="R22" i="37"/>
  <c r="R48" s="1"/>
  <c r="N22"/>
  <c r="L22"/>
  <c r="V30"/>
  <c r="T30"/>
  <c r="R30"/>
  <c r="P30"/>
  <c r="N30"/>
  <c r="L30"/>
  <c r="J30"/>
  <c r="H30"/>
  <c r="U22"/>
  <c r="U48" s="1"/>
  <c r="S22"/>
  <c r="S48" s="1"/>
  <c r="Q22"/>
  <c r="O22"/>
  <c r="O48" s="1"/>
  <c r="M22"/>
  <c r="M48" s="1"/>
  <c r="K22"/>
  <c r="K48" s="1"/>
  <c r="I22"/>
  <c r="I48" s="1"/>
  <c r="W30"/>
  <c r="S30"/>
  <c r="Q30"/>
  <c r="M30"/>
  <c r="I30"/>
  <c r="T22"/>
  <c r="P22"/>
  <c r="AI15"/>
  <c r="AG15"/>
  <c r="AH15"/>
  <c r="AL9" i="3"/>
  <c r="AK9"/>
  <c r="AB7"/>
  <c r="AN7" s="1"/>
  <c r="L28"/>
  <c r="J16" i="37"/>
  <c r="M25" i="3"/>
  <c r="H11" i="42"/>
  <c r="AI16" i="37"/>
  <c r="AG16"/>
  <c r="AH16"/>
  <c r="B17" i="36"/>
  <c r="AI79" i="50"/>
  <c r="AI69"/>
  <c r="AI59"/>
  <c r="B24" i="53"/>
  <c r="G65" i="29"/>
  <c r="E23" i="53" l="1"/>
  <c r="H20" i="37"/>
  <c r="B19" i="40" s="1"/>
  <c r="I36" i="37"/>
  <c r="H36" i="29"/>
  <c r="H17" i="37"/>
  <c r="E12" i="42" s="1"/>
  <c r="E25" i="53"/>
  <c r="B16" i="40"/>
  <c r="E26" i="53"/>
  <c r="E22"/>
  <c r="P18" i="3"/>
  <c r="H31" i="29"/>
  <c r="P20" i="3"/>
  <c r="H33" i="29"/>
  <c r="I70"/>
  <c r="I52"/>
  <c r="AJ9" i="3" s="1"/>
  <c r="E27" i="41"/>
  <c r="B31" i="39"/>
  <c r="H35" i="29"/>
  <c r="P22" i="3"/>
  <c r="G17" i="48" s="1"/>
  <c r="J46" i="29"/>
  <c r="AI8" i="3" s="1"/>
  <c r="J70" i="29"/>
  <c r="H30"/>
  <c r="J52"/>
  <c r="AI9" i="3" s="1"/>
  <c r="B35" i="39"/>
  <c r="E31" i="41"/>
  <c r="H34" i="29"/>
  <c r="D43" i="52"/>
  <c r="D45"/>
  <c r="C11" i="42"/>
  <c r="E15" i="40"/>
  <c r="K25" i="3"/>
  <c r="C39" i="52"/>
  <c r="Q48" i="37"/>
  <c r="P48" s="1"/>
  <c r="H54" i="52"/>
  <c r="H52"/>
  <c r="H50"/>
  <c r="H48"/>
  <c r="H46"/>
  <c r="C41"/>
  <c r="AO7" i="3"/>
  <c r="T48" i="37"/>
  <c r="Q29" i="3"/>
  <c r="R29" s="1"/>
  <c r="G26" i="48"/>
  <c r="J22" i="37"/>
  <c r="P25" i="3"/>
  <c r="Q25" s="1"/>
  <c r="R25" s="1"/>
  <c r="H16" i="37"/>
  <c r="J48"/>
  <c r="AJ11" i="3"/>
  <c r="L48" i="37"/>
  <c r="AF11" i="3"/>
  <c r="AD29" i="51"/>
  <c r="Z29"/>
  <c r="W29"/>
  <c r="U29"/>
  <c r="S29"/>
  <c r="AC29"/>
  <c r="X29"/>
  <c r="V29"/>
  <c r="T29"/>
  <c r="AD19"/>
  <c r="Z19"/>
  <c r="W19"/>
  <c r="U19"/>
  <c r="S19"/>
  <c r="AC19"/>
  <c r="X19"/>
  <c r="V19"/>
  <c r="T19"/>
  <c r="AC9"/>
  <c r="T9"/>
  <c r="AD9"/>
  <c r="W9"/>
  <c r="AF10" i="3"/>
  <c r="E21" i="42"/>
  <c r="E17"/>
  <c r="H22" i="37"/>
  <c r="H48" s="1"/>
  <c r="E33"/>
  <c r="D31"/>
  <c r="Z30" s="1"/>
  <c r="Z36" s="1"/>
  <c r="Z42" s="1"/>
  <c r="E34"/>
  <c r="E32"/>
  <c r="E25"/>
  <c r="D23"/>
  <c r="E26"/>
  <c r="E24"/>
  <c r="H39" i="35"/>
  <c r="H41"/>
  <c r="H43"/>
  <c r="H45"/>
  <c r="H47"/>
  <c r="E43"/>
  <c r="E45"/>
  <c r="E39"/>
  <c r="E47"/>
  <c r="E41"/>
  <c r="AM7" i="3"/>
  <c r="N48" i="37"/>
  <c r="AI49" i="50"/>
  <c r="Q49"/>
  <c r="AI39"/>
  <c r="Q39"/>
  <c r="AI29"/>
  <c r="Q29"/>
  <c r="AI19"/>
  <c r="Q19"/>
  <c r="G5"/>
  <c r="G15" s="1"/>
  <c r="G25" s="1"/>
  <c r="G35" s="1"/>
  <c r="G45" s="1"/>
  <c r="B23" i="53"/>
  <c r="B25"/>
  <c r="C46" i="35"/>
  <c r="C40"/>
  <c r="C42"/>
  <c r="C44"/>
  <c r="C48"/>
  <c r="B22" i="53"/>
  <c r="B26"/>
  <c r="E15" i="42" l="1"/>
  <c r="D12" i="38"/>
  <c r="B12" s="1"/>
  <c r="D12" i="53"/>
  <c r="B33" i="39"/>
  <c r="E29" i="41"/>
  <c r="B29" i="39"/>
  <c r="H70" i="29"/>
  <c r="E25" i="41"/>
  <c r="H52" i="29"/>
  <c r="E30" i="41"/>
  <c r="H46" i="29"/>
  <c r="B34" i="39"/>
  <c r="E28" i="41"/>
  <c r="B32" i="39"/>
  <c r="E26" i="41"/>
  <c r="B30" i="39"/>
  <c r="E52" i="52"/>
  <c r="E48"/>
  <c r="E54"/>
  <c r="E50"/>
  <c r="E46"/>
  <c r="C40"/>
  <c r="E27" i="37"/>
  <c r="E35"/>
  <c r="E11" i="42"/>
  <c r="B15" i="40"/>
  <c r="AI11" i="3"/>
  <c r="AP11"/>
  <c r="AC11"/>
  <c r="E52" i="37"/>
  <c r="E50"/>
  <c r="E51"/>
  <c r="D49"/>
  <c r="Z48" s="1"/>
  <c r="H44" i="35"/>
  <c r="AQ5" i="50"/>
  <c r="Y5" s="1"/>
  <c r="Y15" s="1"/>
  <c r="Y25" s="1"/>
  <c r="Y35" s="1"/>
  <c r="Y45" s="1"/>
  <c r="Y55" s="1"/>
  <c r="Y65" s="1"/>
  <c r="Y75" s="1"/>
  <c r="Y85" s="1"/>
  <c r="Y95" s="1"/>
  <c r="Y105" s="1"/>
  <c r="Y115" s="1"/>
  <c r="H46" i="35"/>
  <c r="H42"/>
  <c r="AL7" i="3"/>
  <c r="E25" i="33" s="1"/>
  <c r="AK7" i="3"/>
  <c r="E15" i="33" s="1"/>
  <c r="F20" s="1"/>
  <c r="H48" i="35"/>
  <c r="H40"/>
  <c r="AE11" i="3"/>
  <c r="AD11" s="1"/>
  <c r="AA99" i="13"/>
  <c r="AA105" s="1"/>
  <c r="AA110" s="1"/>
  <c r="AA115" s="1"/>
  <c r="AA94"/>
  <c r="A92"/>
  <c r="W92" s="1"/>
  <c r="A91"/>
  <c r="A90"/>
  <c r="A89"/>
  <c r="Z89" s="1"/>
  <c r="A88"/>
  <c r="Y88" s="1"/>
  <c r="A87"/>
  <c r="Y87" s="1"/>
  <c r="A86"/>
  <c r="L86" s="1"/>
  <c r="A85"/>
  <c r="Y85" s="1"/>
  <c r="A84"/>
  <c r="A83"/>
  <c r="AA83" s="1"/>
  <c r="A82"/>
  <c r="W82" s="1"/>
  <c r="A81"/>
  <c r="A80"/>
  <c r="Z80" s="1"/>
  <c r="A79"/>
  <c r="Y79" s="1"/>
  <c r="A78"/>
  <c r="A77"/>
  <c r="AA77" s="1"/>
  <c r="A76"/>
  <c r="AA76" s="1"/>
  <c r="A75"/>
  <c r="A74"/>
  <c r="A73"/>
  <c r="AA73" s="1"/>
  <c r="Z73" s="1"/>
  <c r="A72"/>
  <c r="W72" s="1"/>
  <c r="A71"/>
  <c r="A70"/>
  <c r="AA70" s="1"/>
  <c r="A69"/>
  <c r="A68"/>
  <c r="X68" s="1"/>
  <c r="A67"/>
  <c r="X67" s="1"/>
  <c r="A66"/>
  <c r="A65"/>
  <c r="A64"/>
  <c r="AA64" s="1"/>
  <c r="A63"/>
  <c r="Y63" s="1"/>
  <c r="A62"/>
  <c r="A61"/>
  <c r="A60"/>
  <c r="AA60" s="1"/>
  <c r="A59"/>
  <c r="A58"/>
  <c r="Y58" s="1"/>
  <c r="A57"/>
  <c r="Y57" s="1"/>
  <c r="A56"/>
  <c r="A55"/>
  <c r="D55" s="1"/>
  <c r="A54"/>
  <c r="Y54" s="1"/>
  <c r="A53"/>
  <c r="A52"/>
  <c r="AA52" s="1"/>
  <c r="Z52" s="1"/>
  <c r="A51"/>
  <c r="A50"/>
  <c r="Y50" s="1"/>
  <c r="A49"/>
  <c r="Y49" s="1"/>
  <c r="A48"/>
  <c r="D48" s="1"/>
  <c r="A47"/>
  <c r="AA47" s="1"/>
  <c r="A46"/>
  <c r="X46" s="1"/>
  <c r="A45"/>
  <c r="A44"/>
  <c r="AA44" s="1"/>
  <c r="Z44" s="1"/>
  <c r="A43"/>
  <c r="Y43" s="1"/>
  <c r="A42"/>
  <c r="A41"/>
  <c r="Y41" s="1"/>
  <c r="A40"/>
  <c r="A39"/>
  <c r="E39" s="1"/>
  <c r="C49" i="52"/>
  <c r="C47"/>
  <c r="G31" i="37"/>
  <c r="B42" i="33"/>
  <c r="G23" i="37"/>
  <c r="C51" i="52"/>
  <c r="C55"/>
  <c r="C53"/>
  <c r="P74" i="13" l="1"/>
  <c r="C74"/>
  <c r="AA46"/>
  <c r="Z46" s="1"/>
  <c r="C46"/>
  <c r="C43"/>
  <c r="S43"/>
  <c r="R46"/>
  <c r="K43"/>
  <c r="AA43"/>
  <c r="G43"/>
  <c r="O43"/>
  <c r="W43"/>
  <c r="L46"/>
  <c r="V46"/>
  <c r="S79"/>
  <c r="M39"/>
  <c r="S39"/>
  <c r="W39"/>
  <c r="AA39"/>
  <c r="E41"/>
  <c r="C39"/>
  <c r="K39"/>
  <c r="Q39"/>
  <c r="U39"/>
  <c r="Y39"/>
  <c r="C41"/>
  <c r="G41"/>
  <c r="K41"/>
  <c r="O41"/>
  <c r="S41"/>
  <c r="W41"/>
  <c r="AA41"/>
  <c r="E43"/>
  <c r="I43"/>
  <c r="M43"/>
  <c r="Q43"/>
  <c r="U43"/>
  <c r="E46"/>
  <c r="P46"/>
  <c r="T46"/>
  <c r="K79"/>
  <c r="AA79"/>
  <c r="U82"/>
  <c r="I41"/>
  <c r="M41"/>
  <c r="Q41"/>
  <c r="U41"/>
  <c r="M82"/>
  <c r="M68"/>
  <c r="V68"/>
  <c r="Q72"/>
  <c r="Y72"/>
  <c r="P73"/>
  <c r="X73"/>
  <c r="G79"/>
  <c r="O79"/>
  <c r="W79"/>
  <c r="Q82"/>
  <c r="Y82"/>
  <c r="S85"/>
  <c r="AA85"/>
  <c r="K87"/>
  <c r="S87"/>
  <c r="AA87"/>
  <c r="K88"/>
  <c r="S88"/>
  <c r="AA88"/>
  <c r="K89"/>
  <c r="S89"/>
  <c r="G68"/>
  <c r="R68"/>
  <c r="AA68"/>
  <c r="Z68" s="1"/>
  <c r="H72"/>
  <c r="U72"/>
  <c r="G73"/>
  <c r="T73"/>
  <c r="L85"/>
  <c r="W85"/>
  <c r="O87"/>
  <c r="W87"/>
  <c r="O88"/>
  <c r="W88"/>
  <c r="O89"/>
  <c r="X89"/>
  <c r="W89" s="1"/>
  <c r="E40" i="41"/>
  <c r="B92" i="39"/>
  <c r="H47" i="52"/>
  <c r="H55"/>
  <c r="H53"/>
  <c r="E49" i="13"/>
  <c r="M49"/>
  <c r="S49"/>
  <c r="W49"/>
  <c r="E50"/>
  <c r="K50"/>
  <c r="O50"/>
  <c r="S50"/>
  <c r="W50"/>
  <c r="AA50"/>
  <c r="L54"/>
  <c r="W54"/>
  <c r="E60"/>
  <c r="U60"/>
  <c r="Y60"/>
  <c r="Q64"/>
  <c r="P64" s="1"/>
  <c r="E67"/>
  <c r="I67"/>
  <c r="M67"/>
  <c r="R67"/>
  <c r="V67"/>
  <c r="Z67"/>
  <c r="E70"/>
  <c r="K70"/>
  <c r="Q70"/>
  <c r="U70"/>
  <c r="Y70"/>
  <c r="E76"/>
  <c r="K76"/>
  <c r="Q76"/>
  <c r="U76"/>
  <c r="Y76"/>
  <c r="E77"/>
  <c r="I77"/>
  <c r="M77"/>
  <c r="Q77"/>
  <c r="U77"/>
  <c r="Y77"/>
  <c r="E92"/>
  <c r="K92"/>
  <c r="Q92"/>
  <c r="U92"/>
  <c r="Y92"/>
  <c r="H51" i="52"/>
  <c r="H49"/>
  <c r="E54" i="13"/>
  <c r="S54"/>
  <c r="AA54"/>
  <c r="E58"/>
  <c r="M58"/>
  <c r="S58"/>
  <c r="W58"/>
  <c r="AA58"/>
  <c r="Q60"/>
  <c r="E63"/>
  <c r="K63"/>
  <c r="O63"/>
  <c r="S63"/>
  <c r="W63"/>
  <c r="E64"/>
  <c r="U64"/>
  <c r="Y64"/>
  <c r="C49"/>
  <c r="K49"/>
  <c r="Q49"/>
  <c r="U49"/>
  <c r="C50"/>
  <c r="H50"/>
  <c r="M50"/>
  <c r="Q50"/>
  <c r="U50"/>
  <c r="C54"/>
  <c r="H54"/>
  <c r="Q54"/>
  <c r="P54" s="1"/>
  <c r="U54"/>
  <c r="C58"/>
  <c r="K58"/>
  <c r="Q58"/>
  <c r="P58" s="1"/>
  <c r="U58"/>
  <c r="C60"/>
  <c r="L60"/>
  <c r="S60"/>
  <c r="W60"/>
  <c r="C63"/>
  <c r="H63"/>
  <c r="M63"/>
  <c r="Q63"/>
  <c r="U63"/>
  <c r="L64"/>
  <c r="S64"/>
  <c r="W64"/>
  <c r="G67"/>
  <c r="K67"/>
  <c r="P67"/>
  <c r="O67" s="1"/>
  <c r="T67"/>
  <c r="E68"/>
  <c r="K68"/>
  <c r="P68"/>
  <c r="T68"/>
  <c r="G70"/>
  <c r="M70"/>
  <c r="S70"/>
  <c r="W70"/>
  <c r="E72"/>
  <c r="L72"/>
  <c r="S72"/>
  <c r="E73"/>
  <c r="K73"/>
  <c r="R73"/>
  <c r="V73"/>
  <c r="G76"/>
  <c r="M76"/>
  <c r="S76"/>
  <c r="W76"/>
  <c r="G77"/>
  <c r="K77"/>
  <c r="O77"/>
  <c r="S77"/>
  <c r="W77"/>
  <c r="E79"/>
  <c r="I79"/>
  <c r="M79"/>
  <c r="Q79"/>
  <c r="U79"/>
  <c r="K82"/>
  <c r="O82"/>
  <c r="S82"/>
  <c r="Q85"/>
  <c r="U85"/>
  <c r="M87"/>
  <c r="D87" i="21" s="1"/>
  <c r="Q87" i="13"/>
  <c r="U87"/>
  <c r="M88"/>
  <c r="Q88"/>
  <c r="U88"/>
  <c r="M89"/>
  <c r="Q89"/>
  <c r="U89"/>
  <c r="C92"/>
  <c r="G92"/>
  <c r="M92"/>
  <c r="S92"/>
  <c r="H79" i="23"/>
  <c r="H75" i="22"/>
  <c r="F80" i="21"/>
  <c r="AI80" i="13"/>
  <c r="AH80" s="1"/>
  <c r="AG80"/>
  <c r="H43" i="23"/>
  <c r="H39" i="22"/>
  <c r="F44" i="21"/>
  <c r="AI44" i="13"/>
  <c r="AG44"/>
  <c r="AH44"/>
  <c r="H51" i="23"/>
  <c r="H47" i="22"/>
  <c r="F52" i="21"/>
  <c r="AI52" i="13"/>
  <c r="AG52"/>
  <c r="AH52"/>
  <c r="E38" i="23"/>
  <c r="C34" i="22"/>
  <c r="B39" i="21"/>
  <c r="A35" i="22"/>
  <c r="A40" i="21"/>
  <c r="D40" i="23"/>
  <c r="D36" i="22"/>
  <c r="A37"/>
  <c r="A42" i="21"/>
  <c r="E42" i="23"/>
  <c r="C38" i="22"/>
  <c r="B43" i="21"/>
  <c r="E45" i="23"/>
  <c r="C41" i="22"/>
  <c r="B46" i="21"/>
  <c r="H45" i="23"/>
  <c r="H41" i="22"/>
  <c r="F46" i="21"/>
  <c r="E48" i="23"/>
  <c r="C44" i="22"/>
  <c r="B49" i="21"/>
  <c r="E49" i="23"/>
  <c r="C45" i="22"/>
  <c r="B50" i="21"/>
  <c r="A46" i="22"/>
  <c r="A51" i="21"/>
  <c r="E53" i="23"/>
  <c r="C49" i="22"/>
  <c r="B54" i="21"/>
  <c r="A51" i="22"/>
  <c r="A56" i="21"/>
  <c r="C56" s="1"/>
  <c r="E57" i="23"/>
  <c r="C53" i="22"/>
  <c r="B58" i="21"/>
  <c r="A54" i="22"/>
  <c r="A59" i="21"/>
  <c r="E59" i="23"/>
  <c r="C55" i="22"/>
  <c r="B60" i="21"/>
  <c r="A56" i="22"/>
  <c r="A61" i="21"/>
  <c r="A57" i="22"/>
  <c r="A62" i="21"/>
  <c r="E63" i="23"/>
  <c r="C59" i="22"/>
  <c r="B64" i="21"/>
  <c r="A60" i="22"/>
  <c r="A65" i="21"/>
  <c r="A61" i="22"/>
  <c r="A66" i="21"/>
  <c r="D66" i="23"/>
  <c r="D62" i="22"/>
  <c r="H66" i="23"/>
  <c r="H62" i="22"/>
  <c r="F67" i="21"/>
  <c r="H67" i="23"/>
  <c r="H63" i="22"/>
  <c r="F68" i="21"/>
  <c r="E69" i="23"/>
  <c r="C65" i="22"/>
  <c r="B70" i="21"/>
  <c r="D69" i="23"/>
  <c r="D65" i="22"/>
  <c r="A66"/>
  <c r="A71" i="21"/>
  <c r="E71" i="23"/>
  <c r="C67" i="22"/>
  <c r="B72" i="21"/>
  <c r="D72" i="23"/>
  <c r="D68" i="22"/>
  <c r="H72" i="23"/>
  <c r="H68" i="22"/>
  <c r="F73" i="21"/>
  <c r="A70" i="22"/>
  <c r="A75" i="21"/>
  <c r="D76" i="23"/>
  <c r="D72" i="22"/>
  <c r="A73"/>
  <c r="A78" i="21"/>
  <c r="C78" s="1"/>
  <c r="C74" i="22"/>
  <c r="B79" i="21"/>
  <c r="C77" i="22"/>
  <c r="B82" i="21"/>
  <c r="D81" i="23"/>
  <c r="D77" i="22"/>
  <c r="C80"/>
  <c r="B85" i="21"/>
  <c r="A81" i="22"/>
  <c r="A86" i="21"/>
  <c r="C82" i="22"/>
  <c r="B87" i="21"/>
  <c r="D86" i="23"/>
  <c r="D82" i="22"/>
  <c r="E87" i="23"/>
  <c r="C83" i="22"/>
  <c r="B88" i="21"/>
  <c r="D87" i="23"/>
  <c r="D83" i="22"/>
  <c r="E88" i="23"/>
  <c r="C84" i="22"/>
  <c r="B89" i="21"/>
  <c r="D88" i="23"/>
  <c r="D84" i="22"/>
  <c r="H88" i="23"/>
  <c r="H84" i="22"/>
  <c r="F89" i="21"/>
  <c r="A85" i="22"/>
  <c r="A90" i="21"/>
  <c r="A86" i="22"/>
  <c r="A91" i="21"/>
  <c r="E91" i="23"/>
  <c r="C87" i="22"/>
  <c r="B92" i="21"/>
  <c r="D91" i="23"/>
  <c r="D87" i="22"/>
  <c r="AN11" i="3"/>
  <c r="AO11"/>
  <c r="AM11"/>
  <c r="G40" i="13"/>
  <c r="K40"/>
  <c r="Q40"/>
  <c r="S40"/>
  <c r="U40"/>
  <c r="W40"/>
  <c r="Y40"/>
  <c r="G42"/>
  <c r="L42"/>
  <c r="D44"/>
  <c r="L44"/>
  <c r="P44"/>
  <c r="T44"/>
  <c r="X44"/>
  <c r="AH46"/>
  <c r="D47"/>
  <c r="S47"/>
  <c r="U47"/>
  <c r="W47"/>
  <c r="Y47"/>
  <c r="G51"/>
  <c r="K51"/>
  <c r="P51"/>
  <c r="T51"/>
  <c r="V51"/>
  <c r="X51"/>
  <c r="AA51"/>
  <c r="Z51" s="1"/>
  <c r="D52"/>
  <c r="M52"/>
  <c r="R52"/>
  <c r="T52"/>
  <c r="X52"/>
  <c r="G56"/>
  <c r="K56"/>
  <c r="P56"/>
  <c r="R56"/>
  <c r="T56"/>
  <c r="V56"/>
  <c r="X56"/>
  <c r="AA56"/>
  <c r="Z56" s="1"/>
  <c r="D57"/>
  <c r="S57"/>
  <c r="W57"/>
  <c r="G61"/>
  <c r="K61"/>
  <c r="D62"/>
  <c r="L62"/>
  <c r="P62"/>
  <c r="R62"/>
  <c r="T62"/>
  <c r="V62"/>
  <c r="X62"/>
  <c r="Z62"/>
  <c r="G65"/>
  <c r="L65"/>
  <c r="P65"/>
  <c r="G66"/>
  <c r="I66"/>
  <c r="L66"/>
  <c r="P66"/>
  <c r="R66"/>
  <c r="V66"/>
  <c r="X66"/>
  <c r="Z66"/>
  <c r="AG67"/>
  <c r="AI67"/>
  <c r="AH68"/>
  <c r="D71"/>
  <c r="M71"/>
  <c r="T71"/>
  <c r="AH73"/>
  <c r="D74"/>
  <c r="I74"/>
  <c r="L74"/>
  <c r="D75"/>
  <c r="I75"/>
  <c r="L75"/>
  <c r="P75"/>
  <c r="R75"/>
  <c r="T75"/>
  <c r="V75"/>
  <c r="X75"/>
  <c r="Z75"/>
  <c r="G78"/>
  <c r="L78"/>
  <c r="P78"/>
  <c r="T78"/>
  <c r="X78"/>
  <c r="P80"/>
  <c r="O80" s="1"/>
  <c r="T80"/>
  <c r="V80"/>
  <c r="Q83"/>
  <c r="P83" s="1"/>
  <c r="S83"/>
  <c r="U83"/>
  <c r="W83"/>
  <c r="Y83"/>
  <c r="P86"/>
  <c r="R86"/>
  <c r="T86"/>
  <c r="V86"/>
  <c r="X86"/>
  <c r="AG89"/>
  <c r="D90"/>
  <c r="G90"/>
  <c r="L90"/>
  <c r="P90"/>
  <c r="R90"/>
  <c r="T90"/>
  <c r="V90"/>
  <c r="X90"/>
  <c r="Z90"/>
  <c r="D91"/>
  <c r="G91"/>
  <c r="I91"/>
  <c r="L91"/>
  <c r="P91"/>
  <c r="R91"/>
  <c r="T91"/>
  <c r="V91"/>
  <c r="X91"/>
  <c r="Z91"/>
  <c r="E53" i="37"/>
  <c r="D38" i="23"/>
  <c r="D34" i="22"/>
  <c r="E40" i="23"/>
  <c r="C36" i="22"/>
  <c r="B41" i="21"/>
  <c r="D42" i="23"/>
  <c r="D38" i="22"/>
  <c r="A39"/>
  <c r="A44" i="21"/>
  <c r="A40" i="22"/>
  <c r="A45" i="21"/>
  <c r="D45" i="23"/>
  <c r="D41" i="22"/>
  <c r="A42"/>
  <c r="A47" i="21"/>
  <c r="C47" s="1"/>
  <c r="A43" i="22"/>
  <c r="A48" i="21"/>
  <c r="C48" s="1"/>
  <c r="D48" i="23"/>
  <c r="D44" i="22"/>
  <c r="D49" i="23"/>
  <c r="D45" i="22"/>
  <c r="A47"/>
  <c r="A52" i="21"/>
  <c r="A48" i="22"/>
  <c r="A53" i="21"/>
  <c r="D53" i="23"/>
  <c r="D49" i="22"/>
  <c r="A50"/>
  <c r="A55" i="21"/>
  <c r="A52" i="22"/>
  <c r="A57" i="21"/>
  <c r="D57" i="23"/>
  <c r="D53" i="22"/>
  <c r="D59" i="23"/>
  <c r="D55" i="22"/>
  <c r="E62" i="23"/>
  <c r="C58" i="22"/>
  <c r="B63" i="21"/>
  <c r="D62" i="23"/>
  <c r="D58" i="22"/>
  <c r="D63" i="23"/>
  <c r="D59" i="22"/>
  <c r="E66" i="23"/>
  <c r="C62" i="22"/>
  <c r="B67" i="21"/>
  <c r="E67" i="23"/>
  <c r="C63" i="22"/>
  <c r="B68" i="21"/>
  <c r="D67" i="23"/>
  <c r="D63" i="22"/>
  <c r="A64"/>
  <c r="A69" i="21"/>
  <c r="C69" s="1"/>
  <c r="D71" i="23"/>
  <c r="D67" i="22"/>
  <c r="E72" i="23"/>
  <c r="C68" i="22"/>
  <c r="B73" i="21"/>
  <c r="A69" i="22"/>
  <c r="A74" i="21"/>
  <c r="E75" i="23"/>
  <c r="C71" i="22"/>
  <c r="B76" i="21"/>
  <c r="D75" i="23"/>
  <c r="D71" i="22"/>
  <c r="E76" i="23"/>
  <c r="C72" i="22"/>
  <c r="B77" i="21"/>
  <c r="D78" i="23"/>
  <c r="D74" i="22"/>
  <c r="A75"/>
  <c r="A80" i="21"/>
  <c r="C80" s="1"/>
  <c r="A76" i="22"/>
  <c r="A81" i="21"/>
  <c r="A78" i="22"/>
  <c r="A83" i="21"/>
  <c r="A79" i="22"/>
  <c r="A84" i="21"/>
  <c r="D84" i="23"/>
  <c r="D80" i="22"/>
  <c r="A34"/>
  <c r="A39" i="21"/>
  <c r="A36" i="22"/>
  <c r="A41" i="21"/>
  <c r="A38" i="22"/>
  <c r="A43" i="21"/>
  <c r="A41" i="22"/>
  <c r="A46" i="21"/>
  <c r="C46" s="1"/>
  <c r="A44" i="22"/>
  <c r="A49" i="21"/>
  <c r="A45" i="22"/>
  <c r="A50" i="21"/>
  <c r="A49" i="22"/>
  <c r="A54" i="21"/>
  <c r="A53" i="22"/>
  <c r="A58" i="21"/>
  <c r="A55" i="22"/>
  <c r="A60" i="21"/>
  <c r="C60" s="1"/>
  <c r="A58" i="22"/>
  <c r="A63" i="21"/>
  <c r="A59" i="22"/>
  <c r="A64" i="21"/>
  <c r="A62" i="22"/>
  <c r="A67" i="21"/>
  <c r="A63" i="22"/>
  <c r="A68" i="21"/>
  <c r="A65" i="22"/>
  <c r="A70" i="21"/>
  <c r="C70" s="1"/>
  <c r="A67" i="22"/>
  <c r="A72" i="21"/>
  <c r="A68" i="22"/>
  <c r="A73" i="21"/>
  <c r="A71" i="22"/>
  <c r="A76" i="21"/>
  <c r="C76" s="1"/>
  <c r="A72" i="22"/>
  <c r="A77" i="21"/>
  <c r="C77" s="1"/>
  <c r="A74" i="22"/>
  <c r="A79" i="21"/>
  <c r="A77" i="22"/>
  <c r="A82" i="21"/>
  <c r="A80" i="22"/>
  <c r="A85" i="21"/>
  <c r="A82" i="22"/>
  <c r="A87" i="21"/>
  <c r="C87" s="1"/>
  <c r="A83" i="22"/>
  <c r="A88" i="21"/>
  <c r="C88" s="1"/>
  <c r="A84" i="22"/>
  <c r="A89" i="21"/>
  <c r="C89" s="1"/>
  <c r="A87" i="22"/>
  <c r="A92" i="21"/>
  <c r="D42" i="13"/>
  <c r="I42"/>
  <c r="P42"/>
  <c r="R42"/>
  <c r="T42"/>
  <c r="V42"/>
  <c r="X42"/>
  <c r="Z42"/>
  <c r="G44"/>
  <c r="R44"/>
  <c r="V44"/>
  <c r="D45"/>
  <c r="G45"/>
  <c r="I45"/>
  <c r="L45"/>
  <c r="P45"/>
  <c r="R45"/>
  <c r="T45"/>
  <c r="V45"/>
  <c r="X45"/>
  <c r="Z45"/>
  <c r="G47"/>
  <c r="L47"/>
  <c r="Q47"/>
  <c r="H48"/>
  <c r="L48"/>
  <c r="P48"/>
  <c r="R48"/>
  <c r="T48"/>
  <c r="V48"/>
  <c r="X48"/>
  <c r="Z48"/>
  <c r="D51"/>
  <c r="R51"/>
  <c r="G52"/>
  <c r="K52"/>
  <c r="P52"/>
  <c r="V52"/>
  <c r="D53"/>
  <c r="H53"/>
  <c r="L53"/>
  <c r="Q53"/>
  <c r="S53"/>
  <c r="U53"/>
  <c r="W53"/>
  <c r="Y53"/>
  <c r="G55"/>
  <c r="I55"/>
  <c r="L55"/>
  <c r="P55"/>
  <c r="R55"/>
  <c r="T55"/>
  <c r="V55"/>
  <c r="X55"/>
  <c r="Z55"/>
  <c r="M56"/>
  <c r="L57"/>
  <c r="Q57"/>
  <c r="U57"/>
  <c r="D59"/>
  <c r="L59"/>
  <c r="P59"/>
  <c r="R59"/>
  <c r="T59"/>
  <c r="V59"/>
  <c r="X59"/>
  <c r="Z59"/>
  <c r="D61"/>
  <c r="M61"/>
  <c r="Q61"/>
  <c r="T61"/>
  <c r="V61"/>
  <c r="X61"/>
  <c r="AA61"/>
  <c r="Z61" s="1"/>
  <c r="D65"/>
  <c r="I65"/>
  <c r="R65"/>
  <c r="T65"/>
  <c r="V65"/>
  <c r="X65"/>
  <c r="AA65"/>
  <c r="Z65" s="1"/>
  <c r="D66"/>
  <c r="T66"/>
  <c r="D69"/>
  <c r="G69"/>
  <c r="L69"/>
  <c r="P69"/>
  <c r="R69"/>
  <c r="T69"/>
  <c r="V69"/>
  <c r="X69"/>
  <c r="Z69"/>
  <c r="G71"/>
  <c r="K71"/>
  <c r="P71"/>
  <c r="R71"/>
  <c r="V71"/>
  <c r="X71"/>
  <c r="Z71"/>
  <c r="G74"/>
  <c r="R74"/>
  <c r="T74"/>
  <c r="V74"/>
  <c r="X74"/>
  <c r="Z74"/>
  <c r="AQ6" i="3" s="1"/>
  <c r="G75" i="13"/>
  <c r="D78"/>
  <c r="R78"/>
  <c r="V78"/>
  <c r="Z78"/>
  <c r="L80"/>
  <c r="R80"/>
  <c r="X80"/>
  <c r="K81"/>
  <c r="M81"/>
  <c r="P81"/>
  <c r="R81"/>
  <c r="T81"/>
  <c r="V81"/>
  <c r="X81"/>
  <c r="Z81"/>
  <c r="L83"/>
  <c r="L84"/>
  <c r="Q84"/>
  <c r="S84"/>
  <c r="U84"/>
  <c r="W84"/>
  <c r="Y84"/>
  <c r="D39"/>
  <c r="G39"/>
  <c r="L39"/>
  <c r="P39"/>
  <c r="R39"/>
  <c r="T39"/>
  <c r="V39"/>
  <c r="X39"/>
  <c r="Z39"/>
  <c r="C40"/>
  <c r="E40"/>
  <c r="L40"/>
  <c r="P40"/>
  <c r="R40"/>
  <c r="T40"/>
  <c r="V40"/>
  <c r="X40"/>
  <c r="Z40"/>
  <c r="D41"/>
  <c r="H41"/>
  <c r="L41"/>
  <c r="P41"/>
  <c r="R41"/>
  <c r="T41"/>
  <c r="V41"/>
  <c r="X41"/>
  <c r="Z41"/>
  <c r="C42"/>
  <c r="E42"/>
  <c r="H42"/>
  <c r="K42"/>
  <c r="M42"/>
  <c r="O42"/>
  <c r="Q42"/>
  <c r="S42"/>
  <c r="U42"/>
  <c r="W42"/>
  <c r="Y42"/>
  <c r="AA42"/>
  <c r="D43"/>
  <c r="H43"/>
  <c r="L43"/>
  <c r="P43"/>
  <c r="R43"/>
  <c r="T43"/>
  <c r="V43"/>
  <c r="X43"/>
  <c r="Z43"/>
  <c r="C44"/>
  <c r="E44"/>
  <c r="K44"/>
  <c r="M44"/>
  <c r="O44"/>
  <c r="Q44"/>
  <c r="S44"/>
  <c r="U44"/>
  <c r="W44"/>
  <c r="Y44"/>
  <c r="C45"/>
  <c r="E45"/>
  <c r="H45"/>
  <c r="K45"/>
  <c r="M45"/>
  <c r="O45"/>
  <c r="Q45"/>
  <c r="S45"/>
  <c r="U45"/>
  <c r="W45"/>
  <c r="Y45"/>
  <c r="AA45"/>
  <c r="D46"/>
  <c r="G46"/>
  <c r="K46"/>
  <c r="M46"/>
  <c r="O46"/>
  <c r="Q46"/>
  <c r="S46"/>
  <c r="U46"/>
  <c r="W46"/>
  <c r="Y46"/>
  <c r="AG46"/>
  <c r="AI46"/>
  <c r="C47"/>
  <c r="E47"/>
  <c r="K47"/>
  <c r="M47"/>
  <c r="P47"/>
  <c r="R47"/>
  <c r="T47"/>
  <c r="V47"/>
  <c r="X47"/>
  <c r="Z47"/>
  <c r="C48"/>
  <c r="E48"/>
  <c r="G48"/>
  <c r="I48"/>
  <c r="K48"/>
  <c r="M48"/>
  <c r="O48"/>
  <c r="Q48"/>
  <c r="S48"/>
  <c r="U48"/>
  <c r="W48"/>
  <c r="Y48"/>
  <c r="AA48"/>
  <c r="G49"/>
  <c r="L49"/>
  <c r="P49"/>
  <c r="R49"/>
  <c r="T49"/>
  <c r="V49"/>
  <c r="X49"/>
  <c r="Z49"/>
  <c r="D50"/>
  <c r="G50"/>
  <c r="I50"/>
  <c r="L50"/>
  <c r="P50"/>
  <c r="R50"/>
  <c r="T50"/>
  <c r="V50"/>
  <c r="X50"/>
  <c r="Z50"/>
  <c r="C51"/>
  <c r="E51"/>
  <c r="L51"/>
  <c r="Q51"/>
  <c r="S51"/>
  <c r="U51"/>
  <c r="W51"/>
  <c r="Y51"/>
  <c r="C52"/>
  <c r="E52"/>
  <c r="L52"/>
  <c r="Q52"/>
  <c r="S52"/>
  <c r="U52"/>
  <c r="W52"/>
  <c r="Y52"/>
  <c r="C53"/>
  <c r="E53"/>
  <c r="G53"/>
  <c r="I53"/>
  <c r="K53"/>
  <c r="M53"/>
  <c r="P53"/>
  <c r="O53" s="1"/>
  <c r="R53"/>
  <c r="T53"/>
  <c r="V53"/>
  <c r="X53"/>
  <c r="AA53"/>
  <c r="Z53" s="1"/>
  <c r="D54"/>
  <c r="G54"/>
  <c r="I54"/>
  <c r="K54"/>
  <c r="M54"/>
  <c r="O54"/>
  <c r="R54"/>
  <c r="T54"/>
  <c r="V54"/>
  <c r="X54"/>
  <c r="Z54"/>
  <c r="C55"/>
  <c r="E55"/>
  <c r="H55"/>
  <c r="K55"/>
  <c r="M55"/>
  <c r="O55"/>
  <c r="Q55"/>
  <c r="S55"/>
  <c r="U55"/>
  <c r="W55"/>
  <c r="Y55"/>
  <c r="C56"/>
  <c r="E56"/>
  <c r="L56"/>
  <c r="Q56"/>
  <c r="S56"/>
  <c r="U56"/>
  <c r="W56"/>
  <c r="Y56"/>
  <c r="C57"/>
  <c r="E57"/>
  <c r="G57"/>
  <c r="K57"/>
  <c r="P57"/>
  <c r="R57"/>
  <c r="T57"/>
  <c r="V57"/>
  <c r="X57"/>
  <c r="AA57"/>
  <c r="Z57" s="1"/>
  <c r="D58"/>
  <c r="G58"/>
  <c r="L58"/>
  <c r="R58"/>
  <c r="T58"/>
  <c r="V58"/>
  <c r="X58"/>
  <c r="Z58"/>
  <c r="C59"/>
  <c r="E59"/>
  <c r="G59"/>
  <c r="K59"/>
  <c r="M59"/>
  <c r="Q59"/>
  <c r="S59"/>
  <c r="U59"/>
  <c r="W59"/>
  <c r="Y59"/>
  <c r="AA59"/>
  <c r="D60"/>
  <c r="G60"/>
  <c r="K60"/>
  <c r="M60"/>
  <c r="P60"/>
  <c r="R60"/>
  <c r="T60"/>
  <c r="V60"/>
  <c r="X60"/>
  <c r="Z60"/>
  <c r="C61"/>
  <c r="E61"/>
  <c r="L61"/>
  <c r="P61"/>
  <c r="S61"/>
  <c r="R61" s="1"/>
  <c r="U61"/>
  <c r="W61"/>
  <c r="Y61"/>
  <c r="C62"/>
  <c r="E62"/>
  <c r="G62"/>
  <c r="K62"/>
  <c r="M62"/>
  <c r="Q62"/>
  <c r="S62"/>
  <c r="U62"/>
  <c r="W62"/>
  <c r="Y62"/>
  <c r="AA62"/>
  <c r="D63"/>
  <c r="G63"/>
  <c r="I63"/>
  <c r="L63"/>
  <c r="P63"/>
  <c r="R63"/>
  <c r="T63"/>
  <c r="V63"/>
  <c r="X63"/>
  <c r="Z63"/>
  <c r="D64"/>
  <c r="G64"/>
  <c r="K64"/>
  <c r="R64"/>
  <c r="T64"/>
  <c r="V64"/>
  <c r="X64"/>
  <c r="Z64"/>
  <c r="E65"/>
  <c r="H65"/>
  <c r="K65"/>
  <c r="M65"/>
  <c r="O65"/>
  <c r="Q65"/>
  <c r="S65"/>
  <c r="U65"/>
  <c r="W65"/>
  <c r="Y65"/>
  <c r="E66"/>
  <c r="H66"/>
  <c r="K66"/>
  <c r="M66"/>
  <c r="D66" i="21" s="1"/>
  <c r="O66" i="13"/>
  <c r="Q66"/>
  <c r="S66"/>
  <c r="U66"/>
  <c r="W66"/>
  <c r="Y66"/>
  <c r="AA66"/>
  <c r="D67"/>
  <c r="H67"/>
  <c r="L67"/>
  <c r="Q67"/>
  <c r="S67"/>
  <c r="U67"/>
  <c r="W67"/>
  <c r="Y67"/>
  <c r="AA67"/>
  <c r="AH67"/>
  <c r="D68"/>
  <c r="L68"/>
  <c r="Q68"/>
  <c r="S68"/>
  <c r="U68"/>
  <c r="W68"/>
  <c r="Y68"/>
  <c r="AG68"/>
  <c r="AI68"/>
  <c r="E69"/>
  <c r="K69"/>
  <c r="M69"/>
  <c r="Q69"/>
  <c r="S69"/>
  <c r="U69"/>
  <c r="W69"/>
  <c r="Y69"/>
  <c r="AA69"/>
  <c r="D70"/>
  <c r="L70"/>
  <c r="P70"/>
  <c r="R70"/>
  <c r="T70"/>
  <c r="V70"/>
  <c r="X70"/>
  <c r="Z70"/>
  <c r="E71"/>
  <c r="L71"/>
  <c r="O71"/>
  <c r="Q71"/>
  <c r="S71"/>
  <c r="U71"/>
  <c r="W71"/>
  <c r="Y71"/>
  <c r="AA71"/>
  <c r="D72"/>
  <c r="G72"/>
  <c r="I72"/>
  <c r="K72"/>
  <c r="M72"/>
  <c r="P72"/>
  <c r="O72" s="1"/>
  <c r="R72"/>
  <c r="T72"/>
  <c r="V72"/>
  <c r="X72"/>
  <c r="AA72"/>
  <c r="Z72" s="1"/>
  <c r="D73"/>
  <c r="L73"/>
  <c r="Q73"/>
  <c r="S73"/>
  <c r="U73"/>
  <c r="W73"/>
  <c r="Y73"/>
  <c r="AG73"/>
  <c r="AI73"/>
  <c r="E74"/>
  <c r="H74"/>
  <c r="K74"/>
  <c r="M74"/>
  <c r="O74"/>
  <c r="Q74"/>
  <c r="S74"/>
  <c r="U74"/>
  <c r="W74"/>
  <c r="Y74"/>
  <c r="E75"/>
  <c r="H75"/>
  <c r="K75"/>
  <c r="M75"/>
  <c r="O75"/>
  <c r="Q75"/>
  <c r="S75"/>
  <c r="U75"/>
  <c r="W75"/>
  <c r="Y75"/>
  <c r="AA75"/>
  <c r="D76"/>
  <c r="L76"/>
  <c r="P76"/>
  <c r="R76"/>
  <c r="T76"/>
  <c r="V76"/>
  <c r="X76"/>
  <c r="Z76"/>
  <c r="D77"/>
  <c r="H77"/>
  <c r="L77"/>
  <c r="P77"/>
  <c r="R77"/>
  <c r="T77"/>
  <c r="V77"/>
  <c r="X77"/>
  <c r="Z77"/>
  <c r="E78"/>
  <c r="K78"/>
  <c r="M78"/>
  <c r="Q78"/>
  <c r="S78"/>
  <c r="U78"/>
  <c r="W78"/>
  <c r="Y78"/>
  <c r="AA78"/>
  <c r="D79"/>
  <c r="H79"/>
  <c r="L79"/>
  <c r="P79"/>
  <c r="R79"/>
  <c r="T79"/>
  <c r="V79"/>
  <c r="X79"/>
  <c r="Z79"/>
  <c r="K80"/>
  <c r="M80"/>
  <c r="Q80"/>
  <c r="S80"/>
  <c r="U80"/>
  <c r="W80"/>
  <c r="Y80"/>
  <c r="AA80"/>
  <c r="L81"/>
  <c r="O81"/>
  <c r="Q81"/>
  <c r="S81"/>
  <c r="U81"/>
  <c r="W81"/>
  <c r="Y81"/>
  <c r="AA81"/>
  <c r="L82"/>
  <c r="P82"/>
  <c r="R82"/>
  <c r="T82"/>
  <c r="V82"/>
  <c r="X82"/>
  <c r="K83"/>
  <c r="M83"/>
  <c r="D83" i="21" s="1"/>
  <c r="O83" i="13"/>
  <c r="R83"/>
  <c r="T83"/>
  <c r="V83"/>
  <c r="X83"/>
  <c r="Z83"/>
  <c r="K84"/>
  <c r="M84"/>
  <c r="P84"/>
  <c r="O84" s="1"/>
  <c r="R84"/>
  <c r="T84"/>
  <c r="V84"/>
  <c r="X84"/>
  <c r="Z84"/>
  <c r="K85"/>
  <c r="M85"/>
  <c r="P85"/>
  <c r="R85"/>
  <c r="T85"/>
  <c r="V85"/>
  <c r="X85"/>
  <c r="Z85"/>
  <c r="K86"/>
  <c r="M86"/>
  <c r="Q86"/>
  <c r="S86"/>
  <c r="U86"/>
  <c r="W86"/>
  <c r="Y86"/>
  <c r="L87"/>
  <c r="P87"/>
  <c r="R87"/>
  <c r="T87"/>
  <c r="V87"/>
  <c r="X87"/>
  <c r="Z87"/>
  <c r="L88"/>
  <c r="P88"/>
  <c r="R88"/>
  <c r="T88"/>
  <c r="V88"/>
  <c r="X88"/>
  <c r="Z88"/>
  <c r="L89"/>
  <c r="P89"/>
  <c r="R89"/>
  <c r="T89"/>
  <c r="V89"/>
  <c r="Y89"/>
  <c r="AA89"/>
  <c r="AI89"/>
  <c r="AH89" s="1"/>
  <c r="C90"/>
  <c r="E90"/>
  <c r="K90"/>
  <c r="M90"/>
  <c r="Q90"/>
  <c r="S90"/>
  <c r="U90"/>
  <c r="W90"/>
  <c r="Y90"/>
  <c r="AA90"/>
  <c r="C91"/>
  <c r="E91"/>
  <c r="H91"/>
  <c r="K91"/>
  <c r="M91"/>
  <c r="O91"/>
  <c r="Q91"/>
  <c r="S91"/>
  <c r="U91"/>
  <c r="W91"/>
  <c r="Y91"/>
  <c r="AA91"/>
  <c r="D92"/>
  <c r="L92"/>
  <c r="P92"/>
  <c r="R92"/>
  <c r="T92"/>
  <c r="V92"/>
  <c r="X92"/>
  <c r="Z92"/>
  <c r="A38"/>
  <c r="L38" s="1"/>
  <c r="A37"/>
  <c r="X37" s="1"/>
  <c r="A36"/>
  <c r="AA36" s="1"/>
  <c r="A35"/>
  <c r="Y35" s="1"/>
  <c r="A34"/>
  <c r="Z34" s="1"/>
  <c r="AH34" s="1"/>
  <c r="A33"/>
  <c r="AA33" s="1"/>
  <c r="A32"/>
  <c r="U32" s="1"/>
  <c r="A31"/>
  <c r="A30"/>
  <c r="Y30" s="1"/>
  <c r="A29"/>
  <c r="AA29" s="1"/>
  <c r="A28"/>
  <c r="E28" s="1"/>
  <c r="A27"/>
  <c r="Y27" s="1"/>
  <c r="A26"/>
  <c r="Z26" s="1"/>
  <c r="A25"/>
  <c r="A24"/>
  <c r="Y24" s="1"/>
  <c r="A23"/>
  <c r="K23" s="1"/>
  <c r="A22"/>
  <c r="Z22" s="1"/>
  <c r="AH22" s="1"/>
  <c r="A21"/>
  <c r="AA21" s="1"/>
  <c r="A20"/>
  <c r="A19"/>
  <c r="Y19" s="1"/>
  <c r="A18"/>
  <c r="X18" s="1"/>
  <c r="A17"/>
  <c r="U17" s="1"/>
  <c r="A16"/>
  <c r="A15"/>
  <c r="F12"/>
  <c r="Z14" s="1"/>
  <c r="B93" i="39"/>
  <c r="G49" i="37"/>
  <c r="AQ4" i="3" l="1"/>
  <c r="AQ5"/>
  <c r="AQ2"/>
  <c r="AQ3"/>
  <c r="G22" i="14"/>
  <c r="E7" i="22"/>
  <c r="C27" i="13"/>
  <c r="W30"/>
  <c r="W27"/>
  <c r="C30"/>
  <c r="M27"/>
  <c r="O30"/>
  <c r="G18"/>
  <c r="R18"/>
  <c r="Z18"/>
  <c r="G33"/>
  <c r="Q33"/>
  <c r="Y33"/>
  <c r="G35"/>
  <c r="O35"/>
  <c r="W35"/>
  <c r="C18"/>
  <c r="M18"/>
  <c r="V18"/>
  <c r="H27"/>
  <c r="S27"/>
  <c r="H30"/>
  <c r="S30"/>
  <c r="AA30"/>
  <c r="C33"/>
  <c r="K33"/>
  <c r="U33"/>
  <c r="C35"/>
  <c r="K35"/>
  <c r="S35"/>
  <c r="AA35"/>
  <c r="E17"/>
  <c r="Q17"/>
  <c r="Y17"/>
  <c r="E22"/>
  <c r="I22"/>
  <c r="M22"/>
  <c r="S22"/>
  <c r="R22" s="1"/>
  <c r="Q22" s="1"/>
  <c r="X22"/>
  <c r="W22" s="1"/>
  <c r="E23"/>
  <c r="P23"/>
  <c r="T23"/>
  <c r="X23"/>
  <c r="K28"/>
  <c r="O28"/>
  <c r="S28"/>
  <c r="W28"/>
  <c r="E29"/>
  <c r="Y32"/>
  <c r="C17"/>
  <c r="K17"/>
  <c r="S17"/>
  <c r="W17"/>
  <c r="E18"/>
  <c r="K18"/>
  <c r="P18"/>
  <c r="T18"/>
  <c r="C22"/>
  <c r="G22"/>
  <c r="K22"/>
  <c r="O22"/>
  <c r="U22"/>
  <c r="C23"/>
  <c r="G23"/>
  <c r="M23"/>
  <c r="R23"/>
  <c r="V23"/>
  <c r="Z23"/>
  <c r="AH23" s="1"/>
  <c r="C24"/>
  <c r="G24"/>
  <c r="K24"/>
  <c r="O24"/>
  <c r="S24"/>
  <c r="W24"/>
  <c r="E27"/>
  <c r="K27"/>
  <c r="Q27"/>
  <c r="U27"/>
  <c r="C28"/>
  <c r="H28"/>
  <c r="M28"/>
  <c r="Q28"/>
  <c r="U28"/>
  <c r="Y28"/>
  <c r="C29"/>
  <c r="H29"/>
  <c r="M29"/>
  <c r="Q29"/>
  <c r="U29"/>
  <c r="Y29"/>
  <c r="E30"/>
  <c r="L30"/>
  <c r="Q30"/>
  <c r="U30"/>
  <c r="C32"/>
  <c r="G32"/>
  <c r="K32"/>
  <c r="O32"/>
  <c r="S32"/>
  <c r="W32"/>
  <c r="E33"/>
  <c r="I33"/>
  <c r="M33"/>
  <c r="S33"/>
  <c r="W33"/>
  <c r="C34"/>
  <c r="G34"/>
  <c r="K34"/>
  <c r="P34"/>
  <c r="T34"/>
  <c r="X34"/>
  <c r="E35"/>
  <c r="I35"/>
  <c r="M35"/>
  <c r="Q35"/>
  <c r="U35"/>
  <c r="C37"/>
  <c r="G37"/>
  <c r="M37"/>
  <c r="R37"/>
  <c r="V37"/>
  <c r="Z37"/>
  <c r="AH37" s="1"/>
  <c r="C38"/>
  <c r="E24"/>
  <c r="I24"/>
  <c r="M24"/>
  <c r="D24" i="21" s="1"/>
  <c r="E24" s="1"/>
  <c r="Q24" i="13"/>
  <c r="U24"/>
  <c r="K29"/>
  <c r="O29"/>
  <c r="S29"/>
  <c r="W29"/>
  <c r="E32"/>
  <c r="I32"/>
  <c r="M32"/>
  <c r="Q32"/>
  <c r="E34"/>
  <c r="I34"/>
  <c r="M34"/>
  <c r="R34"/>
  <c r="V34"/>
  <c r="E37"/>
  <c r="K37"/>
  <c r="P37"/>
  <c r="T37"/>
  <c r="H38"/>
  <c r="E38"/>
  <c r="N89"/>
  <c r="N87"/>
  <c r="J87" s="1"/>
  <c r="F87" s="1"/>
  <c r="N77"/>
  <c r="J77" s="1"/>
  <c r="G64" i="3" s="1"/>
  <c r="N67" i="13"/>
  <c r="N63"/>
  <c r="J63" s="1"/>
  <c r="N50"/>
  <c r="J50" s="1"/>
  <c r="F50" s="1"/>
  <c r="E45" i="22" s="1"/>
  <c r="N41" i="13"/>
  <c r="J41" s="1"/>
  <c r="N88"/>
  <c r="J88" s="1"/>
  <c r="F88" s="1"/>
  <c r="N82"/>
  <c r="J82" s="1"/>
  <c r="N79"/>
  <c r="N43"/>
  <c r="G74" i="3"/>
  <c r="J67" i="13"/>
  <c r="B49" i="23"/>
  <c r="H25"/>
  <c r="H21" i="22"/>
  <c r="F26" i="21"/>
  <c r="AH26" i="13"/>
  <c r="AI26"/>
  <c r="AG26"/>
  <c r="AA26" s="1"/>
  <c r="J79"/>
  <c r="G66" i="3" s="1"/>
  <c r="J43" i="13"/>
  <c r="F43" s="1"/>
  <c r="A10" i="22"/>
  <c r="A15" i="21"/>
  <c r="A11" i="22"/>
  <c r="A16" i="21"/>
  <c r="C16" s="1"/>
  <c r="D16" i="23"/>
  <c r="D12" i="22"/>
  <c r="H17" i="23"/>
  <c r="H13" i="22"/>
  <c r="F18" i="21"/>
  <c r="A15" i="22"/>
  <c r="A20" i="21"/>
  <c r="C20" s="1"/>
  <c r="D21" i="23"/>
  <c r="D17" i="22"/>
  <c r="E22" i="23"/>
  <c r="C18" i="22"/>
  <c r="B23" i="21"/>
  <c r="E23" i="23"/>
  <c r="C19" i="22"/>
  <c r="B24" i="21"/>
  <c r="A20" i="22"/>
  <c r="A25" i="21"/>
  <c r="C25" s="1"/>
  <c r="D26" i="23"/>
  <c r="D22" i="22"/>
  <c r="D27" i="23"/>
  <c r="D23" i="22"/>
  <c r="E28" i="23"/>
  <c r="C24" i="22"/>
  <c r="B29" i="21"/>
  <c r="D28" i="23"/>
  <c r="D24" i="22"/>
  <c r="E29" i="23"/>
  <c r="C25" i="22"/>
  <c r="B30" i="21"/>
  <c r="D29" i="23"/>
  <c r="D25" i="22"/>
  <c r="A26"/>
  <c r="A31" i="21"/>
  <c r="E31" i="23"/>
  <c r="C27" i="22"/>
  <c r="B32" i="21"/>
  <c r="E32" i="23"/>
  <c r="C28" i="22"/>
  <c r="B33" i="21"/>
  <c r="E33" i="23"/>
  <c r="C29" i="22"/>
  <c r="B34" i="21"/>
  <c r="D34" i="23"/>
  <c r="D30" i="22"/>
  <c r="A12"/>
  <c r="A17" i="21"/>
  <c r="C17" s="1"/>
  <c r="A13" i="22"/>
  <c r="A18" i="21"/>
  <c r="C18" s="1"/>
  <c r="A17" i="22"/>
  <c r="A22" i="21"/>
  <c r="A18" i="22"/>
  <c r="A23" i="21"/>
  <c r="A19" i="22"/>
  <c r="A24" i="21"/>
  <c r="C24" s="1"/>
  <c r="A22" i="22"/>
  <c r="A27" i="21"/>
  <c r="A23" i="22"/>
  <c r="A28" i="21"/>
  <c r="C28" s="1"/>
  <c r="A24" i="22"/>
  <c r="A29" i="21"/>
  <c r="C29" s="1"/>
  <c r="A25" i="22"/>
  <c r="A30" i="21"/>
  <c r="A27" i="22"/>
  <c r="A32" i="21"/>
  <c r="A28" i="22"/>
  <c r="A33" i="21"/>
  <c r="A29" i="22"/>
  <c r="A34" i="21"/>
  <c r="A30" i="22"/>
  <c r="A35" i="21"/>
  <c r="A32" i="22"/>
  <c r="A37" i="21"/>
  <c r="A33" i="22"/>
  <c r="A38" i="21"/>
  <c r="C38" s="1"/>
  <c r="AA38" i="13"/>
  <c r="Z38" s="1"/>
  <c r="X38"/>
  <c r="V38"/>
  <c r="T38"/>
  <c r="R38"/>
  <c r="P38"/>
  <c r="O38" s="1"/>
  <c r="Y38"/>
  <c r="W38"/>
  <c r="S38"/>
  <c r="U38"/>
  <c r="Q38"/>
  <c r="H91" i="23"/>
  <c r="H87" i="22"/>
  <c r="F92" i="21"/>
  <c r="AH92" i="13"/>
  <c r="AI92"/>
  <c r="AG92"/>
  <c r="AA92" s="1"/>
  <c r="E90" i="23"/>
  <c r="C86" i="22"/>
  <c r="B91" i="21"/>
  <c r="E89" i="23"/>
  <c r="C85" i="22"/>
  <c r="B90" i="21"/>
  <c r="H86" i="23"/>
  <c r="H82" i="22"/>
  <c r="F87" i="21"/>
  <c r="E87" s="1"/>
  <c r="AG87" i="13"/>
  <c r="AI87"/>
  <c r="AH87" s="1"/>
  <c r="D85" i="23"/>
  <c r="D81" i="22"/>
  <c r="H84" i="23"/>
  <c r="H80" i="22"/>
  <c r="F85" i="21"/>
  <c r="AI85" i="13"/>
  <c r="AG85"/>
  <c r="AH85"/>
  <c r="C79" i="22"/>
  <c r="B84" i="21"/>
  <c r="E82" i="23"/>
  <c r="C78" i="22"/>
  <c r="B83" i="21"/>
  <c r="C76" i="22"/>
  <c r="B81" i="21"/>
  <c r="D79" i="23"/>
  <c r="D75" i="22"/>
  <c r="H78" i="23"/>
  <c r="H74" i="22"/>
  <c r="F79" i="21"/>
  <c r="AI79" i="13"/>
  <c r="AG79"/>
  <c r="AH79"/>
  <c r="C73" i="22"/>
  <c r="B78" i="21"/>
  <c r="H75" i="23"/>
  <c r="H71" i="22"/>
  <c r="F76" i="21"/>
  <c r="AG76" i="13"/>
  <c r="AI76"/>
  <c r="AH76" s="1"/>
  <c r="E74" i="23"/>
  <c r="C70" i="22"/>
  <c r="B75" i="21"/>
  <c r="D73" i="23"/>
  <c r="D69" i="22"/>
  <c r="H71" i="23"/>
  <c r="H67" i="22"/>
  <c r="F72" i="21"/>
  <c r="AH72" i="13"/>
  <c r="AI72"/>
  <c r="AG72"/>
  <c r="D70" i="23"/>
  <c r="D66" i="22"/>
  <c r="H69" i="23"/>
  <c r="H65" i="22"/>
  <c r="F70" i="21"/>
  <c r="AI70" i="13"/>
  <c r="AG70"/>
  <c r="AH70"/>
  <c r="D68" i="23"/>
  <c r="D64" i="22"/>
  <c r="C66" i="21"/>
  <c r="E66"/>
  <c r="E65" i="23"/>
  <c r="C61" i="22"/>
  <c r="B66" i="21"/>
  <c r="D64" i="23"/>
  <c r="D60" i="22"/>
  <c r="H63" i="23"/>
  <c r="H59" i="22"/>
  <c r="F64" i="21"/>
  <c r="AI64" i="13"/>
  <c r="AG64"/>
  <c r="AH64"/>
  <c r="D61" i="23"/>
  <c r="D57" i="22"/>
  <c r="E60" i="23"/>
  <c r="C56" i="22"/>
  <c r="B61" i="21"/>
  <c r="D58" i="23"/>
  <c r="D54" i="22"/>
  <c r="H57" i="23"/>
  <c r="H53" i="22"/>
  <c r="F58" i="21"/>
  <c r="AI58" i="13"/>
  <c r="AG58"/>
  <c r="AH58"/>
  <c r="H56" i="23"/>
  <c r="H52" i="22"/>
  <c r="F57" i="21"/>
  <c r="AH57" i="13"/>
  <c r="AG57"/>
  <c r="AI57"/>
  <c r="D56" i="23"/>
  <c r="D52" i="22"/>
  <c r="D55" i="23"/>
  <c r="D51" i="22"/>
  <c r="E54" i="23"/>
  <c r="C50" i="22"/>
  <c r="B55" i="21"/>
  <c r="H52" i="23"/>
  <c r="H48" i="22"/>
  <c r="F53" i="21"/>
  <c r="AH53" i="13"/>
  <c r="AI53"/>
  <c r="AG53"/>
  <c r="D52" i="23"/>
  <c r="D48" i="22"/>
  <c r="E51" i="23"/>
  <c r="C47" i="22"/>
  <c r="B52" i="21"/>
  <c r="D50" i="23"/>
  <c r="D46" i="22"/>
  <c r="H49" i="23"/>
  <c r="H45" i="22"/>
  <c r="F50" i="21"/>
  <c r="AI50" i="13"/>
  <c r="AG50"/>
  <c r="AH50"/>
  <c r="H48" i="23"/>
  <c r="H44" i="22"/>
  <c r="F49" i="21"/>
  <c r="AH49" i="13"/>
  <c r="AI49"/>
  <c r="AG49"/>
  <c r="AA49" s="1"/>
  <c r="E47" i="23"/>
  <c r="C43" i="22"/>
  <c r="B48" i="21"/>
  <c r="D46" i="23"/>
  <c r="D42" i="22"/>
  <c r="E44" i="23"/>
  <c r="C40" i="22"/>
  <c r="B45" i="21"/>
  <c r="D43" i="23"/>
  <c r="D39" i="22"/>
  <c r="H42" i="23"/>
  <c r="H38" i="22"/>
  <c r="F43" i="21"/>
  <c r="AI43" i="13"/>
  <c r="AG43"/>
  <c r="AH43"/>
  <c r="E41" i="23"/>
  <c r="C37" i="22"/>
  <c r="B42" i="21"/>
  <c r="H39" i="23"/>
  <c r="H35" i="22"/>
  <c r="F40" i="21"/>
  <c r="AH40" i="13"/>
  <c r="AI40"/>
  <c r="AG40"/>
  <c r="AA40" s="1"/>
  <c r="D39" i="23"/>
  <c r="D35" i="22"/>
  <c r="H38" i="23"/>
  <c r="H34" i="22"/>
  <c r="F39" i="21"/>
  <c r="AI39" i="13"/>
  <c r="AG39"/>
  <c r="AH39"/>
  <c r="H80" i="23"/>
  <c r="H76" i="22"/>
  <c r="F81" i="21"/>
  <c r="AH81" i="13"/>
  <c r="AI81"/>
  <c r="AG81"/>
  <c r="H73" i="23"/>
  <c r="H69" i="22"/>
  <c r="F74" i="21"/>
  <c r="AI74" i="13"/>
  <c r="AG74"/>
  <c r="AA74" s="1"/>
  <c r="AH74"/>
  <c r="H64" i="23"/>
  <c r="H60" i="22"/>
  <c r="F65" i="21"/>
  <c r="AI65" i="13"/>
  <c r="AG65"/>
  <c r="AH65"/>
  <c r="H54" i="23"/>
  <c r="H50" i="22"/>
  <c r="F55" i="21"/>
  <c r="AI55" i="13"/>
  <c r="AG55"/>
  <c r="AA55" s="1"/>
  <c r="AH55"/>
  <c r="H47" i="23"/>
  <c r="H43" i="22"/>
  <c r="F48" i="21"/>
  <c r="AH48" i="13"/>
  <c r="AI48"/>
  <c r="AG48"/>
  <c r="H44" i="23"/>
  <c r="H40" i="22"/>
  <c r="F45" i="21"/>
  <c r="AH45" i="13"/>
  <c r="AI45"/>
  <c r="AG45"/>
  <c r="H90" i="23"/>
  <c r="H86" i="22"/>
  <c r="F91" i="21"/>
  <c r="AH91" i="13"/>
  <c r="AI91"/>
  <c r="AG91"/>
  <c r="H89" i="23"/>
  <c r="H85" i="22"/>
  <c r="F90" i="21"/>
  <c r="AI90" i="13"/>
  <c r="AH90" s="1"/>
  <c r="AG90"/>
  <c r="H74" i="23"/>
  <c r="H70" i="22"/>
  <c r="F75" i="21"/>
  <c r="AH75" i="13"/>
  <c r="AI75"/>
  <c r="AG75"/>
  <c r="H61" i="23"/>
  <c r="H57" i="22"/>
  <c r="F62" i="21"/>
  <c r="AH62" i="13"/>
  <c r="AI62"/>
  <c r="AG62"/>
  <c r="G15"/>
  <c r="G16"/>
  <c r="O16"/>
  <c r="Q16"/>
  <c r="S16"/>
  <c r="U16"/>
  <c r="X16"/>
  <c r="Z16"/>
  <c r="AH18"/>
  <c r="AG18" s="1"/>
  <c r="D19"/>
  <c r="I19"/>
  <c r="L19"/>
  <c r="P19"/>
  <c r="G20"/>
  <c r="R20"/>
  <c r="T20"/>
  <c r="V20"/>
  <c r="X20"/>
  <c r="Z20"/>
  <c r="D21"/>
  <c r="R21"/>
  <c r="T21"/>
  <c r="X21"/>
  <c r="Z21"/>
  <c r="G25"/>
  <c r="P25"/>
  <c r="R25"/>
  <c r="T25"/>
  <c r="V25"/>
  <c r="X25"/>
  <c r="AA25"/>
  <c r="Z25" s="1"/>
  <c r="D26"/>
  <c r="H26"/>
  <c r="R26"/>
  <c r="T26"/>
  <c r="W26"/>
  <c r="Y26"/>
  <c r="G31"/>
  <c r="L31"/>
  <c r="R31"/>
  <c r="V31"/>
  <c r="Z31"/>
  <c r="C15"/>
  <c r="E15"/>
  <c r="K15"/>
  <c r="O15"/>
  <c r="Q15"/>
  <c r="S15"/>
  <c r="U15"/>
  <c r="W15"/>
  <c r="Y15"/>
  <c r="C16"/>
  <c r="E16"/>
  <c r="P16"/>
  <c r="R16"/>
  <c r="T16"/>
  <c r="W16"/>
  <c r="Y16"/>
  <c r="AA16"/>
  <c r="D17"/>
  <c r="G17"/>
  <c r="L17"/>
  <c r="P17"/>
  <c r="R17"/>
  <c r="T17"/>
  <c r="V17"/>
  <c r="X17"/>
  <c r="Z17"/>
  <c r="L18"/>
  <c r="Q18"/>
  <c r="S18"/>
  <c r="U18"/>
  <c r="W18"/>
  <c r="Y18"/>
  <c r="AA18"/>
  <c r="AI18"/>
  <c r="C19"/>
  <c r="E19"/>
  <c r="H19"/>
  <c r="K19"/>
  <c r="M19"/>
  <c r="O19"/>
  <c r="Q19"/>
  <c r="S19"/>
  <c r="U19"/>
  <c r="W19"/>
  <c r="C20"/>
  <c r="E20"/>
  <c r="K20"/>
  <c r="Q20"/>
  <c r="S20"/>
  <c r="U20"/>
  <c r="W20"/>
  <c r="Y20"/>
  <c r="AA20"/>
  <c r="C21"/>
  <c r="E21"/>
  <c r="H21"/>
  <c r="K21"/>
  <c r="M21"/>
  <c r="O21"/>
  <c r="Q21"/>
  <c r="S21"/>
  <c r="U21"/>
  <c r="W21"/>
  <c r="Y21"/>
  <c r="D22"/>
  <c r="H22"/>
  <c r="L22"/>
  <c r="P22"/>
  <c r="T22"/>
  <c r="V22"/>
  <c r="Y22"/>
  <c r="AA22"/>
  <c r="D23"/>
  <c r="L23"/>
  <c r="Q23"/>
  <c r="S23"/>
  <c r="U23"/>
  <c r="W23"/>
  <c r="Y23"/>
  <c r="AA23"/>
  <c r="D24"/>
  <c r="H24"/>
  <c r="L24"/>
  <c r="P24"/>
  <c r="R24"/>
  <c r="T24"/>
  <c r="V24"/>
  <c r="X24"/>
  <c r="AA24"/>
  <c r="Z24" s="1"/>
  <c r="C25"/>
  <c r="E25"/>
  <c r="L25"/>
  <c r="Q25"/>
  <c r="S25"/>
  <c r="U25"/>
  <c r="W25"/>
  <c r="Y25"/>
  <c r="C26"/>
  <c r="E26"/>
  <c r="G26"/>
  <c r="I26"/>
  <c r="K26"/>
  <c r="M26"/>
  <c r="O26"/>
  <c r="Q26"/>
  <c r="S26"/>
  <c r="V26"/>
  <c r="U26" s="1"/>
  <c r="X26"/>
  <c r="D27"/>
  <c r="G27"/>
  <c r="I27"/>
  <c r="L27"/>
  <c r="P27"/>
  <c r="O27" s="1"/>
  <c r="R27"/>
  <c r="T27"/>
  <c r="V27"/>
  <c r="X27"/>
  <c r="AA27"/>
  <c r="Z27" s="1"/>
  <c r="D28"/>
  <c r="G28"/>
  <c r="I28"/>
  <c r="L28"/>
  <c r="P28"/>
  <c r="R28"/>
  <c r="T28"/>
  <c r="V28"/>
  <c r="X28"/>
  <c r="Z28"/>
  <c r="D29"/>
  <c r="G29"/>
  <c r="I29"/>
  <c r="L29"/>
  <c r="P29"/>
  <c r="R29"/>
  <c r="T29"/>
  <c r="V29"/>
  <c r="X29"/>
  <c r="Z29"/>
  <c r="D30"/>
  <c r="G30"/>
  <c r="I30"/>
  <c r="K30"/>
  <c r="M30"/>
  <c r="P30"/>
  <c r="R30"/>
  <c r="T30"/>
  <c r="V30"/>
  <c r="X30"/>
  <c r="Z30"/>
  <c r="C31"/>
  <c r="E31"/>
  <c r="K31"/>
  <c r="M31"/>
  <c r="Q31"/>
  <c r="S31"/>
  <c r="U31"/>
  <c r="W31"/>
  <c r="Y31"/>
  <c r="AA31"/>
  <c r="D32"/>
  <c r="H32"/>
  <c r="L32"/>
  <c r="P32"/>
  <c r="R32"/>
  <c r="T32"/>
  <c r="V32"/>
  <c r="X32"/>
  <c r="AA32"/>
  <c r="Z32" s="1"/>
  <c r="D33"/>
  <c r="H33"/>
  <c r="L33"/>
  <c r="P33"/>
  <c r="O33" s="1"/>
  <c r="R33"/>
  <c r="T33"/>
  <c r="V33"/>
  <c r="X33"/>
  <c r="Z33"/>
  <c r="D34"/>
  <c r="H34"/>
  <c r="L34"/>
  <c r="O34"/>
  <c r="Q34"/>
  <c r="S34"/>
  <c r="U34"/>
  <c r="W34"/>
  <c r="Y34"/>
  <c r="AA34"/>
  <c r="D35"/>
  <c r="H35"/>
  <c r="L35"/>
  <c r="P35"/>
  <c r="R35"/>
  <c r="T35"/>
  <c r="V35"/>
  <c r="X35"/>
  <c r="Z35"/>
  <c r="C36"/>
  <c r="E36"/>
  <c r="H36"/>
  <c r="K36"/>
  <c r="M36"/>
  <c r="O36"/>
  <c r="Q36"/>
  <c r="S36"/>
  <c r="U36"/>
  <c r="W36"/>
  <c r="Y36"/>
  <c r="D37"/>
  <c r="L37"/>
  <c r="O37"/>
  <c r="Q37"/>
  <c r="S37"/>
  <c r="U37"/>
  <c r="W37"/>
  <c r="Y37"/>
  <c r="AA37"/>
  <c r="D38"/>
  <c r="G38"/>
  <c r="I38"/>
  <c r="K38"/>
  <c r="M38"/>
  <c r="D38" i="21" s="1"/>
  <c r="E38" s="1"/>
  <c r="N84" i="13"/>
  <c r="J84" s="1"/>
  <c r="F84" s="1"/>
  <c r="N83"/>
  <c r="J83" s="1"/>
  <c r="F83" s="1"/>
  <c r="N81"/>
  <c r="J81" s="1"/>
  <c r="F81" s="1"/>
  <c r="N74"/>
  <c r="N65"/>
  <c r="J65" s="1"/>
  <c r="G52" i="3" s="1"/>
  <c r="N54" i="13"/>
  <c r="J54" s="1"/>
  <c r="G41" i="3" s="1"/>
  <c r="N48" i="13"/>
  <c r="N44"/>
  <c r="N80"/>
  <c r="J80" s="1"/>
  <c r="F80" s="1"/>
  <c r="E16" i="23"/>
  <c r="C12" i="22"/>
  <c r="B17" i="21"/>
  <c r="E17" i="23"/>
  <c r="C13" i="22"/>
  <c r="B18" i="21"/>
  <c r="D17" i="23"/>
  <c r="D13" i="22"/>
  <c r="A14"/>
  <c r="A19" i="21"/>
  <c r="C19" s="1"/>
  <c r="A16" i="22"/>
  <c r="A21" i="21"/>
  <c r="C21" s="1"/>
  <c r="E21" i="23"/>
  <c r="C17" i="22"/>
  <c r="B22" i="21"/>
  <c r="H21" i="23"/>
  <c r="H17" i="22"/>
  <c r="F22" i="21"/>
  <c r="D22" i="23"/>
  <c r="D18" i="22"/>
  <c r="H22" i="23"/>
  <c r="H18" i="22"/>
  <c r="F23" i="21"/>
  <c r="D23" i="23"/>
  <c r="D19" i="22"/>
  <c r="A21"/>
  <c r="A26" i="21"/>
  <c r="E26" i="23"/>
  <c r="C22" i="22"/>
  <c r="B27" i="21"/>
  <c r="E27" i="23"/>
  <c r="C23" i="22"/>
  <c r="B28" i="21"/>
  <c r="D31" i="23"/>
  <c r="D27" i="22"/>
  <c r="D32" i="23"/>
  <c r="D28" i="22"/>
  <c r="D33" i="23"/>
  <c r="D29" i="22"/>
  <c r="H33" i="23"/>
  <c r="H29" i="22"/>
  <c r="F34" i="21"/>
  <c r="E34" i="23"/>
  <c r="C30" i="22"/>
  <c r="B35" i="21"/>
  <c r="A31" i="22"/>
  <c r="A36" i="21"/>
  <c r="E36" i="23"/>
  <c r="C32" i="22"/>
  <c r="B37" i="21"/>
  <c r="D36" i="23"/>
  <c r="D32" i="22"/>
  <c r="H36" i="23"/>
  <c r="H32" i="22"/>
  <c r="F37" i="21"/>
  <c r="E37" i="23"/>
  <c r="C33" i="22"/>
  <c r="B38" i="21"/>
  <c r="D37" i="23"/>
  <c r="D33" i="22"/>
  <c r="D90" i="23"/>
  <c r="D86" i="22"/>
  <c r="D89" i="23"/>
  <c r="D85" i="22"/>
  <c r="H87" i="23"/>
  <c r="H83" i="22"/>
  <c r="F88" i="21"/>
  <c r="AG88" i="13"/>
  <c r="AI88"/>
  <c r="AH88" s="1"/>
  <c r="C81" i="22"/>
  <c r="B86" i="21"/>
  <c r="H83" i="23"/>
  <c r="H79" i="22"/>
  <c r="F84" i="21"/>
  <c r="AH84" i="13"/>
  <c r="AI84"/>
  <c r="AG84"/>
  <c r="AA84" s="1"/>
  <c r="D83" i="23"/>
  <c r="D79" i="22"/>
  <c r="H82" i="23"/>
  <c r="H78" i="22"/>
  <c r="F83" i="21"/>
  <c r="AI83" i="13"/>
  <c r="AG83"/>
  <c r="AH83"/>
  <c r="C83" i="21"/>
  <c r="E83"/>
  <c r="D82" i="23"/>
  <c r="D78" i="22"/>
  <c r="D80" i="23"/>
  <c r="D76" i="22"/>
  <c r="C75"/>
  <c r="B80" i="21"/>
  <c r="D77" i="23"/>
  <c r="D73" i="22"/>
  <c r="H76" i="23"/>
  <c r="H72" i="22"/>
  <c r="F77" i="21"/>
  <c r="AI77" i="13"/>
  <c r="AG77"/>
  <c r="AH77"/>
  <c r="D74" i="23"/>
  <c r="D70" i="22"/>
  <c r="E73" i="23"/>
  <c r="C69" i="22"/>
  <c r="B74" i="21"/>
  <c r="E70" i="23"/>
  <c r="C66" i="22"/>
  <c r="B71" i="21"/>
  <c r="E68" i="23"/>
  <c r="C64" i="22"/>
  <c r="B69" i="21"/>
  <c r="D65" i="23"/>
  <c r="D61" i="22"/>
  <c r="E64" i="23"/>
  <c r="C60" i="22"/>
  <c r="B65" i="21"/>
  <c r="H62" i="23"/>
  <c r="H58" i="22"/>
  <c r="F63" i="21"/>
  <c r="AH63" i="13"/>
  <c r="AG63"/>
  <c r="AA63" s="1"/>
  <c r="AI63"/>
  <c r="E61" i="23"/>
  <c r="C57" i="22"/>
  <c r="B62" i="21"/>
  <c r="D60" i="23"/>
  <c r="D56" i="22"/>
  <c r="H59" i="23"/>
  <c r="H55" i="22"/>
  <c r="F60" i="21"/>
  <c r="AI60" i="13"/>
  <c r="AG60"/>
  <c r="AH60"/>
  <c r="E58" i="23"/>
  <c r="C54" i="22"/>
  <c r="B59" i="21"/>
  <c r="E56" i="23"/>
  <c r="C52" i="22"/>
  <c r="B57" i="21"/>
  <c r="E55" i="23"/>
  <c r="C51" i="22"/>
  <c r="B56" i="21"/>
  <c r="D54" i="23"/>
  <c r="D50" i="22"/>
  <c r="H53" i="23"/>
  <c r="H49" i="22"/>
  <c r="F54" i="21"/>
  <c r="AI54" i="13"/>
  <c r="AG54"/>
  <c r="AH54"/>
  <c r="E52" i="23"/>
  <c r="C48" i="22"/>
  <c r="B53" i="21"/>
  <c r="D51" i="23"/>
  <c r="D47" i="22"/>
  <c r="E50" i="23"/>
  <c r="C46" i="22"/>
  <c r="B51" i="21"/>
  <c r="D47" i="23"/>
  <c r="D43" i="22"/>
  <c r="H46" i="23"/>
  <c r="H42" i="22"/>
  <c r="F47" i="21"/>
  <c r="AI47" i="13"/>
  <c r="AG47"/>
  <c r="AH47"/>
  <c r="E46" i="23"/>
  <c r="C42" i="22"/>
  <c r="B47" i="21"/>
  <c r="D44" i="23"/>
  <c r="D40" i="22"/>
  <c r="E43" i="23"/>
  <c r="C39" i="22"/>
  <c r="B44" i="21"/>
  <c r="D41" i="23"/>
  <c r="D37" i="22"/>
  <c r="H40" i="23"/>
  <c r="H36" i="22"/>
  <c r="F41" i="21"/>
  <c r="AI41" i="13"/>
  <c r="AG41"/>
  <c r="AH41"/>
  <c r="E39" i="23"/>
  <c r="C35" i="22"/>
  <c r="B40" i="21"/>
  <c r="H77" i="23"/>
  <c r="H73" i="22"/>
  <c r="F78" i="21"/>
  <c r="AH78" i="13"/>
  <c r="AI78"/>
  <c r="AG78"/>
  <c r="H70" i="23"/>
  <c r="H66" i="22"/>
  <c r="F71" i="21"/>
  <c r="AH71" i="13"/>
  <c r="AI71"/>
  <c r="AG71"/>
  <c r="H68" i="23"/>
  <c r="H64" i="22"/>
  <c r="F69" i="21"/>
  <c r="AH69" i="13"/>
  <c r="AI69"/>
  <c r="AG69"/>
  <c r="H60" i="23"/>
  <c r="H56" i="22"/>
  <c r="F61" i="21"/>
  <c r="AI61" i="13"/>
  <c r="AG61"/>
  <c r="AH61"/>
  <c r="H58" i="23"/>
  <c r="H54" i="22"/>
  <c r="F59" i="21"/>
  <c r="AH59" i="13"/>
  <c r="AI59"/>
  <c r="AG59"/>
  <c r="H41" i="23"/>
  <c r="H37" i="22"/>
  <c r="F42" i="21"/>
  <c r="AH42" i="13"/>
  <c r="AI42"/>
  <c r="AG42"/>
  <c r="H65" i="23"/>
  <c r="H61" i="22"/>
  <c r="F66" i="21"/>
  <c r="AH66" i="13"/>
  <c r="AI66"/>
  <c r="AG66"/>
  <c r="H55" i="23"/>
  <c r="H51" i="22"/>
  <c r="F56" i="21"/>
  <c r="AI56" i="13"/>
  <c r="AG56"/>
  <c r="AH56"/>
  <c r="U39" i="50" s="1"/>
  <c r="H50" i="23"/>
  <c r="H46" i="22"/>
  <c r="F51" i="21"/>
  <c r="AI51" i="13"/>
  <c r="AG51"/>
  <c r="AH51"/>
  <c r="AL11" i="3"/>
  <c r="AK11"/>
  <c r="D15" i="13"/>
  <c r="P15"/>
  <c r="R15"/>
  <c r="T15"/>
  <c r="X15"/>
  <c r="Z15"/>
  <c r="D16"/>
  <c r="K16"/>
  <c r="G19"/>
  <c r="R19"/>
  <c r="T19"/>
  <c r="V19"/>
  <c r="X19"/>
  <c r="Z19"/>
  <c r="D20"/>
  <c r="L20"/>
  <c r="P20"/>
  <c r="G21"/>
  <c r="I21"/>
  <c r="L21"/>
  <c r="P21"/>
  <c r="V21"/>
  <c r="AG22"/>
  <c r="AI22"/>
  <c r="AG23"/>
  <c r="AI23"/>
  <c r="D25"/>
  <c r="K25"/>
  <c r="L26"/>
  <c r="P26"/>
  <c r="N30"/>
  <c r="J30" s="1"/>
  <c r="P31"/>
  <c r="T31"/>
  <c r="X31"/>
  <c r="AG34"/>
  <c r="AI34"/>
  <c r="D36"/>
  <c r="G36"/>
  <c r="I36"/>
  <c r="L36"/>
  <c r="P36"/>
  <c r="R36"/>
  <c r="T36"/>
  <c r="V36"/>
  <c r="X36"/>
  <c r="Z36"/>
  <c r="AG37"/>
  <c r="AI37"/>
  <c r="N91"/>
  <c r="N75"/>
  <c r="J74"/>
  <c r="N72"/>
  <c r="J72" s="1"/>
  <c r="G59" i="3" s="1"/>
  <c r="N71" i="13"/>
  <c r="N66"/>
  <c r="N55"/>
  <c r="N53"/>
  <c r="N46"/>
  <c r="N45"/>
  <c r="N42"/>
  <c r="D14" i="24"/>
  <c r="D42" s="1"/>
  <c r="B41" i="20"/>
  <c r="B78"/>
  <c r="B12"/>
  <c r="B78" i="36"/>
  <c r="B12"/>
  <c r="B41"/>
  <c r="B8" i="15"/>
  <c r="O18" i="16"/>
  <c r="B5" i="50"/>
  <c r="G75" i="3" l="1"/>
  <c r="F82" i="13"/>
  <c r="G69" i="3"/>
  <c r="J89" i="13"/>
  <c r="F89" s="1"/>
  <c r="F41"/>
  <c r="B40" i="23" s="1"/>
  <c r="G28" i="3"/>
  <c r="F63" i="13"/>
  <c r="E58" i="22" s="1"/>
  <c r="G50" i="3"/>
  <c r="N24" i="13"/>
  <c r="J24" s="1"/>
  <c r="F24" s="1"/>
  <c r="N22"/>
  <c r="N35"/>
  <c r="J35" s="1"/>
  <c r="F35" s="1"/>
  <c r="N32"/>
  <c r="N29"/>
  <c r="J29" s="1"/>
  <c r="F29" s="1"/>
  <c r="N28"/>
  <c r="J28" s="1"/>
  <c r="F72"/>
  <c r="E67" i="22" s="1"/>
  <c r="F28" i="13"/>
  <c r="B27" i="23" s="1"/>
  <c r="F79" i="13"/>
  <c r="B78" i="23" s="1"/>
  <c r="B87"/>
  <c r="J32" i="13"/>
  <c r="G19" i="3" s="1"/>
  <c r="E23" i="22"/>
  <c r="E75"/>
  <c r="B79" i="23"/>
  <c r="J22" i="13"/>
  <c r="E36" i="22"/>
  <c r="B80" i="23"/>
  <c r="E76" i="22"/>
  <c r="H14" i="23"/>
  <c r="H10" i="22"/>
  <c r="F15" i="21"/>
  <c r="AH15" i="13"/>
  <c r="AI15"/>
  <c r="AG15"/>
  <c r="AA15" s="1"/>
  <c r="AF39" i="50"/>
  <c r="AE39" s="1"/>
  <c r="X39"/>
  <c r="G70" i="3"/>
  <c r="E35" i="23"/>
  <c r="C31" i="22"/>
  <c r="B36" i="21"/>
  <c r="H32" i="23"/>
  <c r="H28" i="22"/>
  <c r="F33" i="21"/>
  <c r="AI33" i="13"/>
  <c r="AH33" s="1"/>
  <c r="AG33"/>
  <c r="E30" i="23"/>
  <c r="C26" i="22"/>
  <c r="B31" i="21"/>
  <c r="H28" i="23"/>
  <c r="H24" i="22"/>
  <c r="F29" i="21"/>
  <c r="AI29" i="13"/>
  <c r="AH29" s="1"/>
  <c r="AG29"/>
  <c r="H27" i="23"/>
  <c r="H23" i="22"/>
  <c r="F28" i="21"/>
  <c r="AI28" i="13"/>
  <c r="AG28"/>
  <c r="AA28" s="1"/>
  <c r="AH28"/>
  <c r="H26" i="23"/>
  <c r="H22" i="22"/>
  <c r="F27" i="21"/>
  <c r="AH27" i="13"/>
  <c r="AI27"/>
  <c r="AG27"/>
  <c r="E25" i="23"/>
  <c r="C21" i="22"/>
  <c r="B26" i="21"/>
  <c r="E24" i="23"/>
  <c r="C20" i="22"/>
  <c r="B25" i="21"/>
  <c r="E20" i="23"/>
  <c r="C16" i="22"/>
  <c r="B21" i="21"/>
  <c r="E19" i="23"/>
  <c r="C15" i="22"/>
  <c r="B20" i="21"/>
  <c r="E18" i="23"/>
  <c r="C14" i="22"/>
  <c r="B19" i="21"/>
  <c r="H16" i="23"/>
  <c r="H12" i="22"/>
  <c r="F17" i="21"/>
  <c r="AI17" i="13"/>
  <c r="AG17"/>
  <c r="AA17" s="1"/>
  <c r="AH17"/>
  <c r="D15" i="23"/>
  <c r="D11" i="22"/>
  <c r="C42" i="24"/>
  <c r="E14" i="23"/>
  <c r="C10" i="22"/>
  <c r="B15" i="21"/>
  <c r="H19" i="23"/>
  <c r="H15" i="22"/>
  <c r="F20" i="21"/>
  <c r="AI20" i="13"/>
  <c r="AH20" s="1"/>
  <c r="AG20"/>
  <c r="H15" i="23"/>
  <c r="H11" i="22"/>
  <c r="F16" i="21"/>
  <c r="AH16" i="13"/>
  <c r="AI16"/>
  <c r="AG16"/>
  <c r="B42" i="23"/>
  <c r="E38" i="22"/>
  <c r="E83"/>
  <c r="F54" i="13"/>
  <c r="J55"/>
  <c r="G42" i="3" s="1"/>
  <c r="F65" i="13"/>
  <c r="J75"/>
  <c r="G62" i="3" s="1"/>
  <c r="N37" i="13"/>
  <c r="N34"/>
  <c r="F30"/>
  <c r="N26"/>
  <c r="N38"/>
  <c r="J38" s="1"/>
  <c r="J53"/>
  <c r="G40" i="3" s="1"/>
  <c r="B71" i="23"/>
  <c r="H35"/>
  <c r="H31" i="22"/>
  <c r="F36" i="21"/>
  <c r="AI36" i="13"/>
  <c r="AG36"/>
  <c r="AH36"/>
  <c r="H18" i="23"/>
  <c r="H14" i="22"/>
  <c r="F19" i="21"/>
  <c r="AH19" i="13"/>
  <c r="AI19"/>
  <c r="AG19"/>
  <c r="AA19" s="1"/>
  <c r="J48"/>
  <c r="G35" i="3" s="1"/>
  <c r="G71"/>
  <c r="D35" i="23"/>
  <c r="D31" i="22"/>
  <c r="H34" i="23"/>
  <c r="H30" i="22"/>
  <c r="F35" i="21"/>
  <c r="AH35" i="13"/>
  <c r="AI35"/>
  <c r="AG35"/>
  <c r="H31" i="23"/>
  <c r="H27" i="22"/>
  <c r="F32" i="21"/>
  <c r="AI32" i="13"/>
  <c r="AG32"/>
  <c r="AH32"/>
  <c r="D30" i="23"/>
  <c r="D26" i="22"/>
  <c r="H29" i="23"/>
  <c r="H25" i="22"/>
  <c r="F30" i="21"/>
  <c r="AH30" i="13"/>
  <c r="AI30"/>
  <c r="AG30"/>
  <c r="D25" i="23"/>
  <c r="D21" i="22"/>
  <c r="D24" i="23"/>
  <c r="D20" i="22"/>
  <c r="H23" i="23"/>
  <c r="H19" i="22"/>
  <c r="F24" i="21"/>
  <c r="AH24" i="13"/>
  <c r="AG24" s="1"/>
  <c r="AI24"/>
  <c r="D20" i="23"/>
  <c r="D16" i="22"/>
  <c r="D19" i="23"/>
  <c r="D15" i="22"/>
  <c r="D18" i="23"/>
  <c r="D14" i="22"/>
  <c r="C14" i="24"/>
  <c r="E15" i="23"/>
  <c r="C11" i="22"/>
  <c r="B16" i="21"/>
  <c r="D14" i="23"/>
  <c r="D10" i="22"/>
  <c r="H30" i="23"/>
  <c r="H26" i="22"/>
  <c r="F31" i="21"/>
  <c r="AI31" i="13"/>
  <c r="AG31"/>
  <c r="AH31"/>
  <c r="H24" i="23"/>
  <c r="H20" i="22"/>
  <c r="F25" i="21"/>
  <c r="AI25" i="13"/>
  <c r="AG25"/>
  <c r="AH25"/>
  <c r="H20" i="23"/>
  <c r="H16" i="22"/>
  <c r="F21" i="21"/>
  <c r="AH21" i="13"/>
  <c r="AI21"/>
  <c r="AG21"/>
  <c r="H37" i="23"/>
  <c r="H33" i="22"/>
  <c r="F38" i="21"/>
  <c r="AH38" i="13"/>
  <c r="AI38"/>
  <c r="AG38"/>
  <c r="J42"/>
  <c r="F42" s="1"/>
  <c r="J45"/>
  <c r="G32" i="3" s="1"/>
  <c r="G17" i="47" s="1"/>
  <c r="J66" i="13"/>
  <c r="G53" i="3" s="1"/>
  <c r="F74" i="13"/>
  <c r="J91"/>
  <c r="G78" i="3" s="1"/>
  <c r="N36" i="13"/>
  <c r="J36" s="1"/>
  <c r="F36" s="1"/>
  <c r="N33"/>
  <c r="N27"/>
  <c r="J27" s="1"/>
  <c r="F27" s="1"/>
  <c r="N21"/>
  <c r="N19"/>
  <c r="J19" s="1"/>
  <c r="F19" s="1"/>
  <c r="F67"/>
  <c r="F77"/>
  <c r="B15" i="50"/>
  <c r="B25" s="1"/>
  <c r="B35" s="1"/>
  <c r="B45" s="1"/>
  <c r="T5"/>
  <c r="E74" i="22" l="1"/>
  <c r="B62" i="23"/>
  <c r="G76" i="3"/>
  <c r="E24" i="22"/>
  <c r="B28" i="23"/>
  <c r="AE19" i="50"/>
  <c r="B81" i="23"/>
  <c r="E77" i="22"/>
  <c r="E37"/>
  <c r="B41" i="23"/>
  <c r="E31" i="22"/>
  <c r="B35" i="23"/>
  <c r="E19" i="22"/>
  <c r="B23" i="23"/>
  <c r="E30" i="22"/>
  <c r="B34" i="23"/>
  <c r="E82" i="22"/>
  <c r="B86" i="23"/>
  <c r="E22" i="22"/>
  <c r="B26" i="23"/>
  <c r="J34" i="13"/>
  <c r="F34" s="1"/>
  <c r="F66"/>
  <c r="U29" i="50"/>
  <c r="AF9"/>
  <c r="AF19"/>
  <c r="AF29"/>
  <c r="Y9"/>
  <c r="E62" i="22"/>
  <c r="B66" i="23"/>
  <c r="E14" i="22"/>
  <c r="B18" i="23"/>
  <c r="J33" i="13"/>
  <c r="G20" i="3" s="1"/>
  <c r="V9" i="50"/>
  <c r="U9"/>
  <c r="AB29"/>
  <c r="J26" i="13"/>
  <c r="F26" s="1"/>
  <c r="E78" i="22"/>
  <c r="B82" i="23"/>
  <c r="E84" i="22"/>
  <c r="B88" i="23"/>
  <c r="E72" i="22"/>
  <c r="B76" i="23"/>
  <c r="E69" i="22"/>
  <c r="B73" i="23"/>
  <c r="E25" i="22"/>
  <c r="B29" i="23"/>
  <c r="E60" i="22"/>
  <c r="B64" i="23"/>
  <c r="B53"/>
  <c r="E49" i="22"/>
  <c r="F91" i="13"/>
  <c r="AB19" i="50"/>
  <c r="X9"/>
  <c r="X19"/>
  <c r="X29"/>
  <c r="W19"/>
  <c r="Y29"/>
  <c r="F45" i="13"/>
  <c r="F48"/>
  <c r="F53"/>
  <c r="J21"/>
  <c r="G8" i="3" s="1"/>
  <c r="F38" i="13"/>
  <c r="F75"/>
  <c r="F55"/>
  <c r="V19" i="50"/>
  <c r="V29"/>
  <c r="U19"/>
  <c r="T9"/>
  <c r="Z9"/>
  <c r="T19"/>
  <c r="Z19"/>
  <c r="T29"/>
  <c r="Z29"/>
  <c r="W9"/>
  <c r="AE9"/>
  <c r="Y19"/>
  <c r="W29"/>
  <c r="AE29"/>
  <c r="F22" i="13"/>
  <c r="AB9" i="50" s="1"/>
  <c r="F32" i="13"/>
  <c r="E38" i="41"/>
  <c r="T15" i="50"/>
  <c r="T25" s="1"/>
  <c r="T35" s="1"/>
  <c r="T45" s="1"/>
  <c r="T55" s="1"/>
  <c r="T65" s="1"/>
  <c r="T75" s="1"/>
  <c r="T85" s="1"/>
  <c r="T95" s="1"/>
  <c r="T105" s="1"/>
  <c r="T115" s="1"/>
  <c r="AI109" s="1"/>
  <c r="AL5"/>
  <c r="E32" i="41"/>
  <c r="H20" i="3" l="1"/>
  <c r="I20" s="1"/>
  <c r="G14" i="47"/>
  <c r="F33" i="13"/>
  <c r="E28" i="22" s="1"/>
  <c r="E27"/>
  <c r="B31" i="23"/>
  <c r="E70" i="22"/>
  <c r="B74" i="23"/>
  <c r="B47"/>
  <c r="E43" i="22"/>
  <c r="E86"/>
  <c r="B90" i="23"/>
  <c r="B65"/>
  <c r="E61" i="22"/>
  <c r="F21" i="13"/>
  <c r="B21" i="23"/>
  <c r="E17" i="22"/>
  <c r="E50"/>
  <c r="B54" i="23"/>
  <c r="E33" i="22"/>
  <c r="B37" i="23"/>
  <c r="B52"/>
  <c r="E48" i="22"/>
  <c r="E79"/>
  <c r="B83" i="23"/>
  <c r="E40" i="22"/>
  <c r="B44" i="23"/>
  <c r="E21" i="22"/>
  <c r="B25" i="23"/>
  <c r="B32"/>
  <c r="E29" i="22"/>
  <c r="B33" i="23"/>
  <c r="H74" i="3"/>
  <c r="I74" s="1"/>
  <c r="G37"/>
  <c r="H37" s="1"/>
  <c r="I37" s="1"/>
  <c r="H76"/>
  <c r="I76" s="1"/>
  <c r="G54"/>
  <c r="H54" s="1"/>
  <c r="I54" s="1"/>
  <c r="H40"/>
  <c r="I40"/>
  <c r="H64"/>
  <c r="I64"/>
  <c r="G67"/>
  <c r="H67" s="1"/>
  <c r="I67" s="1"/>
  <c r="H70"/>
  <c r="I70" s="1"/>
  <c r="H69"/>
  <c r="I69" s="1"/>
  <c r="H42"/>
  <c r="I42" s="1"/>
  <c r="G68"/>
  <c r="H68" s="1"/>
  <c r="I68" s="1"/>
  <c r="E31" i="33"/>
  <c r="E32"/>
  <c r="E34"/>
  <c r="M2" s="1"/>
  <c r="B18" i="36"/>
  <c r="G6" i="3"/>
  <c r="G11" i="47" s="1"/>
  <c r="G22" i="3"/>
  <c r="G13"/>
  <c r="H13" s="1"/>
  <c r="I13" s="1"/>
  <c r="G29"/>
  <c r="G11"/>
  <c r="H11" s="1"/>
  <c r="I11" s="1"/>
  <c r="G9"/>
  <c r="H9" s="1"/>
  <c r="I9" s="1"/>
  <c r="H8"/>
  <c r="I8" s="1"/>
  <c r="G14"/>
  <c r="H14" s="1"/>
  <c r="I14" s="1"/>
  <c r="G23"/>
  <c r="H23" s="1"/>
  <c r="I23" s="1"/>
  <c r="G21"/>
  <c r="H21" s="1"/>
  <c r="I21" s="1"/>
  <c r="G17"/>
  <c r="H17" s="1"/>
  <c r="I17" s="1"/>
  <c r="G15"/>
  <c r="H15" s="1"/>
  <c r="I15" s="1"/>
  <c r="H22"/>
  <c r="I22" s="1"/>
  <c r="H19"/>
  <c r="I19" s="1"/>
  <c r="H29"/>
  <c r="I29" s="1"/>
  <c r="G16"/>
  <c r="H16" s="1"/>
  <c r="I16" s="1"/>
  <c r="G25"/>
  <c r="H25" s="1"/>
  <c r="I25" s="1"/>
  <c r="G30"/>
  <c r="H30" s="1"/>
  <c r="I30" s="1"/>
  <c r="H41"/>
  <c r="I41" s="1"/>
  <c r="H28"/>
  <c r="I28" s="1"/>
  <c r="H32"/>
  <c r="I32" s="1"/>
  <c r="H35"/>
  <c r="I35" s="1"/>
  <c r="H50"/>
  <c r="I50" s="1"/>
  <c r="H53"/>
  <c r="I53" s="1"/>
  <c r="G61"/>
  <c r="H61" s="1"/>
  <c r="I61" s="1"/>
  <c r="H62"/>
  <c r="I62" s="1"/>
  <c r="H66"/>
  <c r="I66" s="1"/>
  <c r="H71"/>
  <c r="I71" s="1"/>
  <c r="H78"/>
  <c r="I78" s="1"/>
  <c r="H52"/>
  <c r="I52" s="1"/>
  <c r="H59"/>
  <c r="I59" s="1"/>
  <c r="H75"/>
  <c r="I75" s="1"/>
  <c r="H6" l="1"/>
  <c r="I6" s="1"/>
  <c r="F35" i="33"/>
  <c r="M3" s="1"/>
  <c r="E16" i="22"/>
  <c r="B20" i="23"/>
  <c r="AZ4" i="28"/>
  <c r="O17" i="13" s="1"/>
  <c r="N17" s="1"/>
  <c r="AZ44" i="28"/>
  <c r="O57" i="13" s="1"/>
  <c r="Z82"/>
  <c r="Z86"/>
  <c r="H81" i="22" s="1"/>
  <c r="BF2" i="28"/>
  <c r="V15" i="13" s="1"/>
  <c r="BF3" i="28"/>
  <c r="V16" i="13" s="1"/>
  <c r="AZ5" i="28"/>
  <c r="O18" i="13" s="1"/>
  <c r="AZ7" i="28"/>
  <c r="O20" i="13" s="1"/>
  <c r="N20" s="1"/>
  <c r="AZ10" i="28"/>
  <c r="O23" i="13" s="1"/>
  <c r="AZ12" i="28"/>
  <c r="O25" i="13" s="1"/>
  <c r="N25" s="1"/>
  <c r="BA12" i="28"/>
  <c r="BH12" s="1"/>
  <c r="M25" i="13" s="1"/>
  <c r="D25" i="21" s="1"/>
  <c r="E25" s="1"/>
  <c r="AZ18" i="28"/>
  <c r="O31" i="13" s="1"/>
  <c r="N31" s="1"/>
  <c r="BJ24" i="28"/>
  <c r="BK24" s="1"/>
  <c r="AZ26"/>
  <c r="O39" i="13" s="1"/>
  <c r="AZ27" i="28"/>
  <c r="O40" i="13" s="1"/>
  <c r="N40" s="1"/>
  <c r="BJ31" i="28"/>
  <c r="BK31" s="1"/>
  <c r="BJ33"/>
  <c r="BK33" s="1"/>
  <c r="AZ34"/>
  <c r="O47" i="13" s="1"/>
  <c r="N47" s="1"/>
  <c r="AZ36" i="28"/>
  <c r="O49" i="13" s="1"/>
  <c r="N49" s="1"/>
  <c r="AZ38" i="28"/>
  <c r="O51" i="13" s="1"/>
  <c r="N51" s="1"/>
  <c r="AZ39" i="28"/>
  <c r="O52" i="13" s="1"/>
  <c r="N52" s="1"/>
  <c r="AZ43" i="28"/>
  <c r="O56" i="13" s="1"/>
  <c r="N56" s="1"/>
  <c r="AZ45" i="28"/>
  <c r="O58" i="13" s="1"/>
  <c r="N58" s="1"/>
  <c r="AZ46" i="28"/>
  <c r="O59" i="13" s="1"/>
  <c r="N59" s="1"/>
  <c r="AZ47" i="28"/>
  <c r="O60" i="13" s="1"/>
  <c r="N60" s="1"/>
  <c r="AZ48" i="28"/>
  <c r="O61" i="13" s="1"/>
  <c r="N61" s="1"/>
  <c r="AZ49" i="28"/>
  <c r="O62" i="13" s="1"/>
  <c r="N62" s="1"/>
  <c r="AZ51" i="28"/>
  <c r="O64" i="13" s="1"/>
  <c r="N64" s="1"/>
  <c r="AZ55" i="28"/>
  <c r="O68" i="13" s="1"/>
  <c r="N68" s="1"/>
  <c r="AZ56" i="28"/>
  <c r="O69" i="13" s="1"/>
  <c r="N69" s="1"/>
  <c r="AZ57" i="28"/>
  <c r="O70" i="13" s="1"/>
  <c r="N70" s="1"/>
  <c r="BJ58" i="28"/>
  <c r="BK58" s="1"/>
  <c r="AZ60"/>
  <c r="O73" i="13" s="1"/>
  <c r="N73" s="1"/>
  <c r="AZ63" i="28"/>
  <c r="O76" i="13" s="1"/>
  <c r="N76" s="1"/>
  <c r="AZ65" i="28"/>
  <c r="O78" i="13" s="1"/>
  <c r="N78" s="1"/>
  <c r="AZ72" i="28"/>
  <c r="O85" i="13" s="1"/>
  <c r="N85" s="1"/>
  <c r="J85" s="1"/>
  <c r="F85" s="1"/>
  <c r="AZ73" i="28"/>
  <c r="O86" i="13" s="1"/>
  <c r="N86" s="1"/>
  <c r="J86" s="1"/>
  <c r="F86" s="1"/>
  <c r="AZ77" i="28"/>
  <c r="O90" i="13" s="1"/>
  <c r="N90" s="1"/>
  <c r="AZ79" i="28"/>
  <c r="O92" i="13" s="1"/>
  <c r="N92" s="1"/>
  <c r="N15" i="37"/>
  <c r="N18"/>
  <c r="N19"/>
  <c r="X115" i="13"/>
  <c r="AA82"/>
  <c r="AA86"/>
  <c r="AB115" s="1"/>
  <c r="B17" i="20"/>
  <c r="B18" s="1"/>
  <c r="E23" i="42"/>
  <c r="D27" i="21"/>
  <c r="E27" s="1"/>
  <c r="C27"/>
  <c r="D35"/>
  <c r="E35" s="1"/>
  <c r="C35"/>
  <c r="D30"/>
  <c r="E30" s="1"/>
  <c r="C30"/>
  <c r="D33"/>
  <c r="E33" s="1"/>
  <c r="C33"/>
  <c r="D31"/>
  <c r="E31" s="1"/>
  <c r="C31"/>
  <c r="D32"/>
  <c r="E32" s="1"/>
  <c r="C32"/>
  <c r="D19"/>
  <c r="E19" s="1"/>
  <c r="D21"/>
  <c r="E21" s="1"/>
  <c r="D85"/>
  <c r="E85" s="1"/>
  <c r="C85"/>
  <c r="C57"/>
  <c r="D75"/>
  <c r="E75" s="1"/>
  <c r="C75"/>
  <c r="D63"/>
  <c r="E63" s="1"/>
  <c r="C63"/>
  <c r="D41"/>
  <c r="E41" s="1"/>
  <c r="C41"/>
  <c r="C64"/>
  <c r="D81"/>
  <c r="E81" s="1"/>
  <c r="C81"/>
  <c r="D45"/>
  <c r="E45" s="1"/>
  <c r="C45"/>
  <c r="D71"/>
  <c r="E71" s="1"/>
  <c r="C71"/>
  <c r="D59"/>
  <c r="E59" s="1"/>
  <c r="C59"/>
  <c r="D49"/>
  <c r="E49" s="1"/>
  <c r="C49"/>
  <c r="D22"/>
  <c r="D42"/>
  <c r="F82"/>
  <c r="F86"/>
  <c r="D18"/>
  <c r="D23"/>
  <c r="D26"/>
  <c r="E26" s="1"/>
  <c r="D28"/>
  <c r="D29"/>
  <c r="D34"/>
  <c r="D36"/>
  <c r="D37"/>
  <c r="D39"/>
  <c r="D43"/>
  <c r="E43" s="1"/>
  <c r="D44"/>
  <c r="D46"/>
  <c r="D47"/>
  <c r="D48"/>
  <c r="D50"/>
  <c r="E50" s="1"/>
  <c r="D52"/>
  <c r="E52" s="1"/>
  <c r="D53"/>
  <c r="D54"/>
  <c r="E54" s="1"/>
  <c r="D55"/>
  <c r="D56"/>
  <c r="D58"/>
  <c r="E58" s="1"/>
  <c r="D60"/>
  <c r="D61"/>
  <c r="D62"/>
  <c r="E62" s="1"/>
  <c r="D65"/>
  <c r="E65" s="1"/>
  <c r="D67"/>
  <c r="E67" s="1"/>
  <c r="D68"/>
  <c r="D69"/>
  <c r="D70"/>
  <c r="D72"/>
  <c r="D74"/>
  <c r="D76"/>
  <c r="D77"/>
  <c r="E77" s="1"/>
  <c r="D78"/>
  <c r="D79"/>
  <c r="D80"/>
  <c r="D82"/>
  <c r="D84"/>
  <c r="E84" s="1"/>
  <c r="D86"/>
  <c r="D88"/>
  <c r="D89"/>
  <c r="D90"/>
  <c r="E90" s="1"/>
  <c r="D91"/>
  <c r="D92"/>
  <c r="E92" s="1"/>
  <c r="E22"/>
  <c r="C22"/>
  <c r="C40"/>
  <c r="C65"/>
  <c r="C90"/>
  <c r="E37"/>
  <c r="C37"/>
  <c r="G99" i="13"/>
  <c r="AJ3" i="3" s="1"/>
  <c r="H81" i="23"/>
  <c r="H85"/>
  <c r="G105" i="13"/>
  <c r="AJ4" i="3" s="1"/>
  <c r="C26" i="21"/>
  <c r="C58"/>
  <c r="C50"/>
  <c r="C43"/>
  <c r="C62"/>
  <c r="C54"/>
  <c r="C92"/>
  <c r="E53"/>
  <c r="C53"/>
  <c r="E39"/>
  <c r="C39"/>
  <c r="E74"/>
  <c r="C74"/>
  <c r="E55"/>
  <c r="C55"/>
  <c r="E91"/>
  <c r="C91"/>
  <c r="E23"/>
  <c r="C23"/>
  <c r="C84"/>
  <c r="E61"/>
  <c r="C61"/>
  <c r="E42"/>
  <c r="C42"/>
  <c r="AI82" i="13"/>
  <c r="AI86"/>
  <c r="L94"/>
  <c r="AG2" i="3" s="1"/>
  <c r="K94" i="13"/>
  <c r="AH2" i="3" s="1"/>
  <c r="G94" i="13"/>
  <c r="AJ2" i="3" s="1"/>
  <c r="E68" i="21"/>
  <c r="C68"/>
  <c r="C52"/>
  <c r="C73"/>
  <c r="AG82" i="13"/>
  <c r="AG86"/>
  <c r="E89" i="21"/>
  <c r="AY18" i="28"/>
  <c r="D31" i="13" s="1"/>
  <c r="E44" i="21"/>
  <c r="C44"/>
  <c r="C67"/>
  <c r="AY5" i="28"/>
  <c r="D18" i="13" s="1"/>
  <c r="AY36" i="28"/>
  <c r="D49" i="13" s="1"/>
  <c r="AY43" i="28"/>
  <c r="D56" i="13" s="1"/>
  <c r="AY27" i="28"/>
  <c r="D40" i="13" s="1"/>
  <c r="O19" i="37"/>
  <c r="O21"/>
  <c r="O15"/>
  <c r="O42" s="1"/>
  <c r="C50" i="36"/>
  <c r="G50" s="1"/>
  <c r="G87" s="1"/>
  <c r="C48"/>
  <c r="G48" s="1"/>
  <c r="G85" s="1"/>
  <c r="C47"/>
  <c r="G47" s="1"/>
  <c r="G84" s="1"/>
  <c r="P94" i="13"/>
  <c r="Q94"/>
  <c r="R94"/>
  <c r="S94"/>
  <c r="T94"/>
  <c r="U94"/>
  <c r="V94"/>
  <c r="W94"/>
  <c r="X94"/>
  <c r="AB2" i="3" s="1"/>
  <c r="AB94" i="13"/>
  <c r="X99"/>
  <c r="AB99"/>
  <c r="X105"/>
  <c r="AB4" i="3" s="1"/>
  <c r="AB105" i="13"/>
  <c r="X110"/>
  <c r="AB5" i="3" s="1"/>
  <c r="AB110" i="13"/>
  <c r="C46" i="36"/>
  <c r="G46" s="1"/>
  <c r="B46"/>
  <c r="B49"/>
  <c r="B47" i="20"/>
  <c r="B48"/>
  <c r="B49"/>
  <c r="B50"/>
  <c r="C85" i="36"/>
  <c r="E29" i="21"/>
  <c r="E34"/>
  <c r="C34"/>
  <c r="C15"/>
  <c r="E18"/>
  <c r="E28"/>
  <c r="E36"/>
  <c r="C36"/>
  <c r="E47"/>
  <c r="C51"/>
  <c r="E69"/>
  <c r="E72"/>
  <c r="C72"/>
  <c r="E76"/>
  <c r="E80"/>
  <c r="E46"/>
  <c r="E48"/>
  <c r="E56"/>
  <c r="E60"/>
  <c r="E70"/>
  <c r="E78"/>
  <c r="E79"/>
  <c r="C79"/>
  <c r="E88"/>
  <c r="Q4" i="3"/>
  <c r="R4" s="1"/>
  <c r="Q2"/>
  <c r="R2" s="1"/>
  <c r="Q5"/>
  <c r="R5" s="1"/>
  <c r="Q3"/>
  <c r="R3" s="1"/>
  <c r="P99" i="13"/>
  <c r="Q99"/>
  <c r="R99"/>
  <c r="S99"/>
  <c r="T99"/>
  <c r="U99"/>
  <c r="W99"/>
  <c r="P105"/>
  <c r="Q105"/>
  <c r="R105"/>
  <c r="S105"/>
  <c r="T105"/>
  <c r="U105"/>
  <c r="W105"/>
  <c r="P110"/>
  <c r="Q110"/>
  <c r="R110"/>
  <c r="S110"/>
  <c r="T110"/>
  <c r="U110"/>
  <c r="V110"/>
  <c r="W110"/>
  <c r="Q6" i="3"/>
  <c r="R6" s="1"/>
  <c r="AB3"/>
  <c r="H19" i="26" s="1"/>
  <c r="K99" i="13"/>
  <c r="AH3" i="3" s="1"/>
  <c r="O105" i="13"/>
  <c r="Z4" i="3" s="1"/>
  <c r="K105" i="13"/>
  <c r="AH4" i="3" s="1"/>
  <c r="K110" i="13"/>
  <c r="AH5" i="3" s="1"/>
  <c r="Q7"/>
  <c r="R7" s="1"/>
  <c r="AB6"/>
  <c r="K115" i="13"/>
  <c r="AH6" i="3" s="1"/>
  <c r="P115" i="13"/>
  <c r="Q115"/>
  <c r="R115"/>
  <c r="S115"/>
  <c r="T115"/>
  <c r="U115"/>
  <c r="W115"/>
  <c r="L115"/>
  <c r="AG6" i="3" s="1"/>
  <c r="Q8"/>
  <c r="R8" s="1"/>
  <c r="Q9"/>
  <c r="R9" s="1"/>
  <c r="Q10"/>
  <c r="R10" s="1"/>
  <c r="Q11"/>
  <c r="R11" s="1"/>
  <c r="Q12"/>
  <c r="R12" s="1"/>
  <c r="Q13"/>
  <c r="R13" s="1"/>
  <c r="Z54" i="37"/>
  <c r="Q14" i="3"/>
  <c r="R14" s="1"/>
  <c r="Q22"/>
  <c r="R22" s="1"/>
  <c r="Q15"/>
  <c r="R15" s="1"/>
  <c r="P21"/>
  <c r="Q21" s="1"/>
  <c r="R21" s="1"/>
  <c r="P17"/>
  <c r="Q17" s="1"/>
  <c r="R17" s="1"/>
  <c r="P19"/>
  <c r="Q19" s="1"/>
  <c r="R19" s="1"/>
  <c r="P23"/>
  <c r="Q23" s="1"/>
  <c r="R23" s="1"/>
  <c r="Q20"/>
  <c r="R20" s="1"/>
  <c r="Q18"/>
  <c r="R18" s="1"/>
  <c r="Q16"/>
  <c r="R16" s="1"/>
  <c r="K12" i="20"/>
  <c r="G115" i="13"/>
  <c r="AJ6" i="3" s="1"/>
  <c r="L110" i="13"/>
  <c r="G110"/>
  <c r="AJ5" i="3" s="1"/>
  <c r="AH82" i="13"/>
  <c r="E82" i="21"/>
  <c r="C82"/>
  <c r="AH86" i="13"/>
  <c r="E86" i="21"/>
  <c r="C86"/>
  <c r="A12" i="26"/>
  <c r="A16"/>
  <c r="A20" s="1"/>
  <c r="BJ431" i="28"/>
  <c r="BK431" s="1"/>
  <c r="BL431" s="1"/>
  <c r="BM431" s="1"/>
  <c r="BJ353"/>
  <c r="BK353" s="1"/>
  <c r="BL353" s="1"/>
  <c r="BM353" s="1"/>
  <c r="BJ333"/>
  <c r="BK333" s="1"/>
  <c r="BL333" s="1"/>
  <c r="BM333" s="1"/>
  <c r="BJ454"/>
  <c r="BK454" s="1"/>
  <c r="BL454" s="1"/>
  <c r="BM454" s="1"/>
  <c r="BJ415"/>
  <c r="BK415" s="1"/>
  <c r="BL415" s="1"/>
  <c r="BM415" s="1"/>
  <c r="BJ89"/>
  <c r="BK89" s="1"/>
  <c r="BL89" s="1"/>
  <c r="BM89" s="1"/>
  <c r="BJ497"/>
  <c r="BK497" s="1"/>
  <c r="BL497" s="1"/>
  <c r="BM497" s="1"/>
  <c r="BJ287"/>
  <c r="BK287" s="1"/>
  <c r="BL287" s="1"/>
  <c r="BM287" s="1"/>
  <c r="BJ231"/>
  <c r="BK231" s="1"/>
  <c r="BL231" s="1"/>
  <c r="BM231" s="1"/>
  <c r="BJ357"/>
  <c r="BK357" s="1"/>
  <c r="BL357" s="1"/>
  <c r="BM357" s="1"/>
  <c r="BJ396"/>
  <c r="BK396" s="1"/>
  <c r="BL396" s="1"/>
  <c r="BM396" s="1"/>
  <c r="BJ133"/>
  <c r="BK133" s="1"/>
  <c r="BL133" s="1"/>
  <c r="BM133" s="1"/>
  <c r="BJ361"/>
  <c r="BK361" s="1"/>
  <c r="BL361" s="1"/>
  <c r="BM361" s="1"/>
  <c r="BJ155"/>
  <c r="BK155" s="1"/>
  <c r="BL155" s="1"/>
  <c r="BM155" s="1"/>
  <c r="BJ263"/>
  <c r="BK263" s="1"/>
  <c r="BL263" s="1"/>
  <c r="BM263" s="1"/>
  <c r="BJ488"/>
  <c r="BK488" s="1"/>
  <c r="BL488" s="1"/>
  <c r="BM488" s="1"/>
  <c r="BJ303"/>
  <c r="BK303" s="1"/>
  <c r="BL303" s="1"/>
  <c r="BM303" s="1"/>
  <c r="BJ190"/>
  <c r="BK190" s="1"/>
  <c r="BL190" s="1"/>
  <c r="BM190" s="1"/>
  <c r="BJ223"/>
  <c r="BK223" s="1"/>
  <c r="BL223" s="1"/>
  <c r="BM223" s="1"/>
  <c r="BJ110"/>
  <c r="BK110" s="1"/>
  <c r="BL110" s="1"/>
  <c r="BM110" s="1"/>
  <c r="BJ496"/>
  <c r="BK496" s="1"/>
  <c r="BL496" s="1"/>
  <c r="BM496" s="1"/>
  <c r="BJ412"/>
  <c r="BK412" s="1"/>
  <c r="BL412" s="1"/>
  <c r="BM412" s="1"/>
  <c r="BJ487"/>
  <c r="BK487"/>
  <c r="BL487" s="1"/>
  <c r="BM487" s="1"/>
  <c r="BJ355"/>
  <c r="BK355" s="1"/>
  <c r="BL355" s="1"/>
  <c r="BM355" s="1"/>
  <c r="BJ478"/>
  <c r="BK478" s="1"/>
  <c r="BL478" s="1"/>
  <c r="BM478" s="1"/>
  <c r="BJ414"/>
  <c r="BK414" s="1"/>
  <c r="BL414" s="1"/>
  <c r="BM414" s="1"/>
  <c r="BJ319"/>
  <c r="BK319" s="1"/>
  <c r="BL319" s="1"/>
  <c r="BM319" s="1"/>
  <c r="BJ392"/>
  <c r="BK392" s="1"/>
  <c r="BL392" s="1"/>
  <c r="BM392" s="1"/>
  <c r="BJ269"/>
  <c r="BK269" s="1"/>
  <c r="BL269" s="1"/>
  <c r="BM269" s="1"/>
  <c r="BJ436"/>
  <c r="BK436" s="1"/>
  <c r="BL436" s="1"/>
  <c r="BM436" s="1"/>
  <c r="BJ253"/>
  <c r="BK253" s="1"/>
  <c r="BL253" s="1"/>
  <c r="BM253" s="1"/>
  <c r="BJ366"/>
  <c r="BK366" s="1"/>
  <c r="BL366" s="1"/>
  <c r="BM366" s="1"/>
  <c r="BJ399"/>
  <c r="BK399" s="1"/>
  <c r="BL399" s="1"/>
  <c r="BM399" s="1"/>
  <c r="BJ144"/>
  <c r="BK144" s="1"/>
  <c r="BL144" s="1"/>
  <c r="BM144" s="1"/>
  <c r="BJ420"/>
  <c r="BK420" s="1"/>
  <c r="BL420" s="1"/>
  <c r="BM420" s="1"/>
  <c r="BJ411"/>
  <c r="BK411" s="1"/>
  <c r="BL411" s="1"/>
  <c r="BM411" s="1"/>
  <c r="BJ452"/>
  <c r="BK452" s="1"/>
  <c r="BL452" s="1"/>
  <c r="BM452" s="1"/>
  <c r="BJ432"/>
  <c r="BK432" s="1"/>
  <c r="BL432" s="1"/>
  <c r="BM432" s="1"/>
  <c r="BJ130"/>
  <c r="BK130" s="1"/>
  <c r="BL130" s="1"/>
  <c r="BM130" s="1"/>
  <c r="BJ374"/>
  <c r="BK374" s="1"/>
  <c r="BL374" s="1"/>
  <c r="BM374" s="1"/>
  <c r="BJ249"/>
  <c r="BK249" s="1"/>
  <c r="BL249" s="1"/>
  <c r="BM249" s="1"/>
  <c r="BJ422"/>
  <c r="BK422" s="1"/>
  <c r="BL422" s="1"/>
  <c r="BM422" s="1"/>
  <c r="BJ473"/>
  <c r="BK473" s="1"/>
  <c r="BL473" s="1"/>
  <c r="BM473" s="1"/>
  <c r="BJ428"/>
  <c r="BK428" s="1"/>
  <c r="BL428" s="1"/>
  <c r="BM428" s="1"/>
  <c r="BJ386"/>
  <c r="BK386" s="1"/>
  <c r="BL386" s="1"/>
  <c r="BM386" s="1"/>
  <c r="BJ364"/>
  <c r="BK364" s="1"/>
  <c r="BL364" s="1"/>
  <c r="BM364" s="1"/>
  <c r="BJ385"/>
  <c r="BK385" s="1"/>
  <c r="BL385" s="1"/>
  <c r="BM385" s="1"/>
  <c r="BJ435"/>
  <c r="BK435" s="1"/>
  <c r="BL435" s="1"/>
  <c r="BM435" s="1"/>
  <c r="BJ189"/>
  <c r="BK189" s="1"/>
  <c r="BL189" s="1"/>
  <c r="BM189" s="1"/>
  <c r="BJ397"/>
  <c r="BK397" s="1"/>
  <c r="BL397" s="1"/>
  <c r="BM397" s="1"/>
  <c r="BJ427"/>
  <c r="BK427" s="1"/>
  <c r="BL427" s="1"/>
  <c r="BM427" s="1"/>
  <c r="BJ400"/>
  <c r="BK400" s="1"/>
  <c r="BL400" s="1"/>
  <c r="BM400" s="1"/>
  <c r="BJ329"/>
  <c r="BK329" s="1"/>
  <c r="BL329" s="1"/>
  <c r="BM329" s="1"/>
  <c r="BJ271"/>
  <c r="BK271" s="1"/>
  <c r="BL271" s="1"/>
  <c r="BM271" s="1"/>
  <c r="BJ216"/>
  <c r="BK216" s="1"/>
  <c r="BL216" s="1"/>
  <c r="BM216" s="1"/>
  <c r="BJ128"/>
  <c r="BK128" s="1"/>
  <c r="BL128" s="1"/>
  <c r="BM128" s="1"/>
  <c r="BJ193"/>
  <c r="BK193" s="1"/>
  <c r="BL193" s="1"/>
  <c r="BM193" s="1"/>
  <c r="BJ120"/>
  <c r="BK120" s="1"/>
  <c r="BL120" s="1"/>
  <c r="BM120" s="1"/>
  <c r="BJ313"/>
  <c r="BK313" s="1"/>
  <c r="BL313" s="1"/>
  <c r="BM313" s="1"/>
  <c r="BJ413"/>
  <c r="BK413" s="1"/>
  <c r="BL413" s="1"/>
  <c r="BM413" s="1"/>
  <c r="BJ235"/>
  <c r="BK235" s="1"/>
  <c r="BL235" s="1"/>
  <c r="BM235" s="1"/>
  <c r="BJ124"/>
  <c r="BK124" s="1"/>
  <c r="BL124" s="1"/>
  <c r="BM124" s="1"/>
  <c r="BJ134"/>
  <c r="BK134" s="1"/>
  <c r="BL134" s="1"/>
  <c r="BM134" s="1"/>
  <c r="BJ491"/>
  <c r="BK491" s="1"/>
  <c r="BL491" s="1"/>
  <c r="BM491" s="1"/>
  <c r="BJ419"/>
  <c r="BK419" s="1"/>
  <c r="BL419" s="1"/>
  <c r="BM419" s="1"/>
  <c r="BJ443"/>
  <c r="BK443" s="1"/>
  <c r="BL443" s="1"/>
  <c r="BM443" s="1"/>
  <c r="BJ407"/>
  <c r="BK407" s="1"/>
  <c r="BL407" s="1"/>
  <c r="BM407" s="1"/>
  <c r="BJ453"/>
  <c r="BK453" s="1"/>
  <c r="BL453" s="1"/>
  <c r="BM453" s="1"/>
  <c r="BJ345"/>
  <c r="BK345" s="1"/>
  <c r="BL345" s="1"/>
  <c r="BM345" s="1"/>
  <c r="BJ430"/>
  <c r="BK430" s="1"/>
  <c r="BL430" s="1"/>
  <c r="BM430" s="1"/>
  <c r="BJ390"/>
  <c r="BK390" s="1"/>
  <c r="BL390" s="1"/>
  <c r="BM390" s="1"/>
  <c r="BJ95"/>
  <c r="BK95" s="1"/>
  <c r="BL95" s="1"/>
  <c r="BM95" s="1"/>
  <c r="BJ450"/>
  <c r="BK450" s="1"/>
  <c r="BL450" s="1"/>
  <c r="BM450" s="1"/>
  <c r="BJ444"/>
  <c r="BK444" s="1"/>
  <c r="BL444" s="1"/>
  <c r="BM444" s="1"/>
  <c r="BJ325"/>
  <c r="BK325" s="1"/>
  <c r="BL325" s="1"/>
  <c r="BM325" s="1"/>
  <c r="BJ200"/>
  <c r="BK200" s="1"/>
  <c r="BL200" s="1"/>
  <c r="BM200" s="1"/>
  <c r="BJ148"/>
  <c r="BK148" s="1"/>
  <c r="BL148" s="1"/>
  <c r="BM148" s="1"/>
  <c r="BJ404"/>
  <c r="BK404" s="1"/>
  <c r="BL404" s="1"/>
  <c r="BM404" s="1"/>
  <c r="BJ381"/>
  <c r="BK381" s="1"/>
  <c r="BL381" s="1"/>
  <c r="BM381" s="1"/>
  <c r="BJ493"/>
  <c r="BK493" s="1"/>
  <c r="BL493" s="1"/>
  <c r="BM493" s="1"/>
  <c r="BJ439"/>
  <c r="BK439" s="1"/>
  <c r="BL439" s="1"/>
  <c r="BM439" s="1"/>
  <c r="BJ424"/>
  <c r="BK424" s="1"/>
  <c r="BL424" s="1"/>
  <c r="BM424" s="1"/>
  <c r="BJ426"/>
  <c r="BK426" s="1"/>
  <c r="BL426" s="1"/>
  <c r="BM426" s="1"/>
  <c r="BJ221"/>
  <c r="BK221" s="1"/>
  <c r="BL221" s="1"/>
  <c r="BM221" s="1"/>
  <c r="BJ418"/>
  <c r="BK418" s="1"/>
  <c r="BL418" s="1"/>
  <c r="BM418" s="1"/>
  <c r="BJ451"/>
  <c r="BK451" s="1"/>
  <c r="BL451" s="1"/>
  <c r="BM451" s="1"/>
  <c r="BJ416"/>
  <c r="BK416" s="1"/>
  <c r="BL416" s="1"/>
  <c r="BM416" s="1"/>
  <c r="BJ377"/>
  <c r="BK377" s="1"/>
  <c r="BL377" s="1"/>
  <c r="BM377" s="1"/>
  <c r="BJ317"/>
  <c r="BK317" s="1"/>
  <c r="BL317" s="1"/>
  <c r="BM317" s="1"/>
  <c r="BJ255"/>
  <c r="BK255" s="1"/>
  <c r="BL255" s="1"/>
  <c r="BM255" s="1"/>
  <c r="BJ146"/>
  <c r="BK146" s="1"/>
  <c r="BL146" s="1"/>
  <c r="BM146" s="1"/>
  <c r="BJ93"/>
  <c r="BK93" s="1"/>
  <c r="BL93" s="1"/>
  <c r="BM93" s="1"/>
  <c r="BJ245"/>
  <c r="BK245" s="1"/>
  <c r="BL245" s="1"/>
  <c r="BM245" s="1"/>
  <c r="BJ91"/>
  <c r="BK91" s="1"/>
  <c r="BL91" s="1"/>
  <c r="BM91" s="1"/>
  <c r="BJ389"/>
  <c r="BK389" s="1"/>
  <c r="BL389" s="1"/>
  <c r="BM389" s="1"/>
  <c r="BJ447"/>
  <c r="BK447" s="1"/>
  <c r="BL447" s="1"/>
  <c r="BM447" s="1"/>
  <c r="BJ365"/>
  <c r="BK365" s="1"/>
  <c r="BL365" s="1"/>
  <c r="BM365" s="1"/>
  <c r="BJ126"/>
  <c r="BK126" s="1"/>
  <c r="BL126" s="1"/>
  <c r="BM126" s="1"/>
  <c r="BJ122"/>
  <c r="BK122" s="1"/>
  <c r="BL122" s="1"/>
  <c r="BM122" s="1"/>
  <c r="BJ104"/>
  <c r="BK104" s="1"/>
  <c r="BL104" s="1"/>
  <c r="BM104" s="1"/>
  <c r="BJ143"/>
  <c r="BK143" s="1"/>
  <c r="BL143" s="1"/>
  <c r="BM143" s="1"/>
  <c r="BJ86"/>
  <c r="BK86" s="1"/>
  <c r="BL86" s="1"/>
  <c r="BM86" s="1"/>
  <c r="BJ132"/>
  <c r="BK132" s="1"/>
  <c r="BL132" s="1"/>
  <c r="BM132" s="1"/>
  <c r="BJ455"/>
  <c r="BK455" s="1"/>
  <c r="BL455" s="1"/>
  <c r="BM455" s="1"/>
  <c r="BJ423"/>
  <c r="BK423" s="1"/>
  <c r="BL423" s="1"/>
  <c r="BM423" s="1"/>
  <c r="BJ410"/>
  <c r="BK410" s="1"/>
  <c r="BL410" s="1"/>
  <c r="BM410" s="1"/>
  <c r="BJ225"/>
  <c r="BK225" s="1"/>
  <c r="BL225" s="1"/>
  <c r="BM225" s="1"/>
  <c r="BJ440"/>
  <c r="BK440" s="1"/>
  <c r="BL440" s="1"/>
  <c r="BM440" s="1"/>
  <c r="BJ429"/>
  <c r="BK429" s="1"/>
  <c r="BL429" s="1"/>
  <c r="BM429" s="1"/>
  <c r="BJ105"/>
  <c r="BK105" s="1"/>
  <c r="BL105" s="1"/>
  <c r="BM105" s="1"/>
  <c r="BJ82"/>
  <c r="BK82" s="1"/>
  <c r="BL82" s="1"/>
  <c r="BM82" s="1"/>
  <c r="BJ486"/>
  <c r="BK486" s="1"/>
  <c r="BL486" s="1"/>
  <c r="BM486" s="1"/>
  <c r="BJ449"/>
  <c r="BK449" s="1"/>
  <c r="BL449" s="1"/>
  <c r="BM449" s="1"/>
  <c r="BJ408"/>
  <c r="BK408" s="1"/>
  <c r="BL408" s="1"/>
  <c r="BM408" s="1"/>
  <c r="BJ210"/>
  <c r="BK210" s="1"/>
  <c r="BL210" s="1"/>
  <c r="BM210" s="1"/>
  <c r="BJ194"/>
  <c r="BK194" s="1"/>
  <c r="BL194" s="1"/>
  <c r="BM194" s="1"/>
  <c r="BJ142"/>
  <c r="BK142" s="1"/>
  <c r="BL142" s="1"/>
  <c r="BM142" s="1"/>
  <c r="BJ448"/>
  <c r="BK448" s="1"/>
  <c r="BL448" s="1"/>
  <c r="BM448" s="1"/>
  <c r="BJ394"/>
  <c r="BK394" s="1"/>
  <c r="BL394" s="1"/>
  <c r="BM394" s="1"/>
  <c r="BJ247"/>
  <c r="BK247" s="1"/>
  <c r="BL247" s="1"/>
  <c r="BM247" s="1"/>
  <c r="BJ498"/>
  <c r="BK498" s="1"/>
  <c r="BL498" s="1"/>
  <c r="BM498" s="1"/>
  <c r="BJ403"/>
  <c r="BK403" s="1"/>
  <c r="BL403" s="1"/>
  <c r="BM403" s="1"/>
  <c r="BJ433"/>
  <c r="BK433" s="1"/>
  <c r="BL433" s="1"/>
  <c r="BM433" s="1"/>
  <c r="BJ267"/>
  <c r="BK267" s="1"/>
  <c r="BL267" s="1"/>
  <c r="BM267" s="1"/>
  <c r="BJ154"/>
  <c r="BK154" s="1"/>
  <c r="BL154" s="1"/>
  <c r="BM154" s="1"/>
  <c r="BJ219"/>
  <c r="BK219" s="1"/>
  <c r="BL219" s="1"/>
  <c r="BM219" s="1"/>
  <c r="BJ237"/>
  <c r="BK237" s="1"/>
  <c r="BL237" s="1"/>
  <c r="BM237" s="1"/>
  <c r="BJ421"/>
  <c r="BK421" s="1"/>
  <c r="BL421" s="1"/>
  <c r="BM421" s="1"/>
  <c r="AZ489"/>
  <c r="BA489" s="1"/>
  <c r="BJ489" s="1"/>
  <c r="BK489" s="1"/>
  <c r="BL489" s="1"/>
  <c r="BM489" s="1"/>
  <c r="AY489"/>
  <c r="AZ484"/>
  <c r="BA484" s="1"/>
  <c r="AY484"/>
  <c r="AZ476"/>
  <c r="BA476" s="1"/>
  <c r="BJ476" s="1"/>
  <c r="BK476" s="1"/>
  <c r="BL476" s="1"/>
  <c r="BM476" s="1"/>
  <c r="AZ492"/>
  <c r="BA492" s="1"/>
  <c r="BJ492" s="1"/>
  <c r="BK492" s="1"/>
  <c r="BL492" s="1"/>
  <c r="BM492" s="1"/>
  <c r="AZ490"/>
  <c r="BA490" s="1"/>
  <c r="BJ490" s="1"/>
  <c r="BK490" s="1"/>
  <c r="BL490" s="1"/>
  <c r="BM490" s="1"/>
  <c r="AZ481"/>
  <c r="BA481" s="1"/>
  <c r="BJ481" s="1"/>
  <c r="BK481" s="1"/>
  <c r="BL481" s="1"/>
  <c r="BM481" s="1"/>
  <c r="AZ466"/>
  <c r="BA466" s="1"/>
  <c r="BJ466" s="1"/>
  <c r="BK466" s="1"/>
  <c r="BL466" s="1"/>
  <c r="BM466" s="1"/>
  <c r="AZ335"/>
  <c r="BA335" s="1"/>
  <c r="BJ335" s="1"/>
  <c r="BK335" s="1"/>
  <c r="BL335" s="1"/>
  <c r="BM335" s="1"/>
  <c r="AZ147"/>
  <c r="BA147" s="1"/>
  <c r="BJ147" s="1"/>
  <c r="BK147" s="1"/>
  <c r="BL147" s="1"/>
  <c r="BM147" s="1"/>
  <c r="AZ141"/>
  <c r="BA141" s="1"/>
  <c r="BJ141" s="1"/>
  <c r="BK141" s="1"/>
  <c r="BL141" s="1"/>
  <c r="BM141" s="1"/>
  <c r="AZ103"/>
  <c r="BA103" s="1"/>
  <c r="BJ103" s="1"/>
  <c r="BK103" s="1"/>
  <c r="BL103" s="1"/>
  <c r="BM103" s="1"/>
  <c r="AZ92"/>
  <c r="BA92" s="1"/>
  <c r="BJ92" s="1"/>
  <c r="BK92" s="1"/>
  <c r="BL92" s="1"/>
  <c r="BM92" s="1"/>
  <c r="AZ494"/>
  <c r="BA494" s="1"/>
  <c r="BJ494" s="1"/>
  <c r="BK494" s="1"/>
  <c r="BL494" s="1"/>
  <c r="BM494" s="1"/>
  <c r="AY494"/>
  <c r="AZ485"/>
  <c r="BA485" s="1"/>
  <c r="AZ480"/>
  <c r="BA480" s="1"/>
  <c r="AZ479"/>
  <c r="BA479" s="1"/>
  <c r="AZ470"/>
  <c r="BA470" s="1"/>
  <c r="AZ469"/>
  <c r="BA469" s="1"/>
  <c r="AZ467"/>
  <c r="BA467" s="1"/>
  <c r="AZ465"/>
  <c r="BA465" s="1"/>
  <c r="AZ463"/>
  <c r="BA463" s="1"/>
  <c r="AZ459"/>
  <c r="BA459" s="1"/>
  <c r="AZ456"/>
  <c r="BA456" s="1"/>
  <c r="AZ464"/>
  <c r="BA464" s="1"/>
  <c r="AZ460"/>
  <c r="BA460" s="1"/>
  <c r="AZ387"/>
  <c r="BA387" s="1"/>
  <c r="AZ383"/>
  <c r="BA383" s="1"/>
  <c r="AZ382"/>
  <c r="BA382" s="1"/>
  <c r="AZ380"/>
  <c r="BA380" s="1"/>
  <c r="AZ379"/>
  <c r="BA379" s="1"/>
  <c r="AZ372"/>
  <c r="BA372" s="1"/>
  <c r="AZ370"/>
  <c r="BA370" s="1"/>
  <c r="AZ367"/>
  <c r="BA367" s="1"/>
  <c r="AZ351"/>
  <c r="BA351" s="1"/>
  <c r="AZ388"/>
  <c r="BA388" s="1"/>
  <c r="AZ356"/>
  <c r="BA356" s="1"/>
  <c r="AZ354"/>
  <c r="BA354" s="1"/>
  <c r="AZ346"/>
  <c r="BA346" s="1"/>
  <c r="BJ217"/>
  <c r="BK217" s="1"/>
  <c r="BL217" s="1"/>
  <c r="BM217" s="1"/>
  <c r="AZ99"/>
  <c r="BA99" s="1"/>
  <c r="BJ99" s="1"/>
  <c r="BK99" s="1"/>
  <c r="AZ199"/>
  <c r="BA199" s="1"/>
  <c r="BJ199" s="1"/>
  <c r="BK199" s="1"/>
  <c r="AZ207"/>
  <c r="BA207" s="1"/>
  <c r="BJ207" s="1"/>
  <c r="BK207" s="1"/>
  <c r="AZ258"/>
  <c r="BA258" s="1"/>
  <c r="BJ258" s="1"/>
  <c r="BK258" s="1"/>
  <c r="AZ266"/>
  <c r="BA266" s="1"/>
  <c r="AZ274"/>
  <c r="BA274" s="1"/>
  <c r="BJ274" s="1"/>
  <c r="BK274" s="1"/>
  <c r="AZ362"/>
  <c r="BA362" s="1"/>
  <c r="BJ362" s="1"/>
  <c r="BK362" s="1"/>
  <c r="AZ375"/>
  <c r="BA375" s="1"/>
  <c r="AI31" i="32"/>
  <c r="AI32"/>
  <c r="AI33"/>
  <c r="AJ33" s="1"/>
  <c r="AK33" s="1"/>
  <c r="AL33" s="1"/>
  <c r="AI34"/>
  <c r="AJ34" s="1"/>
  <c r="AK34" s="1"/>
  <c r="AL34" s="1"/>
  <c r="AI35"/>
  <c r="AI36"/>
  <c r="AI37"/>
  <c r="AJ37" s="1"/>
  <c r="AK37" s="1"/>
  <c r="AL37" s="1"/>
  <c r="AI38"/>
  <c r="AI39"/>
  <c r="AI40"/>
  <c r="AI41"/>
  <c r="AJ41" s="1"/>
  <c r="AK41" s="1"/>
  <c r="AL41" s="1"/>
  <c r="AI42"/>
  <c r="AI43"/>
  <c r="AI44"/>
  <c r="AI45"/>
  <c r="AJ45" s="1"/>
  <c r="AK45" s="1"/>
  <c r="AL45" s="1"/>
  <c r="AI46"/>
  <c r="AI47"/>
  <c r="AJ47" s="1"/>
  <c r="AK47" s="1"/>
  <c r="AL47" s="1"/>
  <c r="AI48"/>
  <c r="AI49"/>
  <c r="AI50"/>
  <c r="AI51"/>
  <c r="AJ51" s="1"/>
  <c r="AK51" s="1"/>
  <c r="AL51" s="1"/>
  <c r="AI52"/>
  <c r="AJ52" s="1"/>
  <c r="AK52" s="1"/>
  <c r="AL52" s="1"/>
  <c r="AI53"/>
  <c r="AI54"/>
  <c r="AJ54" s="1"/>
  <c r="AK54" s="1"/>
  <c r="AL54" s="1"/>
  <c r="AI55"/>
  <c r="AJ55" s="1"/>
  <c r="AK55" s="1"/>
  <c r="AL55" s="1"/>
  <c r="AI56"/>
  <c r="AI57"/>
  <c r="AI58"/>
  <c r="AJ58" s="1"/>
  <c r="AK58" s="1"/>
  <c r="AL58" s="1"/>
  <c r="AI59"/>
  <c r="AJ59" s="1"/>
  <c r="AK59" s="1"/>
  <c r="AL59" s="1"/>
  <c r="AI60"/>
  <c r="AI61"/>
  <c r="AI62"/>
  <c r="AJ62" s="1"/>
  <c r="AK62" s="1"/>
  <c r="AL62" s="1"/>
  <c r="AI63"/>
  <c r="AI64"/>
  <c r="AJ64" s="1"/>
  <c r="AK64" s="1"/>
  <c r="AL64" s="1"/>
  <c r="AI65"/>
  <c r="AI66"/>
  <c r="AI67"/>
  <c r="AJ67" s="1"/>
  <c r="AK67" s="1"/>
  <c r="AL67" s="1"/>
  <c r="AI68"/>
  <c r="AJ68" s="1"/>
  <c r="AK68" s="1"/>
  <c r="AL68" s="1"/>
  <c r="AI69"/>
  <c r="AI70"/>
  <c r="AJ70" s="1"/>
  <c r="AK70" s="1"/>
  <c r="AL70" s="1"/>
  <c r="AI71"/>
  <c r="AJ71" s="1"/>
  <c r="AK71" s="1"/>
  <c r="AL71" s="1"/>
  <c r="AI72"/>
  <c r="AI73"/>
  <c r="AI74"/>
  <c r="AJ74" s="1"/>
  <c r="AK74" s="1"/>
  <c r="AL74" s="1"/>
  <c r="AI75"/>
  <c r="AJ75" s="1"/>
  <c r="AK75" s="1"/>
  <c r="AL75" s="1"/>
  <c r="AI76"/>
  <c r="AI77"/>
  <c r="AI78"/>
  <c r="AJ78" s="1"/>
  <c r="AK78" s="1"/>
  <c r="AL78" s="1"/>
  <c r="AI79"/>
  <c r="AI80"/>
  <c r="AJ80" s="1"/>
  <c r="AK80" s="1"/>
  <c r="AL80" s="1"/>
  <c r="AI81"/>
  <c r="AI82"/>
  <c r="AJ82" s="1"/>
  <c r="AK82" s="1"/>
  <c r="AL82" s="1"/>
  <c r="AI83"/>
  <c r="AI84"/>
  <c r="AI85"/>
  <c r="AJ85" s="1"/>
  <c r="AK85" s="1"/>
  <c r="AL85" s="1"/>
  <c r="AI86"/>
  <c r="AI87"/>
  <c r="AI88"/>
  <c r="AJ88" s="1"/>
  <c r="AK88" s="1"/>
  <c r="AL88" s="1"/>
  <c r="AI89"/>
  <c r="AJ89" s="1"/>
  <c r="AK89" s="1"/>
  <c r="AL89" s="1"/>
  <c r="AI90"/>
  <c r="AI91"/>
  <c r="AI92"/>
  <c r="AJ92" s="1"/>
  <c r="AK92" s="1"/>
  <c r="AL92" s="1"/>
  <c r="AI93"/>
  <c r="AJ93" s="1"/>
  <c r="AK93" s="1"/>
  <c r="AL93" s="1"/>
  <c r="AI94"/>
  <c r="AI95"/>
  <c r="AJ95" s="1"/>
  <c r="AK95" s="1"/>
  <c r="AL95" s="1"/>
  <c r="AI96"/>
  <c r="AI97"/>
  <c r="AI98"/>
  <c r="AI99"/>
  <c r="H77" i="22" l="1"/>
  <c r="B46" i="20"/>
  <c r="U49" i="50"/>
  <c r="AF119"/>
  <c r="AF109"/>
  <c r="X109"/>
  <c r="AE99"/>
  <c r="AF99"/>
  <c r="X89"/>
  <c r="AE89"/>
  <c r="AE79"/>
  <c r="X59"/>
  <c r="AF79"/>
  <c r="AF59"/>
  <c r="AE59" s="1"/>
  <c r="AF49"/>
  <c r="AE49" s="1"/>
  <c r="X49"/>
  <c r="U119"/>
  <c r="U89"/>
  <c r="U59"/>
  <c r="X119"/>
  <c r="AE119"/>
  <c r="AE109"/>
  <c r="AF89"/>
  <c r="X99"/>
  <c r="AF69"/>
  <c r="X69"/>
  <c r="X79"/>
  <c r="AE69"/>
  <c r="U79"/>
  <c r="U99"/>
  <c r="U69"/>
  <c r="C39"/>
  <c r="M39"/>
  <c r="N39"/>
  <c r="F39"/>
  <c r="M9"/>
  <c r="N29"/>
  <c r="F29"/>
  <c r="G19"/>
  <c r="C19"/>
  <c r="C29"/>
  <c r="N19"/>
  <c r="C9"/>
  <c r="F19"/>
  <c r="M19"/>
  <c r="N9"/>
  <c r="M29"/>
  <c r="B39"/>
  <c r="BA51" i="28"/>
  <c r="BH51" s="1"/>
  <c r="M64" i="13" s="1"/>
  <c r="BA4" i="28"/>
  <c r="BA63"/>
  <c r="BJ63" s="1"/>
  <c r="BK63" s="1"/>
  <c r="H76" i="13" s="1"/>
  <c r="BA46" i="28"/>
  <c r="BJ46" s="1"/>
  <c r="BK46" s="1"/>
  <c r="BA27"/>
  <c r="BH27" s="1"/>
  <c r="M40" i="13" s="1"/>
  <c r="G39" i="50" s="1"/>
  <c r="BA3" i="28"/>
  <c r="BH3" s="1"/>
  <c r="M16" i="13" s="1"/>
  <c r="BA2" i="28"/>
  <c r="BH2" s="1"/>
  <c r="M15" i="13" s="1"/>
  <c r="C87" i="36"/>
  <c r="C84"/>
  <c r="H23" i="26"/>
  <c r="A24"/>
  <c r="H21"/>
  <c r="BA77" i="28"/>
  <c r="BJ77" s="1"/>
  <c r="BK77" s="1"/>
  <c r="H90" i="13" s="1"/>
  <c r="BJ51" i="28"/>
  <c r="BK51" s="1"/>
  <c r="BA48"/>
  <c r="BJ48" s="1"/>
  <c r="BK48" s="1"/>
  <c r="BA43"/>
  <c r="BJ43" s="1"/>
  <c r="BK43" s="1"/>
  <c r="BA36"/>
  <c r="BJ36" s="1"/>
  <c r="BK36" s="1"/>
  <c r="BA26"/>
  <c r="BJ26" s="1"/>
  <c r="BK26" s="1"/>
  <c r="H39" i="13" s="1"/>
  <c r="BJ12" i="28"/>
  <c r="BK12" s="1"/>
  <c r="BA7"/>
  <c r="BH7" s="1"/>
  <c r="M20" i="13" s="1"/>
  <c r="O54" i="37"/>
  <c r="G49" i="50"/>
  <c r="BA73" i="28"/>
  <c r="BJ73" s="1"/>
  <c r="BK73" s="1"/>
  <c r="BA72"/>
  <c r="BJ72" s="1"/>
  <c r="BK72" s="1"/>
  <c r="BA60"/>
  <c r="BH60" s="1"/>
  <c r="M73" i="13" s="1"/>
  <c r="BA56" i="28"/>
  <c r="BJ56" s="1"/>
  <c r="BK56" s="1"/>
  <c r="BA49"/>
  <c r="BJ49" s="1"/>
  <c r="BK49" s="1"/>
  <c r="H62" i="13" s="1"/>
  <c r="BA47" i="28"/>
  <c r="BJ47" s="1"/>
  <c r="BK47" s="1"/>
  <c r="H60" i="13" s="1"/>
  <c r="BA45" i="28"/>
  <c r="BJ45" s="1"/>
  <c r="BK45" s="1"/>
  <c r="H58" i="13" s="1"/>
  <c r="BA39" i="28"/>
  <c r="BJ39" s="1"/>
  <c r="BK39" s="1"/>
  <c r="H52" i="13" s="1"/>
  <c r="BA10" i="28"/>
  <c r="BJ10" s="1"/>
  <c r="BK10" s="1"/>
  <c r="H23" i="13" s="1"/>
  <c r="H19" i="50" s="1"/>
  <c r="BJ7" i="28"/>
  <c r="BK7" s="1"/>
  <c r="BG3"/>
  <c r="L16" i="13" s="1"/>
  <c r="BL58" i="28"/>
  <c r="BM58" s="1"/>
  <c r="I71" i="13" s="1"/>
  <c r="H71"/>
  <c r="N16"/>
  <c r="B9" i="50" s="1"/>
  <c r="V99" i="13"/>
  <c r="V115"/>
  <c r="N15"/>
  <c r="N105" s="1"/>
  <c r="V105"/>
  <c r="BL24" i="28"/>
  <c r="BM24" s="1"/>
  <c r="I37" i="13" s="1"/>
  <c r="H37"/>
  <c r="O36" i="37"/>
  <c r="BA79" i="28"/>
  <c r="BJ79" s="1"/>
  <c r="BK79" s="1"/>
  <c r="H92" i="13" s="1"/>
  <c r="BA65" i="28"/>
  <c r="BJ65" s="1"/>
  <c r="BK65" s="1"/>
  <c r="H78" i="13" s="1"/>
  <c r="BA57" i="28"/>
  <c r="BJ57" s="1"/>
  <c r="BK57" s="1"/>
  <c r="H70" i="13" s="1"/>
  <c r="BA55" i="28"/>
  <c r="BJ55" s="1"/>
  <c r="BK55" s="1"/>
  <c r="H68" i="13" s="1"/>
  <c r="BA34" i="28"/>
  <c r="BJ34" s="1"/>
  <c r="BK34" s="1"/>
  <c r="H47" i="13" s="1"/>
  <c r="BA18" i="28"/>
  <c r="BJ18" s="1"/>
  <c r="BK18" s="1"/>
  <c r="H31" i="13" s="1"/>
  <c r="BA5" i="28"/>
  <c r="BJ5" s="1"/>
  <c r="BK5" s="1"/>
  <c r="H18" i="13" s="1"/>
  <c r="BJ3" i="28"/>
  <c r="BK3" s="1"/>
  <c r="BJ2"/>
  <c r="BK2" s="1"/>
  <c r="BA44"/>
  <c r="BH44" s="1"/>
  <c r="M57" i="13" s="1"/>
  <c r="Y39" i="50" s="1"/>
  <c r="AJ99" i="32"/>
  <c r="AK99" s="1"/>
  <c r="AL99" s="1"/>
  <c r="AJ81"/>
  <c r="AK81" s="1"/>
  <c r="AL81" s="1"/>
  <c r="AJ44"/>
  <c r="AK44" s="1"/>
  <c r="AL44" s="1"/>
  <c r="AJ40"/>
  <c r="AK40" s="1"/>
  <c r="AL40" s="1"/>
  <c r="AJ32"/>
  <c r="AK32" s="1"/>
  <c r="AL32" s="1"/>
  <c r="AI27"/>
  <c r="AJ27" s="1"/>
  <c r="AI24"/>
  <c r="AJ24" s="1"/>
  <c r="K15" i="37" s="1"/>
  <c r="AJ98" i="32"/>
  <c r="AK98" s="1"/>
  <c r="AL98" s="1"/>
  <c r="AJ91"/>
  <c r="AK91" s="1"/>
  <c r="AL91" s="1"/>
  <c r="AJ97"/>
  <c r="AK97" s="1"/>
  <c r="AL97" s="1"/>
  <c r="AJ94"/>
  <c r="AK94" s="1"/>
  <c r="AL94" s="1"/>
  <c r="AJ90"/>
  <c r="AK90" s="1"/>
  <c r="AL90" s="1"/>
  <c r="AJ86"/>
  <c r="AK86" s="1"/>
  <c r="AL86" s="1"/>
  <c r="AJ83"/>
  <c r="AK83" s="1"/>
  <c r="AL83" s="1"/>
  <c r="AJ77"/>
  <c r="AK77" s="1"/>
  <c r="AL77" s="1"/>
  <c r="AJ73"/>
  <c r="AK73" s="1"/>
  <c r="AL73" s="1"/>
  <c r="AJ69"/>
  <c r="AK69" s="1"/>
  <c r="AL69" s="1"/>
  <c r="AJ65"/>
  <c r="AK65" s="1"/>
  <c r="AL65" s="1"/>
  <c r="AJ61"/>
  <c r="AK61" s="1"/>
  <c r="AL61" s="1"/>
  <c r="AJ57"/>
  <c r="AK57" s="1"/>
  <c r="AL57" s="1"/>
  <c r="AJ53"/>
  <c r="AK53" s="1"/>
  <c r="AL53" s="1"/>
  <c r="AJ49"/>
  <c r="AK49" s="1"/>
  <c r="AL49" s="1"/>
  <c r="AJ46"/>
  <c r="AK46" s="1"/>
  <c r="AL46" s="1"/>
  <c r="AJ42"/>
  <c r="AK42" s="1"/>
  <c r="AL42" s="1"/>
  <c r="AJ38"/>
  <c r="AK38" s="1"/>
  <c r="AL38" s="1"/>
  <c r="AJ35"/>
  <c r="AK35" s="1"/>
  <c r="AL35" s="1"/>
  <c r="BJ354" i="28"/>
  <c r="BK354" s="1"/>
  <c r="BL354"/>
  <c r="BM354" s="1"/>
  <c r="BJ388"/>
  <c r="BK388" s="1"/>
  <c r="BL388"/>
  <c r="BM388" s="1"/>
  <c r="BJ367"/>
  <c r="BK367" s="1"/>
  <c r="BL367"/>
  <c r="BM367" s="1"/>
  <c r="BJ372"/>
  <c r="BK372" s="1"/>
  <c r="BL372"/>
  <c r="BM372" s="1"/>
  <c r="BJ380"/>
  <c r="BK380" s="1"/>
  <c r="BL380"/>
  <c r="BM380" s="1"/>
  <c r="BJ383"/>
  <c r="BK383" s="1"/>
  <c r="BL383"/>
  <c r="BM383" s="1"/>
  <c r="BJ460"/>
  <c r="BK460" s="1"/>
  <c r="BL460"/>
  <c r="BM460" s="1"/>
  <c r="BJ456"/>
  <c r="BK456" s="1"/>
  <c r="BL456"/>
  <c r="BM456" s="1"/>
  <c r="BJ463"/>
  <c r="BK463" s="1"/>
  <c r="BL463"/>
  <c r="BM463" s="1"/>
  <c r="BJ467"/>
  <c r="BK467" s="1"/>
  <c r="BL467"/>
  <c r="BM467" s="1"/>
  <c r="BJ470"/>
  <c r="BK470" s="1"/>
  <c r="BL470"/>
  <c r="BM470" s="1"/>
  <c r="BJ480"/>
  <c r="BK480" s="1"/>
  <c r="BL480"/>
  <c r="BM480" s="1"/>
  <c r="BJ484"/>
  <c r="BK484" s="1"/>
  <c r="BL484"/>
  <c r="BM484" s="1"/>
  <c r="AJ96" i="32"/>
  <c r="AK96"/>
  <c r="AL96" s="1"/>
  <c r="AJ87"/>
  <c r="AK87" s="1"/>
  <c r="AL87" s="1"/>
  <c r="AJ84"/>
  <c r="AK84" s="1"/>
  <c r="AL84" s="1"/>
  <c r="AJ79"/>
  <c r="AK79" s="1"/>
  <c r="AL79" s="1"/>
  <c r="AJ76"/>
  <c r="AK76" s="1"/>
  <c r="AL76" s="1"/>
  <c r="AJ72"/>
  <c r="AK72"/>
  <c r="AL72" s="1"/>
  <c r="AJ66"/>
  <c r="AK66"/>
  <c r="AL66" s="1"/>
  <c r="AJ63"/>
  <c r="AK63"/>
  <c r="AL63" s="1"/>
  <c r="AJ60"/>
  <c r="AK60"/>
  <c r="AL60" s="1"/>
  <c r="AJ56"/>
  <c r="AK56"/>
  <c r="AL56" s="1"/>
  <c r="AJ50"/>
  <c r="AK50"/>
  <c r="AL50" s="1"/>
  <c r="AJ48"/>
  <c r="AK48"/>
  <c r="AL48" s="1"/>
  <c r="AJ43"/>
  <c r="AK43"/>
  <c r="AL43" s="1"/>
  <c r="AJ39"/>
  <c r="AK39"/>
  <c r="AL39" s="1"/>
  <c r="AJ36"/>
  <c r="AK36"/>
  <c r="AL36" s="1"/>
  <c r="AJ31"/>
  <c r="AK31"/>
  <c r="AL31" s="1"/>
  <c r="BJ375" i="28"/>
  <c r="BK375" s="1"/>
  <c r="BL375"/>
  <c r="BM375" s="1"/>
  <c r="BJ266"/>
  <c r="BK266" s="1"/>
  <c r="BL266"/>
  <c r="BM266" s="1"/>
  <c r="BJ346"/>
  <c r="BK346" s="1"/>
  <c r="BL346"/>
  <c r="BM346" s="1"/>
  <c r="BJ356"/>
  <c r="BK356" s="1"/>
  <c r="BL356"/>
  <c r="BM356" s="1"/>
  <c r="BJ351"/>
  <c r="BK351" s="1"/>
  <c r="BL351"/>
  <c r="BM351" s="1"/>
  <c r="BJ370"/>
  <c r="BK370" s="1"/>
  <c r="BL370"/>
  <c r="BM370" s="1"/>
  <c r="BJ379"/>
  <c r="BK379" s="1"/>
  <c r="BL379"/>
  <c r="BM379" s="1"/>
  <c r="BJ382"/>
  <c r="BK382" s="1"/>
  <c r="BL382"/>
  <c r="BM382" s="1"/>
  <c r="BJ387"/>
  <c r="BK387" s="1"/>
  <c r="BL387"/>
  <c r="BM387" s="1"/>
  <c r="BJ464"/>
  <c r="BK464" s="1"/>
  <c r="BL464"/>
  <c r="BM464" s="1"/>
  <c r="BJ459"/>
  <c r="BK459" s="1"/>
  <c r="BL459"/>
  <c r="BM459" s="1"/>
  <c r="BJ465"/>
  <c r="BK465" s="1"/>
  <c r="BL465"/>
  <c r="BM465" s="1"/>
  <c r="BJ469"/>
  <c r="BK469" s="1"/>
  <c r="BL469"/>
  <c r="BM469" s="1"/>
  <c r="BJ479"/>
  <c r="BK479" s="1"/>
  <c r="BL479"/>
  <c r="BM479" s="1"/>
  <c r="BJ485"/>
  <c r="BK485" s="1"/>
  <c r="BL485"/>
  <c r="BM485" s="1"/>
  <c r="N21" i="37"/>
  <c r="AI30" i="32"/>
  <c r="N42" i="37"/>
  <c r="S9" i="51"/>
  <c r="BL56" i="28"/>
  <c r="BM56" s="1"/>
  <c r="I69" i="13" s="1"/>
  <c r="H69"/>
  <c r="BL51" i="28"/>
  <c r="BM51" s="1"/>
  <c r="I64" i="13" s="1"/>
  <c r="H64"/>
  <c r="BL36" i="28"/>
  <c r="BM36" s="1"/>
  <c r="I49" i="13" s="1"/>
  <c r="H49"/>
  <c r="BL33" i="28"/>
  <c r="BM33" s="1"/>
  <c r="I46" i="13" s="1"/>
  <c r="H46"/>
  <c r="D40" i="21"/>
  <c r="E40" s="1"/>
  <c r="G29" i="50"/>
  <c r="N39" i="13"/>
  <c r="O115"/>
  <c r="Z6" i="3" s="1"/>
  <c r="BL12" i="28"/>
  <c r="BM12" s="1"/>
  <c r="I25" i="13" s="1"/>
  <c r="H25"/>
  <c r="N23"/>
  <c r="O99"/>
  <c r="Z3" i="3" s="1"/>
  <c r="H17" i="26" s="1"/>
  <c r="D20" i="21"/>
  <c r="BL3" i="28"/>
  <c r="BM3" s="1"/>
  <c r="I16" i="13" s="1"/>
  <c r="H16"/>
  <c r="M99"/>
  <c r="AF3" i="3" s="1"/>
  <c r="G9" i="50"/>
  <c r="D16" i="21"/>
  <c r="M110" i="13"/>
  <c r="AF5" i="3" s="1"/>
  <c r="BL362" i="28"/>
  <c r="BM362" s="1"/>
  <c r="BL274"/>
  <c r="BM274" s="1"/>
  <c r="BL258"/>
  <c r="BM258" s="1"/>
  <c r="BL207"/>
  <c r="BM207" s="1"/>
  <c r="BL199"/>
  <c r="BM199" s="1"/>
  <c r="BL99"/>
  <c r="BM99" s="1"/>
  <c r="K18" i="37"/>
  <c r="AK27" i="32"/>
  <c r="AL27" s="1"/>
  <c r="L18" i="37" s="1"/>
  <c r="N36"/>
  <c r="K42"/>
  <c r="AD10" i="3" s="1"/>
  <c r="E27" i="34" s="1"/>
  <c r="X9" i="51"/>
  <c r="Y99" i="50"/>
  <c r="D73" i="21"/>
  <c r="E73" s="1"/>
  <c r="D64"/>
  <c r="E64" s="1"/>
  <c r="Y49" i="50"/>
  <c r="BL48" i="28"/>
  <c r="BM48" s="1"/>
  <c r="I61" i="13" s="1"/>
  <c r="H61"/>
  <c r="BL46" i="28"/>
  <c r="BM46" s="1"/>
  <c r="I59" i="13" s="1"/>
  <c r="H59"/>
  <c r="BL43" i="28"/>
  <c r="BM43" s="1"/>
  <c r="I56" i="13" s="1"/>
  <c r="H56"/>
  <c r="BL31" i="28"/>
  <c r="BM31" s="1"/>
  <c r="I44" i="13" s="1"/>
  <c r="H44"/>
  <c r="B29" i="50"/>
  <c r="BL7" i="28"/>
  <c r="BM7" s="1"/>
  <c r="I20" i="13" s="1"/>
  <c r="H20"/>
  <c r="N18"/>
  <c r="N94" s="1"/>
  <c r="AP2" i="3" s="1"/>
  <c r="C46" i="20" s="1"/>
  <c r="G46" s="1"/>
  <c r="G83" s="1"/>
  <c r="O94" i="13"/>
  <c r="Z2" i="3" s="1"/>
  <c r="H13" i="26" s="1"/>
  <c r="D15" i="21"/>
  <c r="M105" i="13"/>
  <c r="AF4" i="3" s="1"/>
  <c r="N57" i="13"/>
  <c r="T69" i="50" s="1"/>
  <c r="O110" i="13"/>
  <c r="Z5" i="3" s="1"/>
  <c r="H25" i="26" s="1"/>
  <c r="N54" i="37"/>
  <c r="AP12" i="3" s="1"/>
  <c r="C17" i="36" s="1"/>
  <c r="AI28" i="32"/>
  <c r="AK24"/>
  <c r="AL24" s="1"/>
  <c r="L15" i="37" s="1"/>
  <c r="J15" s="1"/>
  <c r="BL79" i="28"/>
  <c r="BM79" s="1"/>
  <c r="I92" i="13" s="1"/>
  <c r="J92" s="1"/>
  <c r="BL77" i="28"/>
  <c r="BM77" s="1"/>
  <c r="I90" i="13" s="1"/>
  <c r="J90" s="1"/>
  <c r="BL73" i="28"/>
  <c r="BM73" s="1"/>
  <c r="BL72"/>
  <c r="BM72" s="1"/>
  <c r="BL65"/>
  <c r="BM65" s="1"/>
  <c r="I78" i="13" s="1"/>
  <c r="J78" s="1"/>
  <c r="BL63" i="28"/>
  <c r="BM63" s="1"/>
  <c r="I76" i="13" s="1"/>
  <c r="BJ60" i="28"/>
  <c r="BK60" s="1"/>
  <c r="H73" i="13" s="1"/>
  <c r="BL57" i="28"/>
  <c r="BM57" s="1"/>
  <c r="I70" i="13" s="1"/>
  <c r="BL55" i="28"/>
  <c r="BM55" s="1"/>
  <c r="I68" i="13" s="1"/>
  <c r="J68" s="1"/>
  <c r="BL49" i="28"/>
  <c r="BM49" s="1"/>
  <c r="I62" i="13" s="1"/>
  <c r="J62" s="1"/>
  <c r="BL47" i="28"/>
  <c r="BM47" s="1"/>
  <c r="I60" i="13" s="1"/>
  <c r="J60" s="1"/>
  <c r="BL45" i="28"/>
  <c r="BM45" s="1"/>
  <c r="I58" i="13" s="1"/>
  <c r="J58" s="1"/>
  <c r="BL39" i="28"/>
  <c r="BM39" s="1"/>
  <c r="I52" i="13" s="1"/>
  <c r="J52" s="1"/>
  <c r="BA38" i="28"/>
  <c r="BL34"/>
  <c r="BM34" s="1"/>
  <c r="I47" i="13" s="1"/>
  <c r="J47" s="1"/>
  <c r="BJ27" i="28"/>
  <c r="BK27" s="1"/>
  <c r="H40" i="13" s="1"/>
  <c r="H29" i="50" s="1"/>
  <c r="BL26" i="28"/>
  <c r="BM26" s="1"/>
  <c r="I39" i="13" s="1"/>
  <c r="J39" s="1"/>
  <c r="BL18" i="28"/>
  <c r="BM18" s="1"/>
  <c r="I31" i="13" s="1"/>
  <c r="J31" s="1"/>
  <c r="BL10" i="28"/>
  <c r="BM10" s="1"/>
  <c r="I23" i="13" s="1"/>
  <c r="E19" i="50" s="1"/>
  <c r="BL5" i="28"/>
  <c r="BM5" s="1"/>
  <c r="I18" i="13" s="1"/>
  <c r="J18" s="1"/>
  <c r="BG2" i="28"/>
  <c r="L15" i="13" s="1"/>
  <c r="BJ44" i="28"/>
  <c r="BK44" s="1"/>
  <c r="H57" i="13" s="1"/>
  <c r="Z109" i="50" s="1"/>
  <c r="M49"/>
  <c r="F49"/>
  <c r="J49" i="13"/>
  <c r="G36" i="3" s="1"/>
  <c r="H36" s="1"/>
  <c r="I36" s="1"/>
  <c r="N115" i="13"/>
  <c r="AP6" i="3" s="1"/>
  <c r="C17" i="20" s="1"/>
  <c r="J25" i="13"/>
  <c r="AQ9" i="50"/>
  <c r="AW9"/>
  <c r="B49"/>
  <c r="N49"/>
  <c r="C49"/>
  <c r="J69" i="13"/>
  <c r="J64"/>
  <c r="F64" s="1"/>
  <c r="J61"/>
  <c r="J59"/>
  <c r="J56"/>
  <c r="J16"/>
  <c r="AM9" i="50"/>
  <c r="AL9"/>
  <c r="AX9"/>
  <c r="AG5" i="3"/>
  <c r="B51" i="36"/>
  <c r="AA3" i="3"/>
  <c r="H18" i="26" s="1"/>
  <c r="G16" s="1"/>
  <c r="AA2" i="3"/>
  <c r="E28" i="14"/>
  <c r="H14" i="26"/>
  <c r="G83" i="36"/>
  <c r="E15" i="14"/>
  <c r="E32"/>
  <c r="E29"/>
  <c r="AA6" i="3"/>
  <c r="AA5"/>
  <c r="H26" i="26" s="1"/>
  <c r="AA4" i="3"/>
  <c r="H22" i="26" s="1"/>
  <c r="G20" s="1"/>
  <c r="C83" i="36"/>
  <c r="AP4" i="3"/>
  <c r="C48" i="20" s="1"/>
  <c r="B51"/>
  <c r="E17" i="14"/>
  <c r="H15" i="26"/>
  <c r="H100" i="17"/>
  <c r="H101" s="1"/>
  <c r="H98"/>
  <c r="H99" s="1"/>
  <c r="H96"/>
  <c r="H97" s="1"/>
  <c r="H104"/>
  <c r="H105" s="1"/>
  <c r="H102"/>
  <c r="H103" s="1"/>
  <c r="D96" i="13"/>
  <c r="D117"/>
  <c r="D107"/>
  <c r="K9" i="36" l="1"/>
  <c r="C18"/>
  <c r="J37" i="13"/>
  <c r="F37" s="1"/>
  <c r="Z99" i="50"/>
  <c r="Z49"/>
  <c r="H39"/>
  <c r="Z119"/>
  <c r="T89"/>
  <c r="Y59"/>
  <c r="Z59"/>
  <c r="Y89"/>
  <c r="T109"/>
  <c r="Z79"/>
  <c r="T79"/>
  <c r="Z69"/>
  <c r="Y109"/>
  <c r="T119"/>
  <c r="Z89"/>
  <c r="T49"/>
  <c r="T99"/>
  <c r="Y69"/>
  <c r="T59"/>
  <c r="Y79"/>
  <c r="Y119"/>
  <c r="H49"/>
  <c r="J20" i="13"/>
  <c r="F20" s="1"/>
  <c r="D57" i="21"/>
  <c r="E57" s="1"/>
  <c r="D96"/>
  <c r="G24" i="3"/>
  <c r="H24" s="1"/>
  <c r="I24" s="1"/>
  <c r="BH4" i="28"/>
  <c r="M17" i="13" s="1"/>
  <c r="BJ4" i="28"/>
  <c r="BK4" s="1"/>
  <c r="A28" i="26"/>
  <c r="H29" s="1"/>
  <c r="H27"/>
  <c r="G24" s="1"/>
  <c r="H30"/>
  <c r="D16" i="15"/>
  <c r="F9" i="50"/>
  <c r="G14" i="24"/>
  <c r="H15" s="1"/>
  <c r="L99" i="13"/>
  <c r="BL27" i="28"/>
  <c r="BM27" s="1"/>
  <c r="I40" i="13" s="1"/>
  <c r="E29" i="50" s="1"/>
  <c r="BL60" i="28"/>
  <c r="BM60" s="1"/>
  <c r="I73" i="13" s="1"/>
  <c r="J71"/>
  <c r="G262" i="3"/>
  <c r="H262" s="1"/>
  <c r="I262" s="1"/>
  <c r="G497"/>
  <c r="H497" s="1"/>
  <c r="I497" s="1"/>
  <c r="G489"/>
  <c r="H489" s="1"/>
  <c r="I489" s="1"/>
  <c r="G474"/>
  <c r="H474" s="1"/>
  <c r="I474" s="1"/>
  <c r="G458"/>
  <c r="H458" s="1"/>
  <c r="I458" s="1"/>
  <c r="G454"/>
  <c r="H454" s="1"/>
  <c r="I454" s="1"/>
  <c r="G450"/>
  <c r="H450" s="1"/>
  <c r="I450" s="1"/>
  <c r="G446"/>
  <c r="H446" s="1"/>
  <c r="I446" s="1"/>
  <c r="G442"/>
  <c r="H442" s="1"/>
  <c r="I442" s="1"/>
  <c r="G438"/>
  <c r="H438" s="1"/>
  <c r="I438" s="1"/>
  <c r="G434"/>
  <c r="H434" s="1"/>
  <c r="I434" s="1"/>
  <c r="G430"/>
  <c r="H430" s="1"/>
  <c r="I430" s="1"/>
  <c r="G426"/>
  <c r="H426" s="1"/>
  <c r="I426" s="1"/>
  <c r="G422"/>
  <c r="H422" s="1"/>
  <c r="I422" s="1"/>
  <c r="G418"/>
  <c r="H418" s="1"/>
  <c r="I418" s="1"/>
  <c r="G414"/>
  <c r="H414" s="1"/>
  <c r="I414" s="1"/>
  <c r="G410"/>
  <c r="H410" s="1"/>
  <c r="I410" s="1"/>
  <c r="G406"/>
  <c r="H406" s="1"/>
  <c r="I406" s="1"/>
  <c r="G402"/>
  <c r="H402" s="1"/>
  <c r="I402" s="1"/>
  <c r="G398"/>
  <c r="H398" s="1"/>
  <c r="I398" s="1"/>
  <c r="G394"/>
  <c r="H394" s="1"/>
  <c r="I394" s="1"/>
  <c r="G390"/>
  <c r="H390" s="1"/>
  <c r="I390" s="1"/>
  <c r="G386"/>
  <c r="H386" s="1"/>
  <c r="I386" s="1"/>
  <c r="G382"/>
  <c r="H382" s="1"/>
  <c r="I382" s="1"/>
  <c r="G378"/>
  <c r="H378" s="1"/>
  <c r="I378" s="1"/>
  <c r="G374"/>
  <c r="H374" s="1"/>
  <c r="I374" s="1"/>
  <c r="G370"/>
  <c r="H370" s="1"/>
  <c r="I370" s="1"/>
  <c r="G366"/>
  <c r="H366" s="1"/>
  <c r="I366" s="1"/>
  <c r="G362"/>
  <c r="H362" s="1"/>
  <c r="I362" s="1"/>
  <c r="G358"/>
  <c r="H358" s="1"/>
  <c r="I358" s="1"/>
  <c r="G354"/>
  <c r="H354" s="1"/>
  <c r="I354" s="1"/>
  <c r="G350"/>
  <c r="H350" s="1"/>
  <c r="I350" s="1"/>
  <c r="G342"/>
  <c r="H342" s="1"/>
  <c r="I342" s="1"/>
  <c r="G334"/>
  <c r="H334" s="1"/>
  <c r="I334" s="1"/>
  <c r="G330"/>
  <c r="H330" s="1"/>
  <c r="I330" s="1"/>
  <c r="G322"/>
  <c r="H322" s="1"/>
  <c r="I322" s="1"/>
  <c r="G314"/>
  <c r="H314" s="1"/>
  <c r="I314" s="1"/>
  <c r="G302"/>
  <c r="H302" s="1"/>
  <c r="I302" s="1"/>
  <c r="G294"/>
  <c r="H294" s="1"/>
  <c r="I294" s="1"/>
  <c r="G290"/>
  <c r="H290" s="1"/>
  <c r="I290" s="1"/>
  <c r="G278"/>
  <c r="H278" s="1"/>
  <c r="I278" s="1"/>
  <c r="G274"/>
  <c r="H274" s="1"/>
  <c r="I274" s="1"/>
  <c r="G498"/>
  <c r="H498" s="1"/>
  <c r="I498" s="1"/>
  <c r="G481"/>
  <c r="H481" s="1"/>
  <c r="I481" s="1"/>
  <c r="G470"/>
  <c r="H470" s="1"/>
  <c r="I470" s="1"/>
  <c r="G258"/>
  <c r="H258" s="1"/>
  <c r="I258" s="1"/>
  <c r="F92" i="13"/>
  <c r="G494" i="3"/>
  <c r="H494" s="1"/>
  <c r="I494" s="1"/>
  <c r="G486"/>
  <c r="H486" s="1"/>
  <c r="I486" s="1"/>
  <c r="G462"/>
  <c r="H462" s="1"/>
  <c r="I462" s="1"/>
  <c r="G457"/>
  <c r="H457" s="1"/>
  <c r="I457" s="1"/>
  <c r="G453"/>
  <c r="H453" s="1"/>
  <c r="I453" s="1"/>
  <c r="G449"/>
  <c r="H449" s="1"/>
  <c r="I449" s="1"/>
  <c r="G445"/>
  <c r="H445" s="1"/>
  <c r="I445" s="1"/>
  <c r="G441"/>
  <c r="H441" s="1"/>
  <c r="I441" s="1"/>
  <c r="G437"/>
  <c r="H437" s="1"/>
  <c r="I437" s="1"/>
  <c r="G433"/>
  <c r="H433" s="1"/>
  <c r="I433" s="1"/>
  <c r="G429"/>
  <c r="H429" s="1"/>
  <c r="I429" s="1"/>
  <c r="G425"/>
  <c r="H425" s="1"/>
  <c r="I425" s="1"/>
  <c r="G421"/>
  <c r="H421" s="1"/>
  <c r="I421" s="1"/>
  <c r="G417"/>
  <c r="H417" s="1"/>
  <c r="I417" s="1"/>
  <c r="G413"/>
  <c r="H413" s="1"/>
  <c r="I413" s="1"/>
  <c r="G409"/>
  <c r="H409" s="1"/>
  <c r="I409" s="1"/>
  <c r="G405"/>
  <c r="H405" s="1"/>
  <c r="I405" s="1"/>
  <c r="G401"/>
  <c r="H401" s="1"/>
  <c r="I401" s="1"/>
  <c r="G397"/>
  <c r="H397" s="1"/>
  <c r="I397" s="1"/>
  <c r="G393"/>
  <c r="H393" s="1"/>
  <c r="I393" s="1"/>
  <c r="G389"/>
  <c r="H389" s="1"/>
  <c r="I389" s="1"/>
  <c r="G385"/>
  <c r="H385" s="1"/>
  <c r="I385" s="1"/>
  <c r="G381"/>
  <c r="H381" s="1"/>
  <c r="I381" s="1"/>
  <c r="G377"/>
  <c r="H377" s="1"/>
  <c r="I377" s="1"/>
  <c r="G373"/>
  <c r="H373" s="1"/>
  <c r="I373" s="1"/>
  <c r="G369"/>
  <c r="H369" s="1"/>
  <c r="I369" s="1"/>
  <c r="G365"/>
  <c r="H365" s="1"/>
  <c r="I365" s="1"/>
  <c r="G361"/>
  <c r="H361" s="1"/>
  <c r="I361" s="1"/>
  <c r="G357"/>
  <c r="H357" s="1"/>
  <c r="I357" s="1"/>
  <c r="G353"/>
  <c r="H353" s="1"/>
  <c r="I353" s="1"/>
  <c r="G349"/>
  <c r="H349" s="1"/>
  <c r="I349" s="1"/>
  <c r="G345"/>
  <c r="H345" s="1"/>
  <c r="I345" s="1"/>
  <c r="G341"/>
  <c r="H341" s="1"/>
  <c r="I341" s="1"/>
  <c r="G337"/>
  <c r="H337" s="1"/>
  <c r="I337" s="1"/>
  <c r="G333"/>
  <c r="H333" s="1"/>
  <c r="I333" s="1"/>
  <c r="G329"/>
  <c r="H329" s="1"/>
  <c r="I329" s="1"/>
  <c r="G325"/>
  <c r="H325" s="1"/>
  <c r="I325" s="1"/>
  <c r="G321"/>
  <c r="H321" s="1"/>
  <c r="I321" s="1"/>
  <c r="G317"/>
  <c r="H317" s="1"/>
  <c r="I317" s="1"/>
  <c r="G313"/>
  <c r="H313" s="1"/>
  <c r="I313" s="1"/>
  <c r="G309"/>
  <c r="H309" s="1"/>
  <c r="I309" s="1"/>
  <c r="G305"/>
  <c r="H305" s="1"/>
  <c r="I305" s="1"/>
  <c r="G301"/>
  <c r="H301" s="1"/>
  <c r="I301" s="1"/>
  <c r="G297"/>
  <c r="H297" s="1"/>
  <c r="I297" s="1"/>
  <c r="G293"/>
  <c r="H293" s="1"/>
  <c r="I293" s="1"/>
  <c r="G289"/>
  <c r="H289" s="1"/>
  <c r="I289" s="1"/>
  <c r="G285"/>
  <c r="H285" s="1"/>
  <c r="I285" s="1"/>
  <c r="G281"/>
  <c r="H281" s="1"/>
  <c r="I281" s="1"/>
  <c r="G277"/>
  <c r="H277" s="1"/>
  <c r="I277" s="1"/>
  <c r="G273"/>
  <c r="H273" s="1"/>
  <c r="I273" s="1"/>
  <c r="G499"/>
  <c r="H499" s="1"/>
  <c r="I499" s="1"/>
  <c r="G493"/>
  <c r="H493" s="1"/>
  <c r="I493" s="1"/>
  <c r="G482"/>
  <c r="H482" s="1"/>
  <c r="I482" s="1"/>
  <c r="G478"/>
  <c r="H478" s="1"/>
  <c r="I478" s="1"/>
  <c r="G473"/>
  <c r="H473" s="1"/>
  <c r="I473" s="1"/>
  <c r="G469"/>
  <c r="H469" s="1"/>
  <c r="I469" s="1"/>
  <c r="G465"/>
  <c r="H465" s="1"/>
  <c r="I465" s="1"/>
  <c r="G346"/>
  <c r="H346" s="1"/>
  <c r="I346" s="1"/>
  <c r="G338"/>
  <c r="H338" s="1"/>
  <c r="I338" s="1"/>
  <c r="G326"/>
  <c r="H326" s="1"/>
  <c r="I326" s="1"/>
  <c r="G318"/>
  <c r="H318" s="1"/>
  <c r="I318" s="1"/>
  <c r="G310"/>
  <c r="H310" s="1"/>
  <c r="I310" s="1"/>
  <c r="G306"/>
  <c r="H306" s="1"/>
  <c r="I306" s="1"/>
  <c r="G298"/>
  <c r="H298" s="1"/>
  <c r="I298" s="1"/>
  <c r="G286"/>
  <c r="H286" s="1"/>
  <c r="I286" s="1"/>
  <c r="G282"/>
  <c r="H282" s="1"/>
  <c r="I282" s="1"/>
  <c r="G270"/>
  <c r="H270" s="1"/>
  <c r="I270" s="1"/>
  <c r="G490"/>
  <c r="H490" s="1"/>
  <c r="I490" s="1"/>
  <c r="G477"/>
  <c r="H477" s="1"/>
  <c r="I477" s="1"/>
  <c r="G466"/>
  <c r="H466" s="1"/>
  <c r="I466" s="1"/>
  <c r="G461"/>
  <c r="H461" s="1"/>
  <c r="I461" s="1"/>
  <c r="BL2" i="28"/>
  <c r="BM2" s="1"/>
  <c r="I15" i="13" s="1"/>
  <c r="H15"/>
  <c r="J70"/>
  <c r="F70" s="1"/>
  <c r="J23"/>
  <c r="J44"/>
  <c r="F44" s="1"/>
  <c r="AC4" i="3"/>
  <c r="G7"/>
  <c r="H7" s="1"/>
  <c r="I7" s="1"/>
  <c r="G72"/>
  <c r="H72" s="1"/>
  <c r="I72" s="1"/>
  <c r="U9" i="51"/>
  <c r="J42" i="37"/>
  <c r="AI10" i="3" s="1"/>
  <c r="E32" i="34" s="1"/>
  <c r="H15" i="37"/>
  <c r="H42" s="1"/>
  <c r="P24" i="3"/>
  <c r="Q24" s="1"/>
  <c r="R24" s="1"/>
  <c r="H110" i="13"/>
  <c r="AD5" i="3" s="1"/>
  <c r="Z39" i="50"/>
  <c r="L105" i="13"/>
  <c r="G42" i="24"/>
  <c r="H43" s="1"/>
  <c r="BH38" i="28"/>
  <c r="M51" i="13" s="1"/>
  <c r="BJ38" i="28"/>
  <c r="BK38" s="1"/>
  <c r="H51" i="13" s="1"/>
  <c r="AJ28" i="32"/>
  <c r="K19" i="37" s="1"/>
  <c r="F90" i="13"/>
  <c r="G77" i="3"/>
  <c r="H77" s="1"/>
  <c r="I77" s="1"/>
  <c r="E38" i="37"/>
  <c r="E40"/>
  <c r="E39"/>
  <c r="D37"/>
  <c r="H9" i="50"/>
  <c r="H99" i="13"/>
  <c r="AD3" i="3" s="1"/>
  <c r="J76" i="13"/>
  <c r="J46"/>
  <c r="L42" i="37"/>
  <c r="AE10" i="3" s="1"/>
  <c r="E31" i="34" s="1"/>
  <c r="V9" i="51"/>
  <c r="AC12" i="3"/>
  <c r="E56" i="37"/>
  <c r="E58"/>
  <c r="E57"/>
  <c r="D55"/>
  <c r="N110" i="13"/>
  <c r="T39" i="50"/>
  <c r="D95" i="21"/>
  <c r="E15"/>
  <c r="AC2" i="3"/>
  <c r="J18" i="37"/>
  <c r="E16" i="21"/>
  <c r="D94"/>
  <c r="I99" i="13"/>
  <c r="AE3" i="3" s="1"/>
  <c r="E9" i="50"/>
  <c r="E20" i="21"/>
  <c r="N99" i="13"/>
  <c r="AP3" i="3" s="1"/>
  <c r="B19" i="50"/>
  <c r="E32" i="22"/>
  <c r="B36" i="23"/>
  <c r="E45" i="37"/>
  <c r="D43"/>
  <c r="AP10" i="3"/>
  <c r="C49" i="36" s="1"/>
  <c r="AC10" i="3"/>
  <c r="E44" i="37"/>
  <c r="E46"/>
  <c r="AJ30" i="32"/>
  <c r="K21" i="37" s="1"/>
  <c r="J15" i="13"/>
  <c r="AP9" i="50"/>
  <c r="BL44" i="28"/>
  <c r="BM44" s="1"/>
  <c r="I57" i="13" s="1"/>
  <c r="J40"/>
  <c r="D49" i="50" s="1"/>
  <c r="C50" i="20"/>
  <c r="C87" s="1"/>
  <c r="D18" i="15"/>
  <c r="F47" i="13"/>
  <c r="G34" i="3"/>
  <c r="F58" i="13"/>
  <c r="G45" i="3"/>
  <c r="H45" s="1"/>
  <c r="I45" s="1"/>
  <c r="F62" i="13"/>
  <c r="G49" i="3"/>
  <c r="G57"/>
  <c r="H57" s="1"/>
  <c r="I57" s="1"/>
  <c r="F78" i="13"/>
  <c r="G65" i="3"/>
  <c r="H65" s="1"/>
  <c r="I65" s="1"/>
  <c r="G265"/>
  <c r="H265" s="1"/>
  <c r="I265" s="1"/>
  <c r="G269"/>
  <c r="H269" s="1"/>
  <c r="I269" s="1"/>
  <c r="G266"/>
  <c r="H266" s="1"/>
  <c r="I266" s="1"/>
  <c r="G261"/>
  <c r="H261" s="1"/>
  <c r="I261" s="1"/>
  <c r="G257"/>
  <c r="H257" s="1"/>
  <c r="I257" s="1"/>
  <c r="G254"/>
  <c r="H254" s="1"/>
  <c r="I254" s="1"/>
  <c r="G249"/>
  <c r="H249" s="1"/>
  <c r="I249" s="1"/>
  <c r="G246"/>
  <c r="H246" s="1"/>
  <c r="I246" s="1"/>
  <c r="G241"/>
  <c r="H241" s="1"/>
  <c r="I241" s="1"/>
  <c r="G238"/>
  <c r="H238" s="1"/>
  <c r="I238" s="1"/>
  <c r="G233"/>
  <c r="H233" s="1"/>
  <c r="I233" s="1"/>
  <c r="G230"/>
  <c r="H230" s="1"/>
  <c r="I230" s="1"/>
  <c r="G225"/>
  <c r="H225" s="1"/>
  <c r="I225" s="1"/>
  <c r="G222"/>
  <c r="H222" s="1"/>
  <c r="I222" s="1"/>
  <c r="G217"/>
  <c r="H217" s="1"/>
  <c r="I217" s="1"/>
  <c r="G214"/>
  <c r="H214" s="1"/>
  <c r="I214" s="1"/>
  <c r="G209"/>
  <c r="H209" s="1"/>
  <c r="I209" s="1"/>
  <c r="G206"/>
  <c r="H206" s="1"/>
  <c r="I206" s="1"/>
  <c r="G201"/>
  <c r="H201" s="1"/>
  <c r="I201" s="1"/>
  <c r="G198"/>
  <c r="H198" s="1"/>
  <c r="I198" s="1"/>
  <c r="G193"/>
  <c r="H193" s="1"/>
  <c r="I193" s="1"/>
  <c r="G190"/>
  <c r="H190" s="1"/>
  <c r="I190" s="1"/>
  <c r="G185"/>
  <c r="H185" s="1"/>
  <c r="I185" s="1"/>
  <c r="G182"/>
  <c r="H182" s="1"/>
  <c r="I182" s="1"/>
  <c r="G177"/>
  <c r="H177" s="1"/>
  <c r="I177" s="1"/>
  <c r="G174"/>
  <c r="H174" s="1"/>
  <c r="I174" s="1"/>
  <c r="G173"/>
  <c r="H173" s="1"/>
  <c r="I173" s="1"/>
  <c r="G170"/>
  <c r="H170" s="1"/>
  <c r="I170" s="1"/>
  <c r="G169"/>
  <c r="H169" s="1"/>
  <c r="I169" s="1"/>
  <c r="G166"/>
  <c r="H166" s="1"/>
  <c r="I166" s="1"/>
  <c r="G165"/>
  <c r="H165" s="1"/>
  <c r="I165" s="1"/>
  <c r="G162"/>
  <c r="H162" s="1"/>
  <c r="I162" s="1"/>
  <c r="G161"/>
  <c r="H161" s="1"/>
  <c r="I161" s="1"/>
  <c r="G158"/>
  <c r="H158" s="1"/>
  <c r="I158" s="1"/>
  <c r="G157"/>
  <c r="H157" s="1"/>
  <c r="I157" s="1"/>
  <c r="G154"/>
  <c r="H154" s="1"/>
  <c r="I154" s="1"/>
  <c r="G153"/>
  <c r="H153" s="1"/>
  <c r="I153" s="1"/>
  <c r="G150"/>
  <c r="H150" s="1"/>
  <c r="I150" s="1"/>
  <c r="G149"/>
  <c r="H149" s="1"/>
  <c r="I149" s="1"/>
  <c r="G146"/>
  <c r="H146" s="1"/>
  <c r="I146" s="1"/>
  <c r="G145"/>
  <c r="H145" s="1"/>
  <c r="I145" s="1"/>
  <c r="G142"/>
  <c r="H142" s="1"/>
  <c r="I142" s="1"/>
  <c r="G141"/>
  <c r="H141" s="1"/>
  <c r="I141" s="1"/>
  <c r="G138"/>
  <c r="H138" s="1"/>
  <c r="I138" s="1"/>
  <c r="G137"/>
  <c r="H137" s="1"/>
  <c r="I137" s="1"/>
  <c r="G134"/>
  <c r="H134" s="1"/>
  <c r="I134" s="1"/>
  <c r="G133"/>
  <c r="H133" s="1"/>
  <c r="I133" s="1"/>
  <c r="G130"/>
  <c r="H130" s="1"/>
  <c r="I130" s="1"/>
  <c r="G129"/>
  <c r="H129" s="1"/>
  <c r="I129" s="1"/>
  <c r="G126"/>
  <c r="H126" s="1"/>
  <c r="I126" s="1"/>
  <c r="G125"/>
  <c r="H125" s="1"/>
  <c r="I125" s="1"/>
  <c r="G122"/>
  <c r="H122" s="1"/>
  <c r="I122" s="1"/>
  <c r="G121"/>
  <c r="H121" s="1"/>
  <c r="I121" s="1"/>
  <c r="G118"/>
  <c r="H118" s="1"/>
  <c r="I118" s="1"/>
  <c r="G117"/>
  <c r="H117" s="1"/>
  <c r="I117" s="1"/>
  <c r="G114"/>
  <c r="H114" s="1"/>
  <c r="I114" s="1"/>
  <c r="G113"/>
  <c r="H113" s="1"/>
  <c r="I113" s="1"/>
  <c r="G110"/>
  <c r="H110" s="1"/>
  <c r="I110" s="1"/>
  <c r="G109"/>
  <c r="H109" s="1"/>
  <c r="I109" s="1"/>
  <c r="G106"/>
  <c r="H106" s="1"/>
  <c r="I106" s="1"/>
  <c r="G105"/>
  <c r="H105" s="1"/>
  <c r="I105" s="1"/>
  <c r="G102"/>
  <c r="H102" s="1"/>
  <c r="I102" s="1"/>
  <c r="G101"/>
  <c r="H101" s="1"/>
  <c r="I101" s="1"/>
  <c r="G98"/>
  <c r="H98" s="1"/>
  <c r="I98" s="1"/>
  <c r="G97"/>
  <c r="H97" s="1"/>
  <c r="I97" s="1"/>
  <c r="G94"/>
  <c r="H94" s="1"/>
  <c r="I94" s="1"/>
  <c r="G93"/>
  <c r="H93" s="1"/>
  <c r="I93" s="1"/>
  <c r="G90"/>
  <c r="H90" s="1"/>
  <c r="I90" s="1"/>
  <c r="G89"/>
  <c r="H89" s="1"/>
  <c r="I89" s="1"/>
  <c r="G86"/>
  <c r="H86" s="1"/>
  <c r="I86" s="1"/>
  <c r="G85"/>
  <c r="H85" s="1"/>
  <c r="I85" s="1"/>
  <c r="G82"/>
  <c r="H82" s="1"/>
  <c r="I82" s="1"/>
  <c r="G81"/>
  <c r="H81" s="1"/>
  <c r="I81" s="1"/>
  <c r="G79"/>
  <c r="H79" s="1"/>
  <c r="I79" s="1"/>
  <c r="G491"/>
  <c r="H491" s="1"/>
  <c r="I491" s="1"/>
  <c r="G475"/>
  <c r="H475" s="1"/>
  <c r="I475" s="1"/>
  <c r="G459"/>
  <c r="H459" s="1"/>
  <c r="I459" s="1"/>
  <c r="G443"/>
  <c r="H443" s="1"/>
  <c r="I443" s="1"/>
  <c r="G427"/>
  <c r="H427" s="1"/>
  <c r="I427" s="1"/>
  <c r="G411"/>
  <c r="H411" s="1"/>
  <c r="I411" s="1"/>
  <c r="G395"/>
  <c r="H395" s="1"/>
  <c r="I395" s="1"/>
  <c r="G379"/>
  <c r="H379" s="1"/>
  <c r="I379" s="1"/>
  <c r="G363"/>
  <c r="H363" s="1"/>
  <c r="I363" s="1"/>
  <c r="G347"/>
  <c r="H347" s="1"/>
  <c r="I347" s="1"/>
  <c r="G331"/>
  <c r="H331" s="1"/>
  <c r="I331" s="1"/>
  <c r="G315"/>
  <c r="H315" s="1"/>
  <c r="I315" s="1"/>
  <c r="G299"/>
  <c r="H299" s="1"/>
  <c r="I299" s="1"/>
  <c r="G283"/>
  <c r="H283" s="1"/>
  <c r="I283" s="1"/>
  <c r="G267"/>
  <c r="H267" s="1"/>
  <c r="I267" s="1"/>
  <c r="G251"/>
  <c r="H251" s="1"/>
  <c r="I251" s="1"/>
  <c r="G235"/>
  <c r="H235" s="1"/>
  <c r="I235" s="1"/>
  <c r="G219"/>
  <c r="H219" s="1"/>
  <c r="I219" s="1"/>
  <c r="G203"/>
  <c r="H203" s="1"/>
  <c r="I203" s="1"/>
  <c r="G179"/>
  <c r="H179" s="1"/>
  <c r="I179" s="1"/>
  <c r="G163"/>
  <c r="H163" s="1"/>
  <c r="I163" s="1"/>
  <c r="G147"/>
  <c r="H147" s="1"/>
  <c r="I147" s="1"/>
  <c r="G131"/>
  <c r="H131" s="1"/>
  <c r="I131" s="1"/>
  <c r="G115"/>
  <c r="H115" s="1"/>
  <c r="I115" s="1"/>
  <c r="G99"/>
  <c r="H99" s="1"/>
  <c r="I99" s="1"/>
  <c r="G83"/>
  <c r="H83" s="1"/>
  <c r="I83" s="1"/>
  <c r="G488"/>
  <c r="H488" s="1"/>
  <c r="I488" s="1"/>
  <c r="G472"/>
  <c r="H472" s="1"/>
  <c r="I472" s="1"/>
  <c r="G456"/>
  <c r="H456" s="1"/>
  <c r="I456" s="1"/>
  <c r="G440"/>
  <c r="H440" s="1"/>
  <c r="I440" s="1"/>
  <c r="G424"/>
  <c r="H424" s="1"/>
  <c r="I424" s="1"/>
  <c r="G408"/>
  <c r="H408" s="1"/>
  <c r="I408" s="1"/>
  <c r="G392"/>
  <c r="H392" s="1"/>
  <c r="I392" s="1"/>
  <c r="G376"/>
  <c r="H376" s="1"/>
  <c r="I376" s="1"/>
  <c r="G360"/>
  <c r="H360" s="1"/>
  <c r="I360" s="1"/>
  <c r="G344"/>
  <c r="H344" s="1"/>
  <c r="I344" s="1"/>
  <c r="G328"/>
  <c r="H328" s="1"/>
  <c r="I328" s="1"/>
  <c r="G312"/>
  <c r="H312" s="1"/>
  <c r="I312" s="1"/>
  <c r="G296"/>
  <c r="H296" s="1"/>
  <c r="I296" s="1"/>
  <c r="G280"/>
  <c r="H280" s="1"/>
  <c r="I280" s="1"/>
  <c r="G264"/>
  <c r="H264" s="1"/>
  <c r="I264" s="1"/>
  <c r="G248"/>
  <c r="H248" s="1"/>
  <c r="I248" s="1"/>
  <c r="G232"/>
  <c r="H232" s="1"/>
  <c r="I232" s="1"/>
  <c r="G216"/>
  <c r="H216" s="1"/>
  <c r="I216" s="1"/>
  <c r="G200"/>
  <c r="H200" s="1"/>
  <c r="I200" s="1"/>
  <c r="G184"/>
  <c r="H184" s="1"/>
  <c r="I184" s="1"/>
  <c r="G168"/>
  <c r="H168" s="1"/>
  <c r="I168" s="1"/>
  <c r="G152"/>
  <c r="H152" s="1"/>
  <c r="I152" s="1"/>
  <c r="G136"/>
  <c r="H136" s="1"/>
  <c r="I136" s="1"/>
  <c r="G120"/>
  <c r="H120" s="1"/>
  <c r="I120" s="1"/>
  <c r="G104"/>
  <c r="H104" s="1"/>
  <c r="I104" s="1"/>
  <c r="G88"/>
  <c r="H88" s="1"/>
  <c r="I88" s="1"/>
  <c r="G487"/>
  <c r="H487" s="1"/>
  <c r="I487" s="1"/>
  <c r="G471"/>
  <c r="H471" s="1"/>
  <c r="I471" s="1"/>
  <c r="G455"/>
  <c r="H455" s="1"/>
  <c r="I455" s="1"/>
  <c r="G439"/>
  <c r="H439" s="1"/>
  <c r="I439" s="1"/>
  <c r="G423"/>
  <c r="H423" s="1"/>
  <c r="I423" s="1"/>
  <c r="G407"/>
  <c r="H407" s="1"/>
  <c r="I407" s="1"/>
  <c r="G391"/>
  <c r="H391" s="1"/>
  <c r="I391" s="1"/>
  <c r="G375"/>
  <c r="H375" s="1"/>
  <c r="I375" s="1"/>
  <c r="G359"/>
  <c r="H359" s="1"/>
  <c r="I359" s="1"/>
  <c r="G343"/>
  <c r="H343" s="1"/>
  <c r="I343" s="1"/>
  <c r="G327"/>
  <c r="H327" s="1"/>
  <c r="I327" s="1"/>
  <c r="G311"/>
  <c r="H311" s="1"/>
  <c r="I311" s="1"/>
  <c r="G287"/>
  <c r="H287" s="1"/>
  <c r="I287" s="1"/>
  <c r="G271"/>
  <c r="H271" s="1"/>
  <c r="I271" s="1"/>
  <c r="G255"/>
  <c r="H255" s="1"/>
  <c r="I255" s="1"/>
  <c r="G231"/>
  <c r="H231" s="1"/>
  <c r="I231" s="1"/>
  <c r="G199"/>
  <c r="H199" s="1"/>
  <c r="I199" s="1"/>
  <c r="G167"/>
  <c r="H167" s="1"/>
  <c r="I167" s="1"/>
  <c r="G135"/>
  <c r="H135" s="1"/>
  <c r="I135" s="1"/>
  <c r="G103"/>
  <c r="H103" s="1"/>
  <c r="I103" s="1"/>
  <c r="G492"/>
  <c r="H492" s="1"/>
  <c r="I492" s="1"/>
  <c r="G476"/>
  <c r="H476" s="1"/>
  <c r="I476" s="1"/>
  <c r="G460"/>
  <c r="H460" s="1"/>
  <c r="I460" s="1"/>
  <c r="G444"/>
  <c r="H444" s="1"/>
  <c r="I444" s="1"/>
  <c r="G428"/>
  <c r="H428" s="1"/>
  <c r="I428" s="1"/>
  <c r="G412"/>
  <c r="H412" s="1"/>
  <c r="I412" s="1"/>
  <c r="G396"/>
  <c r="H396" s="1"/>
  <c r="I396" s="1"/>
  <c r="G380"/>
  <c r="H380" s="1"/>
  <c r="I380" s="1"/>
  <c r="G364"/>
  <c r="H364" s="1"/>
  <c r="I364" s="1"/>
  <c r="G348"/>
  <c r="H348" s="1"/>
  <c r="I348" s="1"/>
  <c r="G332"/>
  <c r="H332" s="1"/>
  <c r="I332" s="1"/>
  <c r="G316"/>
  <c r="H316" s="1"/>
  <c r="I316" s="1"/>
  <c r="G300"/>
  <c r="H300" s="1"/>
  <c r="I300" s="1"/>
  <c r="G284"/>
  <c r="H284" s="1"/>
  <c r="I284" s="1"/>
  <c r="G268"/>
  <c r="H268" s="1"/>
  <c r="I268" s="1"/>
  <c r="G252"/>
  <c r="H252" s="1"/>
  <c r="I252" s="1"/>
  <c r="G236"/>
  <c r="H236" s="1"/>
  <c r="I236" s="1"/>
  <c r="G220"/>
  <c r="H220" s="1"/>
  <c r="I220" s="1"/>
  <c r="G204"/>
  <c r="H204" s="1"/>
  <c r="I204" s="1"/>
  <c r="G188"/>
  <c r="H188" s="1"/>
  <c r="I188" s="1"/>
  <c r="G172"/>
  <c r="H172" s="1"/>
  <c r="I172" s="1"/>
  <c r="G156"/>
  <c r="H156" s="1"/>
  <c r="I156" s="1"/>
  <c r="G140"/>
  <c r="H140" s="1"/>
  <c r="I140" s="1"/>
  <c r="G253"/>
  <c r="H253" s="1"/>
  <c r="I253" s="1"/>
  <c r="G250"/>
  <c r="H250" s="1"/>
  <c r="I250" s="1"/>
  <c r="G245"/>
  <c r="H245" s="1"/>
  <c r="I245" s="1"/>
  <c r="G242"/>
  <c r="H242" s="1"/>
  <c r="I242" s="1"/>
  <c r="G237"/>
  <c r="H237" s="1"/>
  <c r="I237" s="1"/>
  <c r="G234"/>
  <c r="H234" s="1"/>
  <c r="I234" s="1"/>
  <c r="G229"/>
  <c r="H229" s="1"/>
  <c r="I229" s="1"/>
  <c r="G226"/>
  <c r="H226" s="1"/>
  <c r="I226" s="1"/>
  <c r="G221"/>
  <c r="H221" s="1"/>
  <c r="I221" s="1"/>
  <c r="G218"/>
  <c r="H218" s="1"/>
  <c r="I218" s="1"/>
  <c r="G213"/>
  <c r="H213" s="1"/>
  <c r="I213" s="1"/>
  <c r="G210"/>
  <c r="H210" s="1"/>
  <c r="I210" s="1"/>
  <c r="G205"/>
  <c r="H205" s="1"/>
  <c r="I205" s="1"/>
  <c r="G202"/>
  <c r="H202" s="1"/>
  <c r="I202" s="1"/>
  <c r="G197"/>
  <c r="H197" s="1"/>
  <c r="I197" s="1"/>
  <c r="G194"/>
  <c r="H194" s="1"/>
  <c r="I194" s="1"/>
  <c r="G189"/>
  <c r="H189" s="1"/>
  <c r="I189" s="1"/>
  <c r="G186"/>
  <c r="H186" s="1"/>
  <c r="I186" s="1"/>
  <c r="G181"/>
  <c r="H181" s="1"/>
  <c r="I181" s="1"/>
  <c r="G178"/>
  <c r="H178" s="1"/>
  <c r="I178" s="1"/>
  <c r="G483"/>
  <c r="H483" s="1"/>
  <c r="I483" s="1"/>
  <c r="G467"/>
  <c r="H467" s="1"/>
  <c r="I467" s="1"/>
  <c r="G451"/>
  <c r="H451" s="1"/>
  <c r="I451" s="1"/>
  <c r="G435"/>
  <c r="H435" s="1"/>
  <c r="I435" s="1"/>
  <c r="G419"/>
  <c r="H419" s="1"/>
  <c r="I419" s="1"/>
  <c r="G403"/>
  <c r="H403" s="1"/>
  <c r="I403" s="1"/>
  <c r="G387"/>
  <c r="H387" s="1"/>
  <c r="I387" s="1"/>
  <c r="G371"/>
  <c r="H371" s="1"/>
  <c r="I371" s="1"/>
  <c r="G355"/>
  <c r="H355" s="1"/>
  <c r="I355" s="1"/>
  <c r="G339"/>
  <c r="H339" s="1"/>
  <c r="I339" s="1"/>
  <c r="G323"/>
  <c r="H323" s="1"/>
  <c r="I323" s="1"/>
  <c r="G307"/>
  <c r="H307" s="1"/>
  <c r="I307" s="1"/>
  <c r="G291"/>
  <c r="H291" s="1"/>
  <c r="I291" s="1"/>
  <c r="G275"/>
  <c r="H275" s="1"/>
  <c r="I275" s="1"/>
  <c r="G259"/>
  <c r="H259" s="1"/>
  <c r="I259" s="1"/>
  <c r="G243"/>
  <c r="H243" s="1"/>
  <c r="I243" s="1"/>
  <c r="G227"/>
  <c r="H227" s="1"/>
  <c r="I227" s="1"/>
  <c r="G211"/>
  <c r="H211" s="1"/>
  <c r="I211" s="1"/>
  <c r="G195"/>
  <c r="H195" s="1"/>
  <c r="I195" s="1"/>
  <c r="G187"/>
  <c r="H187" s="1"/>
  <c r="I187" s="1"/>
  <c r="G171"/>
  <c r="H171" s="1"/>
  <c r="I171" s="1"/>
  <c r="G155"/>
  <c r="H155" s="1"/>
  <c r="I155" s="1"/>
  <c r="G139"/>
  <c r="H139" s="1"/>
  <c r="I139" s="1"/>
  <c r="G123"/>
  <c r="H123" s="1"/>
  <c r="I123" s="1"/>
  <c r="G107"/>
  <c r="H107" s="1"/>
  <c r="I107" s="1"/>
  <c r="G91"/>
  <c r="H91" s="1"/>
  <c r="I91" s="1"/>
  <c r="G496"/>
  <c r="H496" s="1"/>
  <c r="I496" s="1"/>
  <c r="G480"/>
  <c r="H480" s="1"/>
  <c r="I480" s="1"/>
  <c r="G464"/>
  <c r="H464" s="1"/>
  <c r="I464" s="1"/>
  <c r="G448"/>
  <c r="H448" s="1"/>
  <c r="I448" s="1"/>
  <c r="G432"/>
  <c r="H432" s="1"/>
  <c r="I432" s="1"/>
  <c r="G416"/>
  <c r="H416" s="1"/>
  <c r="I416" s="1"/>
  <c r="G400"/>
  <c r="H400" s="1"/>
  <c r="I400" s="1"/>
  <c r="G384"/>
  <c r="H384" s="1"/>
  <c r="I384" s="1"/>
  <c r="G368"/>
  <c r="H368" s="1"/>
  <c r="I368" s="1"/>
  <c r="G352"/>
  <c r="H352" s="1"/>
  <c r="I352" s="1"/>
  <c r="G336"/>
  <c r="H336" s="1"/>
  <c r="I336" s="1"/>
  <c r="G320"/>
  <c r="H320" s="1"/>
  <c r="I320" s="1"/>
  <c r="G304"/>
  <c r="H304" s="1"/>
  <c r="I304" s="1"/>
  <c r="G288"/>
  <c r="H288" s="1"/>
  <c r="I288" s="1"/>
  <c r="G272"/>
  <c r="H272" s="1"/>
  <c r="I272" s="1"/>
  <c r="G256"/>
  <c r="H256" s="1"/>
  <c r="I256" s="1"/>
  <c r="G240"/>
  <c r="H240" s="1"/>
  <c r="I240" s="1"/>
  <c r="G224"/>
  <c r="H224" s="1"/>
  <c r="I224" s="1"/>
  <c r="G208"/>
  <c r="H208" s="1"/>
  <c r="I208" s="1"/>
  <c r="G192"/>
  <c r="H192" s="1"/>
  <c r="I192" s="1"/>
  <c r="G176"/>
  <c r="H176" s="1"/>
  <c r="I176" s="1"/>
  <c r="G160"/>
  <c r="H160" s="1"/>
  <c r="I160" s="1"/>
  <c r="G144"/>
  <c r="H144" s="1"/>
  <c r="I144" s="1"/>
  <c r="G128"/>
  <c r="H128" s="1"/>
  <c r="I128" s="1"/>
  <c r="G112"/>
  <c r="H112" s="1"/>
  <c r="I112" s="1"/>
  <c r="G96"/>
  <c r="H96" s="1"/>
  <c r="I96" s="1"/>
  <c r="G80"/>
  <c r="H80" s="1"/>
  <c r="I80" s="1"/>
  <c r="G495"/>
  <c r="H495" s="1"/>
  <c r="I495" s="1"/>
  <c r="G479"/>
  <c r="H479" s="1"/>
  <c r="I479" s="1"/>
  <c r="G463"/>
  <c r="H463" s="1"/>
  <c r="I463" s="1"/>
  <c r="G447"/>
  <c r="H447" s="1"/>
  <c r="I447" s="1"/>
  <c r="G431"/>
  <c r="H431" s="1"/>
  <c r="I431" s="1"/>
  <c r="G415"/>
  <c r="H415" s="1"/>
  <c r="I415" s="1"/>
  <c r="G399"/>
  <c r="H399" s="1"/>
  <c r="I399" s="1"/>
  <c r="G383"/>
  <c r="H383" s="1"/>
  <c r="I383" s="1"/>
  <c r="G367"/>
  <c r="H367" s="1"/>
  <c r="I367" s="1"/>
  <c r="G351"/>
  <c r="H351" s="1"/>
  <c r="I351" s="1"/>
  <c r="G335"/>
  <c r="H335" s="1"/>
  <c r="I335" s="1"/>
  <c r="G319"/>
  <c r="H319" s="1"/>
  <c r="I319" s="1"/>
  <c r="G303"/>
  <c r="H303" s="1"/>
  <c r="I303" s="1"/>
  <c r="G279"/>
  <c r="H279" s="1"/>
  <c r="I279" s="1"/>
  <c r="G263"/>
  <c r="H263" s="1"/>
  <c r="I263" s="1"/>
  <c r="G239"/>
  <c r="H239" s="1"/>
  <c r="I239" s="1"/>
  <c r="G215"/>
  <c r="H215" s="1"/>
  <c r="I215" s="1"/>
  <c r="G183"/>
  <c r="H183" s="1"/>
  <c r="I183" s="1"/>
  <c r="G151"/>
  <c r="H151" s="1"/>
  <c r="I151" s="1"/>
  <c r="G119"/>
  <c r="H119" s="1"/>
  <c r="I119" s="1"/>
  <c r="G484"/>
  <c r="H484" s="1"/>
  <c r="I484" s="1"/>
  <c r="G468"/>
  <c r="H468" s="1"/>
  <c r="I468" s="1"/>
  <c r="G452"/>
  <c r="H452" s="1"/>
  <c r="I452" s="1"/>
  <c r="G436"/>
  <c r="H436" s="1"/>
  <c r="I436" s="1"/>
  <c r="G420"/>
  <c r="H420" s="1"/>
  <c r="I420" s="1"/>
  <c r="G404"/>
  <c r="H404" s="1"/>
  <c r="I404" s="1"/>
  <c r="G388"/>
  <c r="H388" s="1"/>
  <c r="I388" s="1"/>
  <c r="G372"/>
  <c r="H372" s="1"/>
  <c r="I372" s="1"/>
  <c r="G356"/>
  <c r="H356" s="1"/>
  <c r="I356" s="1"/>
  <c r="G340"/>
  <c r="H340" s="1"/>
  <c r="I340" s="1"/>
  <c r="G324"/>
  <c r="H324" s="1"/>
  <c r="I324" s="1"/>
  <c r="G308"/>
  <c r="H308" s="1"/>
  <c r="I308" s="1"/>
  <c r="G292"/>
  <c r="H292" s="1"/>
  <c r="I292" s="1"/>
  <c r="G276"/>
  <c r="H276" s="1"/>
  <c r="I276" s="1"/>
  <c r="G260"/>
  <c r="H260" s="1"/>
  <c r="I260" s="1"/>
  <c r="G244"/>
  <c r="H244" s="1"/>
  <c r="I244" s="1"/>
  <c r="G228"/>
  <c r="H228" s="1"/>
  <c r="I228" s="1"/>
  <c r="G212"/>
  <c r="H212" s="1"/>
  <c r="I212" s="1"/>
  <c r="G196"/>
  <c r="H196" s="1"/>
  <c r="I196" s="1"/>
  <c r="G180"/>
  <c r="H180" s="1"/>
  <c r="I180" s="1"/>
  <c r="G164"/>
  <c r="H164" s="1"/>
  <c r="I164" s="1"/>
  <c r="G148"/>
  <c r="H148" s="1"/>
  <c r="I148" s="1"/>
  <c r="G132"/>
  <c r="H132" s="1"/>
  <c r="I132" s="1"/>
  <c r="G124"/>
  <c r="H124" s="1"/>
  <c r="I124" s="1"/>
  <c r="G108"/>
  <c r="H108" s="1"/>
  <c r="I108" s="1"/>
  <c r="G92"/>
  <c r="H92" s="1"/>
  <c r="I92" s="1"/>
  <c r="G247"/>
  <c r="H247" s="1"/>
  <c r="I247" s="1"/>
  <c r="G207"/>
  <c r="H207" s="1"/>
  <c r="I207" s="1"/>
  <c r="G175"/>
  <c r="H175" s="1"/>
  <c r="I175" s="1"/>
  <c r="G143"/>
  <c r="H143" s="1"/>
  <c r="I143" s="1"/>
  <c r="G111"/>
  <c r="H111" s="1"/>
  <c r="I111" s="1"/>
  <c r="G87"/>
  <c r="H87" s="1"/>
  <c r="I87" s="1"/>
  <c r="G485"/>
  <c r="H485" s="1"/>
  <c r="I485" s="1"/>
  <c r="G116"/>
  <c r="H116" s="1"/>
  <c r="I116" s="1"/>
  <c r="G100"/>
  <c r="H100" s="1"/>
  <c r="I100" s="1"/>
  <c r="G84"/>
  <c r="H84" s="1"/>
  <c r="I84" s="1"/>
  <c r="G295"/>
  <c r="H295" s="1"/>
  <c r="I295" s="1"/>
  <c r="G223"/>
  <c r="H223" s="1"/>
  <c r="I223" s="1"/>
  <c r="G191"/>
  <c r="H191" s="1"/>
  <c r="I191" s="1"/>
  <c r="G159"/>
  <c r="H159" s="1"/>
  <c r="I159" s="1"/>
  <c r="G127"/>
  <c r="H127" s="1"/>
  <c r="I127" s="1"/>
  <c r="G95"/>
  <c r="H95" s="1"/>
  <c r="I95" s="1"/>
  <c r="F23" i="13"/>
  <c r="G10" i="3"/>
  <c r="H10" s="1"/>
  <c r="I10" s="1"/>
  <c r="D19" i="50"/>
  <c r="F39" i="13"/>
  <c r="G26" i="3"/>
  <c r="H26" s="1"/>
  <c r="I26" s="1"/>
  <c r="F59" i="13"/>
  <c r="G46" i="3"/>
  <c r="H46" s="1"/>
  <c r="I46" s="1"/>
  <c r="G51"/>
  <c r="H51" s="1"/>
  <c r="I51" s="1"/>
  <c r="F25" i="13"/>
  <c r="G12" i="3"/>
  <c r="H12" s="1"/>
  <c r="I12" s="1"/>
  <c r="F16" i="13"/>
  <c r="G3" i="3"/>
  <c r="H3" s="1"/>
  <c r="I3" s="1"/>
  <c r="J99" i="13"/>
  <c r="AI3" i="3" s="1"/>
  <c r="D9" i="50"/>
  <c r="F52" i="13"/>
  <c r="G39" i="3"/>
  <c r="H39" s="1"/>
  <c r="I39" s="1"/>
  <c r="F60" i="13"/>
  <c r="G47" i="3"/>
  <c r="H47" s="1"/>
  <c r="I47" s="1"/>
  <c r="F68" i="13"/>
  <c r="G55" i="3"/>
  <c r="H55" s="1"/>
  <c r="I55" s="1"/>
  <c r="G73"/>
  <c r="H73" s="1"/>
  <c r="I73" s="1"/>
  <c r="F18" i="13"/>
  <c r="G5" i="3"/>
  <c r="H5" s="1"/>
  <c r="I5" s="1"/>
  <c r="F31" i="13"/>
  <c r="G18" i="3"/>
  <c r="H18" s="1"/>
  <c r="I18" s="1"/>
  <c r="F56" i="13"/>
  <c r="G43" i="3"/>
  <c r="H43" s="1"/>
  <c r="I43" s="1"/>
  <c r="F61" i="13"/>
  <c r="G48" i="3"/>
  <c r="H48" s="1"/>
  <c r="I48" s="1"/>
  <c r="F69" i="13"/>
  <c r="G56" i="3"/>
  <c r="H56" s="1"/>
  <c r="I56" s="1"/>
  <c r="D39" i="50"/>
  <c r="E15" i="22"/>
  <c r="B19" i="23"/>
  <c r="AC6" i="3"/>
  <c r="F49" i="13"/>
  <c r="E59" i="22"/>
  <c r="B63" i="23"/>
  <c r="G12" i="26"/>
  <c r="K9" i="20"/>
  <c r="C18"/>
  <c r="E16" i="14"/>
  <c r="F20" s="1"/>
  <c r="G50" i="20"/>
  <c r="G87" s="1"/>
  <c r="D14" i="15"/>
  <c r="G48" i="20"/>
  <c r="G85" s="1"/>
  <c r="C85"/>
  <c r="A94" i="21"/>
  <c r="D101" i="13"/>
  <c r="B42" i="14"/>
  <c r="A96" i="21"/>
  <c r="D112" i="13"/>
  <c r="A95" i="21"/>
  <c r="AK28" i="32" l="1"/>
  <c r="AL28" s="1"/>
  <c r="L19" i="37" s="1"/>
  <c r="BL38" i="28"/>
  <c r="BM38" s="1"/>
  <c r="I51" i="13" s="1"/>
  <c r="I94" s="1"/>
  <c r="AE2" i="3" s="1"/>
  <c r="BG33" i="18" s="1"/>
  <c r="W79" i="50"/>
  <c r="W69"/>
  <c r="W109"/>
  <c r="W59"/>
  <c r="E49"/>
  <c r="W49"/>
  <c r="W119"/>
  <c r="E39"/>
  <c r="W89"/>
  <c r="G31" i="3"/>
  <c r="H31" s="1"/>
  <c r="I31" s="1"/>
  <c r="D17" i="21"/>
  <c r="M115" i="13"/>
  <c r="AF6" i="3" s="1"/>
  <c r="H17" i="13"/>
  <c r="H115" s="1"/>
  <c r="AD6" i="3" s="1"/>
  <c r="BL4" i="28"/>
  <c r="BM4" s="1"/>
  <c r="I17" i="13" s="1"/>
  <c r="I115" s="1"/>
  <c r="AE6" i="3" s="1"/>
  <c r="E27" i="14" s="1"/>
  <c r="Z9" i="51"/>
  <c r="K54" i="37"/>
  <c r="AD12" i="3" s="1"/>
  <c r="H31" i="26"/>
  <c r="A33"/>
  <c r="A63" s="1"/>
  <c r="G28"/>
  <c r="W99" i="50"/>
  <c r="J73" i="13"/>
  <c r="D15" i="24"/>
  <c r="AG3" i="3"/>
  <c r="F71" i="13"/>
  <c r="G58" i="3"/>
  <c r="H58" s="1"/>
  <c r="I58" s="1"/>
  <c r="I105" i="13"/>
  <c r="AE4" i="3" s="1"/>
  <c r="AO9" i="50"/>
  <c r="B91" i="23"/>
  <c r="E87" i="22"/>
  <c r="AR9" i="50"/>
  <c r="H105" i="13"/>
  <c r="AD4" i="3" s="1"/>
  <c r="F40" i="13"/>
  <c r="J49" i="50" s="1"/>
  <c r="G27" i="3"/>
  <c r="H27" s="1"/>
  <c r="I27" s="1"/>
  <c r="D29" i="50"/>
  <c r="I110" i="13"/>
  <c r="AE5" i="3" s="1"/>
  <c r="W39" i="50"/>
  <c r="F15" i="13"/>
  <c r="G2" i="3"/>
  <c r="H2" s="1"/>
  <c r="I2" s="1"/>
  <c r="J105" i="13"/>
  <c r="AI4" i="3" s="1"/>
  <c r="AN9" i="50"/>
  <c r="G49" i="36"/>
  <c r="C86"/>
  <c r="C51"/>
  <c r="AC3" i="3"/>
  <c r="AC5"/>
  <c r="AP5"/>
  <c r="AN12"/>
  <c r="AM12"/>
  <c r="AO12"/>
  <c r="F46" i="13"/>
  <c r="G33" i="3"/>
  <c r="H33" s="1"/>
  <c r="I33" s="1"/>
  <c r="F76" i="13"/>
  <c r="G63" i="3"/>
  <c r="H63" s="1"/>
  <c r="I63" s="1"/>
  <c r="E39" i="22"/>
  <c r="B43" i="23"/>
  <c r="E85" i="22"/>
  <c r="B89" i="23"/>
  <c r="J19" i="37"/>
  <c r="P28" i="3" s="1"/>
  <c r="Q28" s="1"/>
  <c r="R28" s="1"/>
  <c r="B14" i="40"/>
  <c r="E10" i="42"/>
  <c r="E19" s="1"/>
  <c r="E80" i="22"/>
  <c r="B84" i="23"/>
  <c r="AK30" i="32"/>
  <c r="AL30" s="1"/>
  <c r="L21" i="37" s="1"/>
  <c r="L36" s="1"/>
  <c r="E47"/>
  <c r="E41"/>
  <c r="J51" i="13"/>
  <c r="H94"/>
  <c r="AD2" i="3" s="1"/>
  <c r="T50" i="18"/>
  <c r="T45"/>
  <c r="BF39"/>
  <c r="AM10" i="3"/>
  <c r="AO10"/>
  <c r="AN10"/>
  <c r="H18" i="37"/>
  <c r="P27" i="3"/>
  <c r="Q27" s="1"/>
  <c r="R27" s="1"/>
  <c r="G17" i="20"/>
  <c r="G18" s="1"/>
  <c r="K10" s="1"/>
  <c r="E25" i="14"/>
  <c r="D51" i="21"/>
  <c r="M94" i="13"/>
  <c r="AF2" i="3" s="1"/>
  <c r="D43" i="24"/>
  <c r="AG4" i="3"/>
  <c r="K36" i="37"/>
  <c r="J57" i="13"/>
  <c r="E59" i="37"/>
  <c r="J21"/>
  <c r="P30" i="3" s="1"/>
  <c r="E44" i="22"/>
  <c r="B48" i="23"/>
  <c r="E64" i="22"/>
  <c r="J39" i="50"/>
  <c r="B68" i="23"/>
  <c r="E56" i="22"/>
  <c r="B60" i="23"/>
  <c r="E51" i="22"/>
  <c r="B55" i="23"/>
  <c r="E26" i="22"/>
  <c r="B30" i="23"/>
  <c r="E63" i="22"/>
  <c r="B67" i="23"/>
  <c r="E55" i="22"/>
  <c r="B59" i="23"/>
  <c r="E47" i="22"/>
  <c r="B51" i="23"/>
  <c r="E11" i="22"/>
  <c r="B15" i="23"/>
  <c r="J9" i="50"/>
  <c r="E54" i="22"/>
  <c r="B58" i="23"/>
  <c r="E34" i="22"/>
  <c r="B38" i="23"/>
  <c r="E65" i="22"/>
  <c r="B69" i="23"/>
  <c r="E57" i="22"/>
  <c r="B61" i="23"/>
  <c r="E53" i="22"/>
  <c r="B57" i="23"/>
  <c r="E42" i="22"/>
  <c r="B46" i="23"/>
  <c r="E13" i="22"/>
  <c r="B17" i="23"/>
  <c r="E81" i="22"/>
  <c r="B85" i="23"/>
  <c r="E20" i="22"/>
  <c r="B24" i="23"/>
  <c r="E18" i="22"/>
  <c r="J19" i="50"/>
  <c r="B22" i="23"/>
  <c r="E73" i="22"/>
  <c r="B77" i="23"/>
  <c r="H49" i="3"/>
  <c r="I49" s="1"/>
  <c r="G23" i="47"/>
  <c r="F19" i="46" s="1"/>
  <c r="H34" i="3"/>
  <c r="I34" s="1"/>
  <c r="G20" i="47"/>
  <c r="C83" i="20"/>
  <c r="G43" i="37"/>
  <c r="G37"/>
  <c r="C17" i="24"/>
  <c r="C45"/>
  <c r="G55" i="37"/>
  <c r="H19" l="1"/>
  <c r="F99" i="13"/>
  <c r="V109" i="50"/>
  <c r="U109" s="1"/>
  <c r="V79"/>
  <c r="V59"/>
  <c r="V69"/>
  <c r="V49"/>
  <c r="V119"/>
  <c r="V89"/>
  <c r="E31" i="14"/>
  <c r="C12" i="21"/>
  <c r="D97"/>
  <c r="E17"/>
  <c r="J17" i="13"/>
  <c r="A65" i="26"/>
  <c r="H64"/>
  <c r="G63" s="1"/>
  <c r="E66" i="22"/>
  <c r="B70" i="23"/>
  <c r="H17" i="24"/>
  <c r="G60" i="3"/>
  <c r="H60" s="1"/>
  <c r="I60" s="1"/>
  <c r="F73" i="13"/>
  <c r="V99" i="50"/>
  <c r="Q30" i="3"/>
  <c r="R30" s="1"/>
  <c r="G23" i="48"/>
  <c r="G47" s="1"/>
  <c r="V39" i="50"/>
  <c r="F57" i="13"/>
  <c r="AB119" i="50" s="1"/>
  <c r="G44" i="3"/>
  <c r="H44" s="1"/>
  <c r="I44" s="1"/>
  <c r="J110" i="13"/>
  <c r="AI5" i="3" s="1"/>
  <c r="H45" i="24"/>
  <c r="E51" i="21"/>
  <c r="D93"/>
  <c r="B17" i="40"/>
  <c r="E13" i="42"/>
  <c r="F51" i="13"/>
  <c r="G38" i="3"/>
  <c r="H38" s="1"/>
  <c r="I38" s="1"/>
  <c r="J94" i="13"/>
  <c r="AI2" i="3" s="1"/>
  <c r="E14" i="42"/>
  <c r="B18" i="40"/>
  <c r="E71" i="22"/>
  <c r="B75" i="23"/>
  <c r="B45"/>
  <c r="E41" i="22"/>
  <c r="AL12" i="3"/>
  <c r="G17" i="36" s="1"/>
  <c r="G18" s="1"/>
  <c r="K10" s="1"/>
  <c r="AK12" i="3"/>
  <c r="D17" i="15"/>
  <c r="C49" i="20"/>
  <c r="C47"/>
  <c r="G47" s="1"/>
  <c r="G84" s="1"/>
  <c r="D15" i="15"/>
  <c r="K52" i="36"/>
  <c r="C88"/>
  <c r="G86"/>
  <c r="G51"/>
  <c r="E10" i="22"/>
  <c r="E92" s="1"/>
  <c r="B14" i="23"/>
  <c r="F105" i="13"/>
  <c r="AT9" i="50"/>
  <c r="H21" i="37"/>
  <c r="J54"/>
  <c r="AI12" i="3" s="1"/>
  <c r="L54" i="37"/>
  <c r="AE12" i="3" s="1"/>
  <c r="AK10"/>
  <c r="AL10"/>
  <c r="E25" i="34" s="1"/>
  <c r="E34" s="1"/>
  <c r="E35" i="22"/>
  <c r="J29" i="50"/>
  <c r="B39" i="23"/>
  <c r="J36" i="37"/>
  <c r="G47" i="47"/>
  <c r="G49" s="1"/>
  <c r="G19" i="42"/>
  <c r="G20" s="1"/>
  <c r="G90" i="22"/>
  <c r="G34" i="41"/>
  <c r="G35" s="1"/>
  <c r="E90" i="22"/>
  <c r="A93" i="21"/>
  <c r="A97"/>
  <c r="B47" i="47"/>
  <c r="AB79" i="50" l="1"/>
  <c r="AB109"/>
  <c r="AB59"/>
  <c r="AB69"/>
  <c r="AB49"/>
  <c r="AB89"/>
  <c r="P415" i="3"/>
  <c r="Q415" s="1"/>
  <c r="R415" s="1"/>
  <c r="P438"/>
  <c r="Q438" s="1"/>
  <c r="R438" s="1"/>
  <c r="P389"/>
  <c r="Q389" s="1"/>
  <c r="R389" s="1"/>
  <c r="P346"/>
  <c r="Q346" s="1"/>
  <c r="R346" s="1"/>
  <c r="P304"/>
  <c r="Q304" s="1"/>
  <c r="R304" s="1"/>
  <c r="P261"/>
  <c r="Q261" s="1"/>
  <c r="R261" s="1"/>
  <c r="P236"/>
  <c r="Q236" s="1"/>
  <c r="R236" s="1"/>
  <c r="P214"/>
  <c r="Q214" s="1"/>
  <c r="R214" s="1"/>
  <c r="P193"/>
  <c r="Q193" s="1"/>
  <c r="R193" s="1"/>
  <c r="P431"/>
  <c r="Q431" s="1"/>
  <c r="R431" s="1"/>
  <c r="P392"/>
  <c r="Q392" s="1"/>
  <c r="R392" s="1"/>
  <c r="P306"/>
  <c r="Q306" s="1"/>
  <c r="R306" s="1"/>
  <c r="P237"/>
  <c r="Q237" s="1"/>
  <c r="R237" s="1"/>
  <c r="P194"/>
  <c r="Q194" s="1"/>
  <c r="R194" s="1"/>
  <c r="P376"/>
  <c r="Q376" s="1"/>
  <c r="R376" s="1"/>
  <c r="P344"/>
  <c r="Q344" s="1"/>
  <c r="R344" s="1"/>
  <c r="P365"/>
  <c r="Q365" s="1"/>
  <c r="R365" s="1"/>
  <c r="P408"/>
  <c r="Q408" s="1"/>
  <c r="R408" s="1"/>
  <c r="P483"/>
  <c r="Q483" s="1"/>
  <c r="R483" s="1"/>
  <c r="P391"/>
  <c r="Q391" s="1"/>
  <c r="R391" s="1"/>
  <c r="P488"/>
  <c r="Q488" s="1"/>
  <c r="R488" s="1"/>
  <c r="P430"/>
  <c r="Q430" s="1"/>
  <c r="R430" s="1"/>
  <c r="P406"/>
  <c r="Q406" s="1"/>
  <c r="R406" s="1"/>
  <c r="P385"/>
  <c r="Q385" s="1"/>
  <c r="R385" s="1"/>
  <c r="P364"/>
  <c r="Q364" s="1"/>
  <c r="R364" s="1"/>
  <c r="P342"/>
  <c r="Q342" s="1"/>
  <c r="R342" s="1"/>
  <c r="P321"/>
  <c r="Q321" s="1"/>
  <c r="R321" s="1"/>
  <c r="P300"/>
  <c r="Q300" s="1"/>
  <c r="R300" s="1"/>
  <c r="P278"/>
  <c r="Q278" s="1"/>
  <c r="R278" s="1"/>
  <c r="P258"/>
  <c r="Q258" s="1"/>
  <c r="R258" s="1"/>
  <c r="P319"/>
  <c r="Q319" s="1"/>
  <c r="R319" s="1"/>
  <c r="P416"/>
  <c r="Q416" s="1"/>
  <c r="R416" s="1"/>
  <c r="P373"/>
  <c r="Q373" s="1"/>
  <c r="R373" s="1"/>
  <c r="P330"/>
  <c r="Q330" s="1"/>
  <c r="R330" s="1"/>
  <c r="P288"/>
  <c r="Q288" s="1"/>
  <c r="R288" s="1"/>
  <c r="P249"/>
  <c r="Q249" s="1"/>
  <c r="R249" s="1"/>
  <c r="P228"/>
  <c r="Q228" s="1"/>
  <c r="R228" s="1"/>
  <c r="P206"/>
  <c r="Q206" s="1"/>
  <c r="R206" s="1"/>
  <c r="P185"/>
  <c r="Q185" s="1"/>
  <c r="R185" s="1"/>
  <c r="P367"/>
  <c r="Q367" s="1"/>
  <c r="R367" s="1"/>
  <c r="P381"/>
  <c r="Q381" s="1"/>
  <c r="R381" s="1"/>
  <c r="P296"/>
  <c r="Q296" s="1"/>
  <c r="R296" s="1"/>
  <c r="P232"/>
  <c r="Q232" s="1"/>
  <c r="R232" s="1"/>
  <c r="P189"/>
  <c r="Q189" s="1"/>
  <c r="R189" s="1"/>
  <c r="P397"/>
  <c r="Q397" s="1"/>
  <c r="R397" s="1"/>
  <c r="P386"/>
  <c r="Q386" s="1"/>
  <c r="R386" s="1"/>
  <c r="P271"/>
  <c r="Q271" s="1"/>
  <c r="R271" s="1"/>
  <c r="P176"/>
  <c r="Q176" s="1"/>
  <c r="R176" s="1"/>
  <c r="P181"/>
  <c r="Q181" s="1"/>
  <c r="R181" s="1"/>
  <c r="P497"/>
  <c r="Q497" s="1"/>
  <c r="R497" s="1"/>
  <c r="P34"/>
  <c r="Q34" s="1"/>
  <c r="R34" s="1"/>
  <c r="P67"/>
  <c r="Q67" s="1"/>
  <c r="R67" s="1"/>
  <c r="P64"/>
  <c r="Q64" s="1"/>
  <c r="R64" s="1"/>
  <c r="P88"/>
  <c r="Q88" s="1"/>
  <c r="R88" s="1"/>
  <c r="P98"/>
  <c r="Q98" s="1"/>
  <c r="R98" s="1"/>
  <c r="P109"/>
  <c r="Q109" s="1"/>
  <c r="R109" s="1"/>
  <c r="P117"/>
  <c r="Q117" s="1"/>
  <c r="R117" s="1"/>
  <c r="P125"/>
  <c r="Q125" s="1"/>
  <c r="R125" s="1"/>
  <c r="P130"/>
  <c r="Q130" s="1"/>
  <c r="R130" s="1"/>
  <c r="P136"/>
  <c r="Q136" s="1"/>
  <c r="R136" s="1"/>
  <c r="P141"/>
  <c r="Q141" s="1"/>
  <c r="R141" s="1"/>
  <c r="P146"/>
  <c r="Q146" s="1"/>
  <c r="R146" s="1"/>
  <c r="P152"/>
  <c r="Q152" s="1"/>
  <c r="R152" s="1"/>
  <c r="P157"/>
  <c r="Q157" s="1"/>
  <c r="R157" s="1"/>
  <c r="P162"/>
  <c r="Q162" s="1"/>
  <c r="R162" s="1"/>
  <c r="P168"/>
  <c r="Q168" s="1"/>
  <c r="R168" s="1"/>
  <c r="P173"/>
  <c r="Q173" s="1"/>
  <c r="R173" s="1"/>
  <c r="P199"/>
  <c r="Q199" s="1"/>
  <c r="R199" s="1"/>
  <c r="P231"/>
  <c r="Q231" s="1"/>
  <c r="R231" s="1"/>
  <c r="P259"/>
  <c r="Q259" s="1"/>
  <c r="R259" s="1"/>
  <c r="P41"/>
  <c r="Q41" s="1"/>
  <c r="R41" s="1"/>
  <c r="P35"/>
  <c r="Q35" s="1"/>
  <c r="R35" s="1"/>
  <c r="P55"/>
  <c r="Q55" s="1"/>
  <c r="R55" s="1"/>
  <c r="P68"/>
  <c r="Q68" s="1"/>
  <c r="R68" s="1"/>
  <c r="P58"/>
  <c r="Q58" s="1"/>
  <c r="R58" s="1"/>
  <c r="P72"/>
  <c r="Q72" s="1"/>
  <c r="R72" s="1"/>
  <c r="P87"/>
  <c r="Q87" s="1"/>
  <c r="R87" s="1"/>
  <c r="P103"/>
  <c r="Q103" s="1"/>
  <c r="R103" s="1"/>
  <c r="P119"/>
  <c r="Q119" s="1"/>
  <c r="R119" s="1"/>
  <c r="P135"/>
  <c r="Q135" s="1"/>
  <c r="R135" s="1"/>
  <c r="P151"/>
  <c r="Q151" s="1"/>
  <c r="R151" s="1"/>
  <c r="P167"/>
  <c r="Q167" s="1"/>
  <c r="R167" s="1"/>
  <c r="P195"/>
  <c r="Q195" s="1"/>
  <c r="R195" s="1"/>
  <c r="P227"/>
  <c r="Q227" s="1"/>
  <c r="R227" s="1"/>
  <c r="P482"/>
  <c r="Q482" s="1"/>
  <c r="R482" s="1"/>
  <c r="P471"/>
  <c r="Q471" s="1"/>
  <c r="R471" s="1"/>
  <c r="P459"/>
  <c r="Q459" s="1"/>
  <c r="R459" s="1"/>
  <c r="P427"/>
  <c r="Q427" s="1"/>
  <c r="R427" s="1"/>
  <c r="P395"/>
  <c r="Q395" s="1"/>
  <c r="R395" s="1"/>
  <c r="P363"/>
  <c r="Q363" s="1"/>
  <c r="R363" s="1"/>
  <c r="P331"/>
  <c r="Q331" s="1"/>
  <c r="R331" s="1"/>
  <c r="P299"/>
  <c r="Q299" s="1"/>
  <c r="R299" s="1"/>
  <c r="P496"/>
  <c r="Q496" s="1"/>
  <c r="R496" s="1"/>
  <c r="P468"/>
  <c r="Q468" s="1"/>
  <c r="R468" s="1"/>
  <c r="P453"/>
  <c r="Q453" s="1"/>
  <c r="R453" s="1"/>
  <c r="P442"/>
  <c r="Q442" s="1"/>
  <c r="R442" s="1"/>
  <c r="P432"/>
  <c r="Q432" s="1"/>
  <c r="R432" s="1"/>
  <c r="P499"/>
  <c r="Q499" s="1"/>
  <c r="R499" s="1"/>
  <c r="P464"/>
  <c r="Q464" s="1"/>
  <c r="R464" s="1"/>
  <c r="P407"/>
  <c r="Q407" s="1"/>
  <c r="R407" s="1"/>
  <c r="P343"/>
  <c r="Q343" s="1"/>
  <c r="R343" s="1"/>
  <c r="P279"/>
  <c r="Q279" s="1"/>
  <c r="R279" s="1"/>
  <c r="P457"/>
  <c r="Q457" s="1"/>
  <c r="R457" s="1"/>
  <c r="P436"/>
  <c r="Q436" s="1"/>
  <c r="R436" s="1"/>
  <c r="P420"/>
  <c r="Q420" s="1"/>
  <c r="R420" s="1"/>
  <c r="P409"/>
  <c r="Q409" s="1"/>
  <c r="R409" s="1"/>
  <c r="P398"/>
  <c r="Q398" s="1"/>
  <c r="R398" s="1"/>
  <c r="P388"/>
  <c r="Q388" s="1"/>
  <c r="R388" s="1"/>
  <c r="P377"/>
  <c r="Q377" s="1"/>
  <c r="R377" s="1"/>
  <c r="P366"/>
  <c r="Q366" s="1"/>
  <c r="R366" s="1"/>
  <c r="P356"/>
  <c r="Q356" s="1"/>
  <c r="R356" s="1"/>
  <c r="P345"/>
  <c r="Q345" s="1"/>
  <c r="R345" s="1"/>
  <c r="P334"/>
  <c r="Q334" s="1"/>
  <c r="R334" s="1"/>
  <c r="P324"/>
  <c r="Q324" s="1"/>
  <c r="R324" s="1"/>
  <c r="P313"/>
  <c r="Q313" s="1"/>
  <c r="R313" s="1"/>
  <c r="P302"/>
  <c r="Q302" s="1"/>
  <c r="R302" s="1"/>
  <c r="P292"/>
  <c r="Q292" s="1"/>
  <c r="R292" s="1"/>
  <c r="P281"/>
  <c r="Q281" s="1"/>
  <c r="R281" s="1"/>
  <c r="P270"/>
  <c r="Q270" s="1"/>
  <c r="R270" s="1"/>
  <c r="P260"/>
  <c r="Q260" s="1"/>
  <c r="R260" s="1"/>
  <c r="P494"/>
  <c r="Q494" s="1"/>
  <c r="R494" s="1"/>
  <c r="P492"/>
  <c r="Q492" s="1"/>
  <c r="R492" s="1"/>
  <c r="P42"/>
  <c r="Q42" s="1"/>
  <c r="R42" s="1"/>
  <c r="P60"/>
  <c r="Q60" s="1"/>
  <c r="R60" s="1"/>
  <c r="P57"/>
  <c r="Q57" s="1"/>
  <c r="R57" s="1"/>
  <c r="P85"/>
  <c r="Q85" s="1"/>
  <c r="R85" s="1"/>
  <c r="P96"/>
  <c r="Q96" s="1"/>
  <c r="R96" s="1"/>
  <c r="P106"/>
  <c r="Q106" s="1"/>
  <c r="R106" s="1"/>
  <c r="P120"/>
  <c r="Q120" s="1"/>
  <c r="R120" s="1"/>
  <c r="P495"/>
  <c r="Q495" s="1"/>
  <c r="R495" s="1"/>
  <c r="P493"/>
  <c r="Q493" s="1"/>
  <c r="R493" s="1"/>
  <c r="P43"/>
  <c r="Q43" s="1"/>
  <c r="R43" s="1"/>
  <c r="P49"/>
  <c r="Q49" s="1"/>
  <c r="R49" s="1"/>
  <c r="P44"/>
  <c r="Q44" s="1"/>
  <c r="R44" s="1"/>
  <c r="P65"/>
  <c r="Q65" s="1"/>
  <c r="R65" s="1"/>
  <c r="P78"/>
  <c r="Q78" s="1"/>
  <c r="R78" s="1"/>
  <c r="P59"/>
  <c r="Q59" s="1"/>
  <c r="R59" s="1"/>
  <c r="P81"/>
  <c r="Q81" s="1"/>
  <c r="R81" s="1"/>
  <c r="P86"/>
  <c r="Q86" s="1"/>
  <c r="R86" s="1"/>
  <c r="P92"/>
  <c r="Q92" s="1"/>
  <c r="R92" s="1"/>
  <c r="P97"/>
  <c r="Q97" s="1"/>
  <c r="R97" s="1"/>
  <c r="P102"/>
  <c r="Q102" s="1"/>
  <c r="R102" s="1"/>
  <c r="P108"/>
  <c r="Q108" s="1"/>
  <c r="R108" s="1"/>
  <c r="P113"/>
  <c r="Q113" s="1"/>
  <c r="R113" s="1"/>
  <c r="P118"/>
  <c r="Q118" s="1"/>
  <c r="R118" s="1"/>
  <c r="P124"/>
  <c r="Q124" s="1"/>
  <c r="R124" s="1"/>
  <c r="P129"/>
  <c r="Q129" s="1"/>
  <c r="R129" s="1"/>
  <c r="P134"/>
  <c r="Q134" s="1"/>
  <c r="R134" s="1"/>
  <c r="P140"/>
  <c r="Q140" s="1"/>
  <c r="R140" s="1"/>
  <c r="P145"/>
  <c r="Q145" s="1"/>
  <c r="R145" s="1"/>
  <c r="P150"/>
  <c r="Q150" s="1"/>
  <c r="R150" s="1"/>
  <c r="P156"/>
  <c r="Q156" s="1"/>
  <c r="R156" s="1"/>
  <c r="P161"/>
  <c r="Q161" s="1"/>
  <c r="R161" s="1"/>
  <c r="P166"/>
  <c r="Q166" s="1"/>
  <c r="R166" s="1"/>
  <c r="P172"/>
  <c r="Q172" s="1"/>
  <c r="R172" s="1"/>
  <c r="P191"/>
  <c r="Q191" s="1"/>
  <c r="R191" s="1"/>
  <c r="P223"/>
  <c r="Q223" s="1"/>
  <c r="R223" s="1"/>
  <c r="P255"/>
  <c r="Q255" s="1"/>
  <c r="R255" s="1"/>
  <c r="P45"/>
  <c r="Q45" s="1"/>
  <c r="R45" s="1"/>
  <c r="P32"/>
  <c r="Q32" s="1"/>
  <c r="R32" s="1"/>
  <c r="P53"/>
  <c r="Q53" s="1"/>
  <c r="R53" s="1"/>
  <c r="P66"/>
  <c r="Q66" s="1"/>
  <c r="R66" s="1"/>
  <c r="P51"/>
  <c r="Q51" s="1"/>
  <c r="R51" s="1"/>
  <c r="P69"/>
  <c r="Q69" s="1"/>
  <c r="R69" s="1"/>
  <c r="P83"/>
  <c r="Q83" s="1"/>
  <c r="R83" s="1"/>
  <c r="P99"/>
  <c r="Q99" s="1"/>
  <c r="R99" s="1"/>
  <c r="P115"/>
  <c r="Q115" s="1"/>
  <c r="R115" s="1"/>
  <c r="P131"/>
  <c r="Q131" s="1"/>
  <c r="R131" s="1"/>
  <c r="P147"/>
  <c r="Q147" s="1"/>
  <c r="R147" s="1"/>
  <c r="P163"/>
  <c r="Q163" s="1"/>
  <c r="R163" s="1"/>
  <c r="P187"/>
  <c r="Q187" s="1"/>
  <c r="R187" s="1"/>
  <c r="P219"/>
  <c r="Q219" s="1"/>
  <c r="R219" s="1"/>
  <c r="P251"/>
  <c r="Q251" s="1"/>
  <c r="R251" s="1"/>
  <c r="P481"/>
  <c r="Q481" s="1"/>
  <c r="R481" s="1"/>
  <c r="P470"/>
  <c r="Q470" s="1"/>
  <c r="R470" s="1"/>
  <c r="P451"/>
  <c r="Q451" s="1"/>
  <c r="R451" s="1"/>
  <c r="P419"/>
  <c r="Q419" s="1"/>
  <c r="R419" s="1"/>
  <c r="P387"/>
  <c r="Q387" s="1"/>
  <c r="R387" s="1"/>
  <c r="P355"/>
  <c r="Q355" s="1"/>
  <c r="R355" s="1"/>
  <c r="P323"/>
  <c r="Q323" s="1"/>
  <c r="R323" s="1"/>
  <c r="P291"/>
  <c r="Q291" s="1"/>
  <c r="R291" s="1"/>
  <c r="P487"/>
  <c r="Q487" s="1"/>
  <c r="R487" s="1"/>
  <c r="P462"/>
  <c r="Q462" s="1"/>
  <c r="R462" s="1"/>
  <c r="P450"/>
  <c r="Q450" s="1"/>
  <c r="R450" s="1"/>
  <c r="P440"/>
  <c r="Q440" s="1"/>
  <c r="R440" s="1"/>
  <c r="P429"/>
  <c r="Q429" s="1"/>
  <c r="R429" s="1"/>
  <c r="P461"/>
  <c r="Q461" s="1"/>
  <c r="R461" s="1"/>
  <c r="P400"/>
  <c r="Q400" s="1"/>
  <c r="R400" s="1"/>
  <c r="P357"/>
  <c r="Q357" s="1"/>
  <c r="R357" s="1"/>
  <c r="P314"/>
  <c r="Q314" s="1"/>
  <c r="R314" s="1"/>
  <c r="P272"/>
  <c r="Q272" s="1"/>
  <c r="R272" s="1"/>
  <c r="P241"/>
  <c r="Q241" s="1"/>
  <c r="R241" s="1"/>
  <c r="P220"/>
  <c r="Q220" s="1"/>
  <c r="R220" s="1"/>
  <c r="P198"/>
  <c r="Q198" s="1"/>
  <c r="R198" s="1"/>
  <c r="P177"/>
  <c r="Q177" s="1"/>
  <c r="R177" s="1"/>
  <c r="P413"/>
  <c r="Q413" s="1"/>
  <c r="R413" s="1"/>
  <c r="P328"/>
  <c r="Q328" s="1"/>
  <c r="R328" s="1"/>
  <c r="P248"/>
  <c r="Q248" s="1"/>
  <c r="R248" s="1"/>
  <c r="P205"/>
  <c r="Q205" s="1"/>
  <c r="R205" s="1"/>
  <c r="P418"/>
  <c r="Q418" s="1"/>
  <c r="R418" s="1"/>
  <c r="P433"/>
  <c r="Q433" s="1"/>
  <c r="R433" s="1"/>
  <c r="P218"/>
  <c r="Q218" s="1"/>
  <c r="R218" s="1"/>
  <c r="P186"/>
  <c r="Q186" s="1"/>
  <c r="R186" s="1"/>
  <c r="P234"/>
  <c r="Q234" s="1"/>
  <c r="R234" s="1"/>
  <c r="P423"/>
  <c r="Q423" s="1"/>
  <c r="R423" s="1"/>
  <c r="P295"/>
  <c r="Q295" s="1"/>
  <c r="R295" s="1"/>
  <c r="P441"/>
  <c r="Q441" s="1"/>
  <c r="R441" s="1"/>
  <c r="P412"/>
  <c r="Q412" s="1"/>
  <c r="R412" s="1"/>
  <c r="P390"/>
  <c r="Q390" s="1"/>
  <c r="R390" s="1"/>
  <c r="P369"/>
  <c r="Q369" s="1"/>
  <c r="R369" s="1"/>
  <c r="P348"/>
  <c r="Q348" s="1"/>
  <c r="R348" s="1"/>
  <c r="P326"/>
  <c r="Q326" s="1"/>
  <c r="R326" s="1"/>
  <c r="P305"/>
  <c r="Q305" s="1"/>
  <c r="R305" s="1"/>
  <c r="P284"/>
  <c r="Q284" s="1"/>
  <c r="R284" s="1"/>
  <c r="P262"/>
  <c r="Q262" s="1"/>
  <c r="R262" s="1"/>
  <c r="P383"/>
  <c r="Q383" s="1"/>
  <c r="R383" s="1"/>
  <c r="P428"/>
  <c r="Q428" s="1"/>
  <c r="R428" s="1"/>
  <c r="P384"/>
  <c r="Q384" s="1"/>
  <c r="R384" s="1"/>
  <c r="P341"/>
  <c r="Q341" s="1"/>
  <c r="R341" s="1"/>
  <c r="P298"/>
  <c r="Q298" s="1"/>
  <c r="R298" s="1"/>
  <c r="P256"/>
  <c r="Q256" s="1"/>
  <c r="R256" s="1"/>
  <c r="P233"/>
  <c r="Q233" s="1"/>
  <c r="R233" s="1"/>
  <c r="P212"/>
  <c r="Q212" s="1"/>
  <c r="R212" s="1"/>
  <c r="P190"/>
  <c r="Q190" s="1"/>
  <c r="R190" s="1"/>
  <c r="P472"/>
  <c r="Q472" s="1"/>
  <c r="R472" s="1"/>
  <c r="P402"/>
  <c r="Q402" s="1"/>
  <c r="R402" s="1"/>
  <c r="P317"/>
  <c r="Q317" s="1"/>
  <c r="R317" s="1"/>
  <c r="P242"/>
  <c r="Q242" s="1"/>
  <c r="R242" s="1"/>
  <c r="P200"/>
  <c r="Q200" s="1"/>
  <c r="R200" s="1"/>
  <c r="P454"/>
  <c r="Q454" s="1"/>
  <c r="R454" s="1"/>
  <c r="P399"/>
  <c r="Q399" s="1"/>
  <c r="R399" s="1"/>
  <c r="P229"/>
  <c r="Q229" s="1"/>
  <c r="R229" s="1"/>
  <c r="P197"/>
  <c r="Q197" s="1"/>
  <c r="R197" s="1"/>
  <c r="P202"/>
  <c r="Q202" s="1"/>
  <c r="R202" s="1"/>
  <c r="P466"/>
  <c r="Q466" s="1"/>
  <c r="R466" s="1"/>
  <c r="P287"/>
  <c r="Q287" s="1"/>
  <c r="R287" s="1"/>
  <c r="P410"/>
  <c r="Q410" s="1"/>
  <c r="R410" s="1"/>
  <c r="P368"/>
  <c r="Q368" s="1"/>
  <c r="R368" s="1"/>
  <c r="P325"/>
  <c r="Q325" s="1"/>
  <c r="R325" s="1"/>
  <c r="P282"/>
  <c r="Q282" s="1"/>
  <c r="R282" s="1"/>
  <c r="P246"/>
  <c r="Q246" s="1"/>
  <c r="R246" s="1"/>
  <c r="P225"/>
  <c r="Q225" s="1"/>
  <c r="R225" s="1"/>
  <c r="P204"/>
  <c r="Q204" s="1"/>
  <c r="R204" s="1"/>
  <c r="P182"/>
  <c r="Q182" s="1"/>
  <c r="R182" s="1"/>
  <c r="P444"/>
  <c r="Q444" s="1"/>
  <c r="R444" s="1"/>
  <c r="P349"/>
  <c r="Q349" s="1"/>
  <c r="R349" s="1"/>
  <c r="P264"/>
  <c r="Q264" s="1"/>
  <c r="R264" s="1"/>
  <c r="P216"/>
  <c r="Q216" s="1"/>
  <c r="R216" s="1"/>
  <c r="P335"/>
  <c r="Q335" s="1"/>
  <c r="R335" s="1"/>
  <c r="P290"/>
  <c r="Q290" s="1"/>
  <c r="R290" s="1"/>
  <c r="P240"/>
  <c r="Q240" s="1"/>
  <c r="R240" s="1"/>
  <c r="P208"/>
  <c r="Q208" s="1"/>
  <c r="R208" s="1"/>
  <c r="P322"/>
  <c r="Q322" s="1"/>
  <c r="R322" s="1"/>
  <c r="P455"/>
  <c r="Q455" s="1"/>
  <c r="R455" s="1"/>
  <c r="P327"/>
  <c r="Q327" s="1"/>
  <c r="R327" s="1"/>
  <c r="P452"/>
  <c r="Q452" s="1"/>
  <c r="R452" s="1"/>
  <c r="P417"/>
  <c r="Q417" s="1"/>
  <c r="R417" s="1"/>
  <c r="P396"/>
  <c r="Q396" s="1"/>
  <c r="R396" s="1"/>
  <c r="P374"/>
  <c r="Q374" s="1"/>
  <c r="R374" s="1"/>
  <c r="P353"/>
  <c r="Q353" s="1"/>
  <c r="R353" s="1"/>
  <c r="P332"/>
  <c r="Q332" s="1"/>
  <c r="R332" s="1"/>
  <c r="P310"/>
  <c r="Q310" s="1"/>
  <c r="R310" s="1"/>
  <c r="P289"/>
  <c r="Q289" s="1"/>
  <c r="R289" s="1"/>
  <c r="P268"/>
  <c r="Q268" s="1"/>
  <c r="R268" s="1"/>
  <c r="P447"/>
  <c r="Q447" s="1"/>
  <c r="R447" s="1"/>
  <c r="P449"/>
  <c r="Q449" s="1"/>
  <c r="R449" s="1"/>
  <c r="P394"/>
  <c r="Q394" s="1"/>
  <c r="R394" s="1"/>
  <c r="P352"/>
  <c r="Q352" s="1"/>
  <c r="R352" s="1"/>
  <c r="P309"/>
  <c r="Q309" s="1"/>
  <c r="R309" s="1"/>
  <c r="P266"/>
  <c r="Q266" s="1"/>
  <c r="R266" s="1"/>
  <c r="P238"/>
  <c r="Q238" s="1"/>
  <c r="R238" s="1"/>
  <c r="P217"/>
  <c r="Q217" s="1"/>
  <c r="R217" s="1"/>
  <c r="P196"/>
  <c r="Q196" s="1"/>
  <c r="R196" s="1"/>
  <c r="P174"/>
  <c r="Q174" s="1"/>
  <c r="R174" s="1"/>
  <c r="P424"/>
  <c r="Q424" s="1"/>
  <c r="R424" s="1"/>
  <c r="P338"/>
  <c r="Q338" s="1"/>
  <c r="R338" s="1"/>
  <c r="P253"/>
  <c r="Q253" s="1"/>
  <c r="R253" s="1"/>
  <c r="P210"/>
  <c r="Q210" s="1"/>
  <c r="R210" s="1"/>
  <c r="P460"/>
  <c r="Q460" s="1"/>
  <c r="R460" s="1"/>
  <c r="P312"/>
  <c r="Q312" s="1"/>
  <c r="R312" s="1"/>
  <c r="P250"/>
  <c r="Q250" s="1"/>
  <c r="R250" s="1"/>
  <c r="P224"/>
  <c r="Q224" s="1"/>
  <c r="R224" s="1"/>
  <c r="P192"/>
  <c r="Q192" s="1"/>
  <c r="R192" s="1"/>
  <c r="P486"/>
  <c r="Q486" s="1"/>
  <c r="R486" s="1"/>
  <c r="P31"/>
  <c r="Q31" s="1"/>
  <c r="R31" s="1"/>
  <c r="P50"/>
  <c r="Q50" s="1"/>
  <c r="R50" s="1"/>
  <c r="P79"/>
  <c r="Q79" s="1"/>
  <c r="R79" s="1"/>
  <c r="P82"/>
  <c r="Q82" s="1"/>
  <c r="R82" s="1"/>
  <c r="P93"/>
  <c r="Q93" s="1"/>
  <c r="R93" s="1"/>
  <c r="P104"/>
  <c r="Q104" s="1"/>
  <c r="R104" s="1"/>
  <c r="P114"/>
  <c r="Q114" s="1"/>
  <c r="R114" s="1"/>
  <c r="P122"/>
  <c r="Q122" s="1"/>
  <c r="R122" s="1"/>
  <c r="P128"/>
  <c r="Q128" s="1"/>
  <c r="R128" s="1"/>
  <c r="P133"/>
  <c r="Q133" s="1"/>
  <c r="R133" s="1"/>
  <c r="P138"/>
  <c r="Q138" s="1"/>
  <c r="R138" s="1"/>
  <c r="P144"/>
  <c r="Q144" s="1"/>
  <c r="R144" s="1"/>
  <c r="P149"/>
  <c r="Q149" s="1"/>
  <c r="R149" s="1"/>
  <c r="P154"/>
  <c r="Q154" s="1"/>
  <c r="R154" s="1"/>
  <c r="P160"/>
  <c r="Q160" s="1"/>
  <c r="R160" s="1"/>
  <c r="P165"/>
  <c r="Q165" s="1"/>
  <c r="R165" s="1"/>
  <c r="P170"/>
  <c r="Q170" s="1"/>
  <c r="R170" s="1"/>
  <c r="P183"/>
  <c r="Q183" s="1"/>
  <c r="R183" s="1"/>
  <c r="P215"/>
  <c r="Q215" s="1"/>
  <c r="R215" s="1"/>
  <c r="P247"/>
  <c r="Q247" s="1"/>
  <c r="R247" s="1"/>
  <c r="P267"/>
  <c r="Q267" s="1"/>
  <c r="R267" s="1"/>
  <c r="P48"/>
  <c r="Q48" s="1"/>
  <c r="R48" s="1"/>
  <c r="P46"/>
  <c r="Q46" s="1"/>
  <c r="R46" s="1"/>
  <c r="P62"/>
  <c r="Q62" s="1"/>
  <c r="R62" s="1"/>
  <c r="P77"/>
  <c r="Q77" s="1"/>
  <c r="R77" s="1"/>
  <c r="P63"/>
  <c r="Q63" s="1"/>
  <c r="R63" s="1"/>
  <c r="P76"/>
  <c r="Q76" s="1"/>
  <c r="R76" s="1"/>
  <c r="P95"/>
  <c r="Q95" s="1"/>
  <c r="R95" s="1"/>
  <c r="P111"/>
  <c r="Q111" s="1"/>
  <c r="R111" s="1"/>
  <c r="P127"/>
  <c r="Q127" s="1"/>
  <c r="R127" s="1"/>
  <c r="P143"/>
  <c r="Q143" s="1"/>
  <c r="R143" s="1"/>
  <c r="P159"/>
  <c r="Q159" s="1"/>
  <c r="R159" s="1"/>
  <c r="P179"/>
  <c r="Q179" s="1"/>
  <c r="R179" s="1"/>
  <c r="P211"/>
  <c r="Q211" s="1"/>
  <c r="R211" s="1"/>
  <c r="P243"/>
  <c r="Q243" s="1"/>
  <c r="R243" s="1"/>
  <c r="P477"/>
  <c r="Q477" s="1"/>
  <c r="R477" s="1"/>
  <c r="P467"/>
  <c r="Q467" s="1"/>
  <c r="R467" s="1"/>
  <c r="P443"/>
  <c r="Q443" s="1"/>
  <c r="R443" s="1"/>
  <c r="P411"/>
  <c r="Q411" s="1"/>
  <c r="R411" s="1"/>
  <c r="P379"/>
  <c r="Q379" s="1"/>
  <c r="R379" s="1"/>
  <c r="P347"/>
  <c r="Q347" s="1"/>
  <c r="R347" s="1"/>
  <c r="P315"/>
  <c r="Q315" s="1"/>
  <c r="R315" s="1"/>
  <c r="P283"/>
  <c r="Q283" s="1"/>
  <c r="R283" s="1"/>
  <c r="P479"/>
  <c r="Q479" s="1"/>
  <c r="R479" s="1"/>
  <c r="P458"/>
  <c r="Q458" s="1"/>
  <c r="R458" s="1"/>
  <c r="P448"/>
  <c r="Q448" s="1"/>
  <c r="R448" s="1"/>
  <c r="P437"/>
  <c r="Q437" s="1"/>
  <c r="R437" s="1"/>
  <c r="P426"/>
  <c r="Q426" s="1"/>
  <c r="R426" s="1"/>
  <c r="P478"/>
  <c r="Q478" s="1"/>
  <c r="R478" s="1"/>
  <c r="P439"/>
  <c r="Q439" s="1"/>
  <c r="R439" s="1"/>
  <c r="P375"/>
  <c r="Q375" s="1"/>
  <c r="R375" s="1"/>
  <c r="P311"/>
  <c r="Q311" s="1"/>
  <c r="R311" s="1"/>
  <c r="P475"/>
  <c r="Q475" s="1"/>
  <c r="R475" s="1"/>
  <c r="P446"/>
  <c r="Q446" s="1"/>
  <c r="R446" s="1"/>
  <c r="P425"/>
  <c r="Q425" s="1"/>
  <c r="R425" s="1"/>
  <c r="P414"/>
  <c r="Q414" s="1"/>
  <c r="R414" s="1"/>
  <c r="P404"/>
  <c r="Q404" s="1"/>
  <c r="R404" s="1"/>
  <c r="P393"/>
  <c r="Q393" s="1"/>
  <c r="R393" s="1"/>
  <c r="P382"/>
  <c r="Q382" s="1"/>
  <c r="R382" s="1"/>
  <c r="P372"/>
  <c r="Q372" s="1"/>
  <c r="R372" s="1"/>
  <c r="P361"/>
  <c r="Q361" s="1"/>
  <c r="R361" s="1"/>
  <c r="P350"/>
  <c r="Q350" s="1"/>
  <c r="R350" s="1"/>
  <c r="P340"/>
  <c r="Q340" s="1"/>
  <c r="R340" s="1"/>
  <c r="P329"/>
  <c r="Q329" s="1"/>
  <c r="R329" s="1"/>
  <c r="P318"/>
  <c r="Q318" s="1"/>
  <c r="R318" s="1"/>
  <c r="P308"/>
  <c r="Q308" s="1"/>
  <c r="R308" s="1"/>
  <c r="P297"/>
  <c r="Q297" s="1"/>
  <c r="R297" s="1"/>
  <c r="P286"/>
  <c r="Q286" s="1"/>
  <c r="R286" s="1"/>
  <c r="P276"/>
  <c r="Q276" s="1"/>
  <c r="R276" s="1"/>
  <c r="P265"/>
  <c r="Q265" s="1"/>
  <c r="R265" s="1"/>
  <c r="P254"/>
  <c r="Q254" s="1"/>
  <c r="R254" s="1"/>
  <c r="P498"/>
  <c r="Q498" s="1"/>
  <c r="R498" s="1"/>
  <c r="P36"/>
  <c r="Q36" s="1"/>
  <c r="R36" s="1"/>
  <c r="P40"/>
  <c r="Q40" s="1"/>
  <c r="R40" s="1"/>
  <c r="P74"/>
  <c r="Q74" s="1"/>
  <c r="R74" s="1"/>
  <c r="P80"/>
  <c r="Q80" s="1"/>
  <c r="R80" s="1"/>
  <c r="P90"/>
  <c r="Q90" s="1"/>
  <c r="R90" s="1"/>
  <c r="P101"/>
  <c r="Q101" s="1"/>
  <c r="R101" s="1"/>
  <c r="P112"/>
  <c r="Q112" s="1"/>
  <c r="R112" s="1"/>
  <c r="P489"/>
  <c r="Q489" s="1"/>
  <c r="R489" s="1"/>
  <c r="P490"/>
  <c r="Q490" s="1"/>
  <c r="R490" s="1"/>
  <c r="P33"/>
  <c r="Q33" s="1"/>
  <c r="R33" s="1"/>
  <c r="P39"/>
  <c r="Q39" s="1"/>
  <c r="R39" s="1"/>
  <c r="P37"/>
  <c r="Q37" s="1"/>
  <c r="R37" s="1"/>
  <c r="P54"/>
  <c r="Q54" s="1"/>
  <c r="R54" s="1"/>
  <c r="P70"/>
  <c r="Q70" s="1"/>
  <c r="R70" s="1"/>
  <c r="P52"/>
  <c r="Q52" s="1"/>
  <c r="R52" s="1"/>
  <c r="P75"/>
  <c r="Q75" s="1"/>
  <c r="R75" s="1"/>
  <c r="P84"/>
  <c r="Q84" s="1"/>
  <c r="R84" s="1"/>
  <c r="P89"/>
  <c r="Q89" s="1"/>
  <c r="R89" s="1"/>
  <c r="P94"/>
  <c r="Q94" s="1"/>
  <c r="R94" s="1"/>
  <c r="P100"/>
  <c r="Q100" s="1"/>
  <c r="R100" s="1"/>
  <c r="P105"/>
  <c r="Q105" s="1"/>
  <c r="R105" s="1"/>
  <c r="P110"/>
  <c r="Q110" s="1"/>
  <c r="R110" s="1"/>
  <c r="P116"/>
  <c r="Q116" s="1"/>
  <c r="R116" s="1"/>
  <c r="P121"/>
  <c r="Q121" s="1"/>
  <c r="R121" s="1"/>
  <c r="P126"/>
  <c r="Q126" s="1"/>
  <c r="R126" s="1"/>
  <c r="P132"/>
  <c r="Q132" s="1"/>
  <c r="R132" s="1"/>
  <c r="P137"/>
  <c r="Q137" s="1"/>
  <c r="R137" s="1"/>
  <c r="P142"/>
  <c r="Q142" s="1"/>
  <c r="R142" s="1"/>
  <c r="P148"/>
  <c r="Q148" s="1"/>
  <c r="R148" s="1"/>
  <c r="P153"/>
  <c r="Q153" s="1"/>
  <c r="R153" s="1"/>
  <c r="P158"/>
  <c r="Q158" s="1"/>
  <c r="R158" s="1"/>
  <c r="P164"/>
  <c r="Q164" s="1"/>
  <c r="R164" s="1"/>
  <c r="P169"/>
  <c r="Q169" s="1"/>
  <c r="R169" s="1"/>
  <c r="P175"/>
  <c r="Q175" s="1"/>
  <c r="R175" s="1"/>
  <c r="P207"/>
  <c r="Q207" s="1"/>
  <c r="R207" s="1"/>
  <c r="P239"/>
  <c r="Q239" s="1"/>
  <c r="R239" s="1"/>
  <c r="P263"/>
  <c r="Q263" s="1"/>
  <c r="R263" s="1"/>
  <c r="P47"/>
  <c r="Q47" s="1"/>
  <c r="R47" s="1"/>
  <c r="P38"/>
  <c r="Q38" s="1"/>
  <c r="R38" s="1"/>
  <c r="P56"/>
  <c r="Q56" s="1"/>
  <c r="R56" s="1"/>
  <c r="P71"/>
  <c r="Q71" s="1"/>
  <c r="R71" s="1"/>
  <c r="P61"/>
  <c r="Q61" s="1"/>
  <c r="R61" s="1"/>
  <c r="P73"/>
  <c r="Q73" s="1"/>
  <c r="R73" s="1"/>
  <c r="P91"/>
  <c r="Q91" s="1"/>
  <c r="R91" s="1"/>
  <c r="P107"/>
  <c r="Q107" s="1"/>
  <c r="R107" s="1"/>
  <c r="P123"/>
  <c r="Q123" s="1"/>
  <c r="R123" s="1"/>
  <c r="P139"/>
  <c r="Q139" s="1"/>
  <c r="R139" s="1"/>
  <c r="P155"/>
  <c r="Q155" s="1"/>
  <c r="R155" s="1"/>
  <c r="P171"/>
  <c r="Q171" s="1"/>
  <c r="R171" s="1"/>
  <c r="P203"/>
  <c r="Q203" s="1"/>
  <c r="R203" s="1"/>
  <c r="P235"/>
  <c r="Q235" s="1"/>
  <c r="R235" s="1"/>
  <c r="P491"/>
  <c r="Q491" s="1"/>
  <c r="R491" s="1"/>
  <c r="P476"/>
  <c r="Q476" s="1"/>
  <c r="R476" s="1"/>
  <c r="P463"/>
  <c r="Q463" s="1"/>
  <c r="R463" s="1"/>
  <c r="P435"/>
  <c r="Q435" s="1"/>
  <c r="R435" s="1"/>
  <c r="P403"/>
  <c r="Q403" s="1"/>
  <c r="R403" s="1"/>
  <c r="P371"/>
  <c r="Q371" s="1"/>
  <c r="R371" s="1"/>
  <c r="P339"/>
  <c r="Q339" s="1"/>
  <c r="R339" s="1"/>
  <c r="P307"/>
  <c r="Q307" s="1"/>
  <c r="R307" s="1"/>
  <c r="P275"/>
  <c r="Q275" s="1"/>
  <c r="R275" s="1"/>
  <c r="P474"/>
  <c r="Q474" s="1"/>
  <c r="R474" s="1"/>
  <c r="P456"/>
  <c r="Q456" s="1"/>
  <c r="R456" s="1"/>
  <c r="P445"/>
  <c r="Q445" s="1"/>
  <c r="R445" s="1"/>
  <c r="P434"/>
  <c r="Q434" s="1"/>
  <c r="R434" s="1"/>
  <c r="P351"/>
  <c r="Q351" s="1"/>
  <c r="R351" s="1"/>
  <c r="P421"/>
  <c r="Q421" s="1"/>
  <c r="R421" s="1"/>
  <c r="P378"/>
  <c r="Q378" s="1"/>
  <c r="R378" s="1"/>
  <c r="P336"/>
  <c r="Q336" s="1"/>
  <c r="R336" s="1"/>
  <c r="P293"/>
  <c r="Q293" s="1"/>
  <c r="R293" s="1"/>
  <c r="P252"/>
  <c r="Q252" s="1"/>
  <c r="R252" s="1"/>
  <c r="P230"/>
  <c r="Q230" s="1"/>
  <c r="R230" s="1"/>
  <c r="P209"/>
  <c r="Q209" s="1"/>
  <c r="R209" s="1"/>
  <c r="P188"/>
  <c r="Q188" s="1"/>
  <c r="R188" s="1"/>
  <c r="P303"/>
  <c r="Q303" s="1"/>
  <c r="R303" s="1"/>
  <c r="P370"/>
  <c r="Q370" s="1"/>
  <c r="R370" s="1"/>
  <c r="P285"/>
  <c r="Q285" s="1"/>
  <c r="R285" s="1"/>
  <c r="P226"/>
  <c r="Q226" s="1"/>
  <c r="R226" s="1"/>
  <c r="P184"/>
  <c r="Q184" s="1"/>
  <c r="R184" s="1"/>
  <c r="P333"/>
  <c r="Q333" s="1"/>
  <c r="R333" s="1"/>
  <c r="P269"/>
  <c r="Q269" s="1"/>
  <c r="R269" s="1"/>
  <c r="P245"/>
  <c r="Q245" s="1"/>
  <c r="R245" s="1"/>
  <c r="P213"/>
  <c r="Q213" s="1"/>
  <c r="R213" s="1"/>
  <c r="P469"/>
  <c r="Q469" s="1"/>
  <c r="R469" s="1"/>
  <c r="P359"/>
  <c r="Q359" s="1"/>
  <c r="R359" s="1"/>
  <c r="P465"/>
  <c r="Q465" s="1"/>
  <c r="R465" s="1"/>
  <c r="P422"/>
  <c r="Q422" s="1"/>
  <c r="R422" s="1"/>
  <c r="P401"/>
  <c r="Q401" s="1"/>
  <c r="R401" s="1"/>
  <c r="P380"/>
  <c r="Q380" s="1"/>
  <c r="R380" s="1"/>
  <c r="P358"/>
  <c r="Q358" s="1"/>
  <c r="R358" s="1"/>
  <c r="P337"/>
  <c r="Q337" s="1"/>
  <c r="R337" s="1"/>
  <c r="P316"/>
  <c r="Q316" s="1"/>
  <c r="R316" s="1"/>
  <c r="P294"/>
  <c r="Q294" s="1"/>
  <c r="R294" s="1"/>
  <c r="P273"/>
  <c r="Q273" s="1"/>
  <c r="R273" s="1"/>
  <c r="P480"/>
  <c r="Q480" s="1"/>
  <c r="R480" s="1"/>
  <c r="P485"/>
  <c r="Q485" s="1"/>
  <c r="R485" s="1"/>
  <c r="P405"/>
  <c r="Q405" s="1"/>
  <c r="R405" s="1"/>
  <c r="P362"/>
  <c r="Q362" s="1"/>
  <c r="R362" s="1"/>
  <c r="P320"/>
  <c r="Q320" s="1"/>
  <c r="R320" s="1"/>
  <c r="P277"/>
  <c r="Q277" s="1"/>
  <c r="R277" s="1"/>
  <c r="P244"/>
  <c r="Q244" s="1"/>
  <c r="R244" s="1"/>
  <c r="P222"/>
  <c r="Q222" s="1"/>
  <c r="R222" s="1"/>
  <c r="P201"/>
  <c r="Q201" s="1"/>
  <c r="R201" s="1"/>
  <c r="P180"/>
  <c r="Q180" s="1"/>
  <c r="R180" s="1"/>
  <c r="P473"/>
  <c r="Q473" s="1"/>
  <c r="R473" s="1"/>
  <c r="P360"/>
  <c r="Q360" s="1"/>
  <c r="R360" s="1"/>
  <c r="P274"/>
  <c r="Q274" s="1"/>
  <c r="R274" s="1"/>
  <c r="P221"/>
  <c r="Q221" s="1"/>
  <c r="R221" s="1"/>
  <c r="P178"/>
  <c r="Q178" s="1"/>
  <c r="R178" s="1"/>
  <c r="P354"/>
  <c r="Q354" s="1"/>
  <c r="R354" s="1"/>
  <c r="P301"/>
  <c r="Q301" s="1"/>
  <c r="R301" s="1"/>
  <c r="P280"/>
  <c r="Q280" s="1"/>
  <c r="R280" s="1"/>
  <c r="P257"/>
  <c r="Q257" s="1"/>
  <c r="R257" s="1"/>
  <c r="P484"/>
  <c r="Q484" s="1"/>
  <c r="R484" s="1"/>
  <c r="F17" i="13"/>
  <c r="G4" i="3"/>
  <c r="H4" s="1"/>
  <c r="I4" s="1"/>
  <c r="J115" i="13"/>
  <c r="AI6" i="3" s="1"/>
  <c r="E30" i="14" s="1"/>
  <c r="E34" s="1"/>
  <c r="A67" i="26"/>
  <c r="H66"/>
  <c r="G65" s="1"/>
  <c r="E68" i="22"/>
  <c r="AB99" i="50"/>
  <c r="B72" i="23"/>
  <c r="G91" i="22"/>
  <c r="E16" i="42"/>
  <c r="B20" i="40"/>
  <c r="E15" i="34"/>
  <c r="F20" s="1"/>
  <c r="K53" i="36"/>
  <c r="G88"/>
  <c r="G89" s="1"/>
  <c r="C86" i="20"/>
  <c r="G49"/>
  <c r="G86" s="1"/>
  <c r="D20" i="15"/>
  <c r="E25" i="42"/>
  <c r="H54" i="37"/>
  <c r="G92" i="22"/>
  <c r="G21" i="42"/>
  <c r="G22" s="1"/>
  <c r="G36" i="41"/>
  <c r="G37" s="1"/>
  <c r="C84" i="20"/>
  <c r="C51"/>
  <c r="E46" i="22"/>
  <c r="E88" s="1"/>
  <c r="B50" i="23"/>
  <c r="F94" i="13"/>
  <c r="E52" i="22"/>
  <c r="E94" s="1"/>
  <c r="AB39" i="50"/>
  <c r="B56" i="23"/>
  <c r="F110" i="13"/>
  <c r="G93" i="22"/>
  <c r="H36" i="37"/>
  <c r="B70" i="40"/>
  <c r="M4" i="48"/>
  <c r="G48" s="1"/>
  <c r="G49" s="1"/>
  <c r="M19" i="46"/>
  <c r="M20" s="1"/>
  <c r="F20"/>
  <c r="B71" i="40"/>
  <c r="B22" i="46"/>
  <c r="B47" i="48"/>
  <c r="B42" i="34"/>
  <c r="F35" i="14" l="1"/>
  <c r="E12" i="22"/>
  <c r="E96" s="1"/>
  <c r="B16" i="23"/>
  <c r="B92" s="1"/>
  <c r="F115" i="13"/>
  <c r="A69" i="26"/>
  <c r="H68"/>
  <c r="G67" s="1"/>
  <c r="G17" i="42"/>
  <c r="G18" s="1"/>
  <c r="G32" i="41"/>
  <c r="G33" s="1"/>
  <c r="G88" i="22"/>
  <c r="G89" s="1"/>
  <c r="F35" i="34"/>
  <c r="G94" i="22"/>
  <c r="G95" s="1"/>
  <c r="G23" i="42"/>
  <c r="G24" s="1"/>
  <c r="G38" i="41"/>
  <c r="G39" s="1"/>
  <c r="K52" i="20"/>
  <c r="C88"/>
  <c r="G51"/>
  <c r="E20" i="15"/>
  <c r="G20"/>
  <c r="F20"/>
  <c r="I22" i="46"/>
  <c r="B93" i="23"/>
  <c r="H20" i="15" l="1"/>
  <c r="D16" i="16" s="1"/>
  <c r="G88" i="20" s="1"/>
  <c r="G89" s="1"/>
  <c r="G25" i="42"/>
  <c r="G26" s="1"/>
  <c r="G96" i="22"/>
  <c r="G97" s="1"/>
  <c r="G40" i="41"/>
  <c r="G41" s="1"/>
  <c r="A71" i="26"/>
  <c r="H70"/>
  <c r="G69" s="1"/>
  <c r="K53" i="20"/>
  <c r="C22" i="15"/>
  <c r="H72" i="26" l="1"/>
  <c r="A73"/>
  <c r="H74" s="1"/>
  <c r="G33"/>
  <c r="G71" l="1"/>
  <c r="D29" i="16"/>
  <c r="F29"/>
  <c r="H33" i="26" l="1"/>
</calcChain>
</file>

<file path=xl/comments1.xml><?xml version="1.0" encoding="utf-8"?>
<comments xmlns="http://schemas.openxmlformats.org/spreadsheetml/2006/main">
  <authors>
    <author>LOTFI@</author>
  </authors>
  <commentList>
    <comment ref="N8" authorId="0">
      <text>
        <r>
          <rPr>
            <b/>
            <sz val="9"/>
            <color indexed="81"/>
            <rFont val="Tahoma"/>
            <family val="2"/>
          </rPr>
          <t>LOTFI@:</t>
        </r>
        <r>
          <rPr>
            <sz val="9"/>
            <color indexed="81"/>
            <rFont val="Tahoma"/>
            <family val="2"/>
          </rPr>
          <t xml:space="preserve">
</t>
        </r>
        <r>
          <rPr>
            <sz val="16"/>
            <color indexed="81"/>
            <rFont val="Estrangelo Edessa"/>
            <family val="4"/>
          </rPr>
          <t>حدد الشهر المراد إعداد الراتب له</t>
        </r>
      </text>
    </comment>
    <comment ref="N9" authorId="0">
      <text>
        <r>
          <rPr>
            <b/>
            <sz val="9"/>
            <color indexed="81"/>
            <rFont val="Tahoma"/>
            <family val="2"/>
          </rPr>
          <t>LOTFI@:</t>
        </r>
        <r>
          <rPr>
            <sz val="9"/>
            <color indexed="81"/>
            <rFont val="Tahoma"/>
            <family val="2"/>
          </rPr>
          <t xml:space="preserve">
</t>
        </r>
        <r>
          <rPr>
            <sz val="16"/>
            <color indexed="81"/>
            <rFont val="Estrangelo Edessa"/>
            <family val="4"/>
          </rPr>
          <t xml:space="preserve">ضع آخر رقم لحوالات الدفع </t>
        </r>
      </text>
    </comment>
    <comment ref="N10" authorId="0">
      <text>
        <r>
          <rPr>
            <b/>
            <sz val="9"/>
            <color indexed="81"/>
            <rFont val="Tahoma"/>
            <family val="2"/>
          </rPr>
          <t>LOTFI@:</t>
        </r>
        <r>
          <rPr>
            <sz val="9"/>
            <color indexed="81"/>
            <rFont val="Tahoma"/>
            <family val="2"/>
          </rPr>
          <t xml:space="preserve">
</t>
        </r>
        <r>
          <rPr>
            <sz val="16"/>
            <color indexed="81"/>
            <rFont val="Estrangelo Edessa"/>
            <family val="4"/>
          </rPr>
          <t>تاريخ دفع الحولات</t>
        </r>
      </text>
    </comment>
  </commentList>
</comments>
</file>

<file path=xl/comments10.xml><?xml version="1.0" encoding="utf-8"?>
<comments xmlns="http://schemas.openxmlformats.org/spreadsheetml/2006/main">
  <authors>
    <author>LOTFI@</author>
  </authors>
  <commentList>
    <comment ref="C6" authorId="0">
      <text>
        <r>
          <rPr>
            <b/>
            <sz val="16"/>
            <color indexed="81"/>
            <rFont val="Times New Roman"/>
            <family val="1"/>
          </rPr>
          <t>LOTFI@:</t>
        </r>
        <r>
          <rPr>
            <sz val="16"/>
            <color indexed="81"/>
            <rFont val="Times New Roman"/>
            <family val="1"/>
          </rPr>
          <t xml:space="preserve">
إختر رقم سند التحصيل المراد طبعه ضمن قائمة الأرقام المحولة آليا من جدول التحصيل</t>
        </r>
      </text>
    </comment>
  </commentList>
</comments>
</file>

<file path=xl/comments11.xml><?xml version="1.0" encoding="utf-8"?>
<comments xmlns="http://schemas.openxmlformats.org/spreadsheetml/2006/main">
  <authors>
    <author>LOTFI@</author>
  </authors>
  <commentList>
    <comment ref="F2" authorId="0">
      <text>
        <r>
          <rPr>
            <b/>
            <sz val="24"/>
            <color indexed="81"/>
            <rFont val="Times New Roman"/>
            <family val="1"/>
          </rPr>
          <t>LOTFI@:</t>
        </r>
        <r>
          <rPr>
            <sz val="24"/>
            <color indexed="81"/>
            <rFont val="Times New Roman"/>
            <family val="1"/>
          </rPr>
          <t xml:space="preserve">
ضع آخر رقم لجدول التحصيل</t>
        </r>
      </text>
    </comment>
    <comment ref="G2" authorId="0">
      <text>
        <r>
          <rPr>
            <b/>
            <sz val="24"/>
            <color indexed="81"/>
            <rFont val="Times New Roman"/>
            <family val="1"/>
          </rPr>
          <t>LOTFI@:</t>
        </r>
        <r>
          <rPr>
            <sz val="24"/>
            <color indexed="81"/>
            <rFont val="Times New Roman"/>
            <family val="1"/>
          </rPr>
          <t xml:space="preserve">
ضع آخر رقم تسلسلي لسندات التحصيل</t>
        </r>
      </text>
    </comment>
    <comment ref="H2" authorId="0">
      <text>
        <r>
          <rPr>
            <b/>
            <sz val="24"/>
            <color indexed="81"/>
            <rFont val="Times New Roman"/>
            <family val="1"/>
          </rPr>
          <t>LOTFI@:</t>
        </r>
        <r>
          <rPr>
            <sz val="24"/>
            <color indexed="81"/>
            <rFont val="Times New Roman"/>
            <family val="1"/>
          </rPr>
          <t xml:space="preserve">
ضع آخر مجموع كلي للتحصيلات</t>
        </r>
      </text>
    </comment>
    <comment ref="A11"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D11" authorId="0">
      <text>
        <r>
          <rPr>
            <b/>
            <sz val="18"/>
            <color indexed="81"/>
            <rFont val="Times New Roman"/>
            <family val="1"/>
          </rPr>
          <t xml:space="preserve">LOTFI@:
قم بكتابة حيثيلت الخصم </t>
        </r>
      </text>
    </comment>
    <comment ref="A14"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17"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0"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3"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6"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9"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2"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5"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8"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41"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44"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List>
</comments>
</file>

<file path=xl/comments12.xml><?xml version="1.0" encoding="utf-8"?>
<comments xmlns="http://schemas.openxmlformats.org/spreadsheetml/2006/main">
  <authors>
    <author>LOTFI@</author>
  </authors>
  <commentList>
    <comment ref="Q2" authorId="0">
      <text>
        <r>
          <rPr>
            <b/>
            <sz val="11"/>
            <color indexed="81"/>
            <rFont val="Times New Roman"/>
            <family val="1"/>
          </rPr>
          <t>LOTFI@:
رقم التسجيل في التعاضدية</t>
        </r>
      </text>
    </comment>
    <comment ref="R2" authorId="0">
      <text>
        <r>
          <rPr>
            <b/>
            <sz val="12"/>
            <color indexed="81"/>
            <rFont val="System"/>
            <family val="2"/>
            <charset val="178"/>
          </rPr>
          <t>LOTFI@:
خلية لحجز رقم الحساب المتعلق بالموظف</t>
        </r>
      </text>
    </comment>
    <comment ref="T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 authorId="0">
      <text>
        <r>
          <rPr>
            <b/>
            <sz val="11"/>
            <color indexed="81"/>
            <rFont val="Times New Roman"/>
            <family val="1"/>
          </rPr>
          <t>LOTFI@:
رقم التسجيل في التعاضدية</t>
        </r>
      </text>
    </comment>
    <comment ref="T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 authorId="0">
      <text>
        <r>
          <rPr>
            <b/>
            <sz val="11"/>
            <color indexed="81"/>
            <rFont val="Times New Roman"/>
            <family val="1"/>
          </rPr>
          <t>LOTFI@:
رقم التسجيل في التعاضدية</t>
        </r>
      </text>
    </comment>
    <comment ref="T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 authorId="0">
      <text>
        <r>
          <rPr>
            <b/>
            <sz val="11"/>
            <color indexed="81"/>
            <rFont val="Times New Roman"/>
            <family val="1"/>
          </rPr>
          <t>LOTFI@:
رقم التسجيل في التعاضدية</t>
        </r>
      </text>
    </comment>
    <comment ref="T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 authorId="0">
      <text>
        <r>
          <rPr>
            <b/>
            <sz val="11"/>
            <color indexed="81"/>
            <rFont val="Times New Roman"/>
            <family val="1"/>
          </rPr>
          <t>LOTFI@:
رقم التسجيل في التعاضدية</t>
        </r>
      </text>
    </comment>
    <comment ref="T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 authorId="0">
      <text>
        <r>
          <rPr>
            <b/>
            <sz val="11"/>
            <color indexed="81"/>
            <rFont val="Times New Roman"/>
            <family val="1"/>
          </rPr>
          <t>LOTFI@:
رقم التسجيل في التعاضدية</t>
        </r>
      </text>
    </comment>
    <comment ref="T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 authorId="0">
      <text>
        <r>
          <rPr>
            <b/>
            <sz val="11"/>
            <color indexed="81"/>
            <rFont val="Times New Roman"/>
            <family val="1"/>
          </rPr>
          <t>LOTFI@:
رقم التسجيل في التعاضدية</t>
        </r>
      </text>
    </comment>
    <comment ref="T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 authorId="0">
      <text>
        <r>
          <rPr>
            <b/>
            <sz val="11"/>
            <color indexed="81"/>
            <rFont val="Times New Roman"/>
            <family val="1"/>
          </rPr>
          <t>LOTFI@:
رقم التسجيل في التعاضدية</t>
        </r>
      </text>
    </comment>
    <comment ref="T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 authorId="0">
      <text>
        <r>
          <rPr>
            <b/>
            <sz val="11"/>
            <color indexed="81"/>
            <rFont val="Times New Roman"/>
            <family val="1"/>
          </rPr>
          <t>LOTFI@:
رقم التسجيل في التعاضدية</t>
        </r>
      </text>
    </comment>
    <comment ref="T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 authorId="0">
      <text>
        <r>
          <rPr>
            <b/>
            <sz val="11"/>
            <color indexed="81"/>
            <rFont val="Times New Roman"/>
            <family val="1"/>
          </rPr>
          <t>LOTFI@:
رقم التسجيل في التعاضدية</t>
        </r>
      </text>
    </comment>
    <comment ref="T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 authorId="0">
      <text>
        <r>
          <rPr>
            <b/>
            <sz val="11"/>
            <color indexed="81"/>
            <rFont val="Times New Roman"/>
            <family val="1"/>
          </rPr>
          <t>LOTFI@:
رقم التسجيل في التعاضدية</t>
        </r>
      </text>
    </comment>
    <comment ref="T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 authorId="0">
      <text>
        <r>
          <rPr>
            <b/>
            <sz val="11"/>
            <color indexed="81"/>
            <rFont val="Times New Roman"/>
            <family val="1"/>
          </rPr>
          <t>LOTFI@:
رقم التسجيل في التعاضدية</t>
        </r>
      </text>
    </comment>
    <comment ref="T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 authorId="0">
      <text>
        <r>
          <rPr>
            <b/>
            <sz val="11"/>
            <color indexed="81"/>
            <rFont val="Times New Roman"/>
            <family val="1"/>
          </rPr>
          <t>LOTFI@:
رقم التسجيل في التعاضدية</t>
        </r>
      </text>
    </comment>
    <comment ref="T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 authorId="0">
      <text>
        <r>
          <rPr>
            <b/>
            <sz val="11"/>
            <color indexed="81"/>
            <rFont val="Times New Roman"/>
            <family val="1"/>
          </rPr>
          <t>LOTFI@:
رقم التسجيل في التعاضدية</t>
        </r>
      </text>
    </comment>
    <comment ref="T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 authorId="0">
      <text>
        <r>
          <rPr>
            <b/>
            <sz val="11"/>
            <color indexed="81"/>
            <rFont val="Times New Roman"/>
            <family val="1"/>
          </rPr>
          <t>LOTFI@:
رقم التسجيل في التعاضدية</t>
        </r>
      </text>
    </comment>
    <comment ref="T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7" authorId="0">
      <text>
        <r>
          <rPr>
            <b/>
            <sz val="11"/>
            <color indexed="81"/>
            <rFont val="Times New Roman"/>
            <family val="1"/>
          </rPr>
          <t>LOTFI@:
رقم التسجيل في التعاضدية</t>
        </r>
      </text>
    </comment>
    <comment ref="T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8" authorId="0">
      <text>
        <r>
          <rPr>
            <b/>
            <sz val="11"/>
            <color indexed="81"/>
            <rFont val="Times New Roman"/>
            <family val="1"/>
          </rPr>
          <t>LOTFI@:
رقم التسجيل في التعاضدية</t>
        </r>
      </text>
    </comment>
    <comment ref="T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9" authorId="0">
      <text>
        <r>
          <rPr>
            <b/>
            <sz val="11"/>
            <color indexed="81"/>
            <rFont val="Times New Roman"/>
            <family val="1"/>
          </rPr>
          <t>LOTFI@:
رقم التسجيل في التعاضدية</t>
        </r>
      </text>
    </comment>
    <comment ref="T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0" authorId="0">
      <text>
        <r>
          <rPr>
            <b/>
            <sz val="11"/>
            <color indexed="81"/>
            <rFont val="Times New Roman"/>
            <family val="1"/>
          </rPr>
          <t>LOTFI@:
رقم التسجيل في التعاضدية</t>
        </r>
      </text>
    </comment>
    <comment ref="T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1" authorId="0">
      <text>
        <r>
          <rPr>
            <b/>
            <sz val="11"/>
            <color indexed="81"/>
            <rFont val="Times New Roman"/>
            <family val="1"/>
          </rPr>
          <t>LOTFI@:
رقم التسجيل في التعاضدية</t>
        </r>
      </text>
    </comment>
    <comment ref="T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2" authorId="0">
      <text>
        <r>
          <rPr>
            <b/>
            <sz val="11"/>
            <color indexed="81"/>
            <rFont val="Times New Roman"/>
            <family val="1"/>
          </rPr>
          <t>LOTFI@:
رقم التسجيل في التعاضدية</t>
        </r>
      </text>
    </comment>
    <comment ref="T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3" authorId="0">
      <text>
        <r>
          <rPr>
            <b/>
            <sz val="11"/>
            <color indexed="81"/>
            <rFont val="Times New Roman"/>
            <family val="1"/>
          </rPr>
          <t>LOTFI@:
رقم التسجيل في التعاضدية</t>
        </r>
      </text>
    </comment>
    <comment ref="T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4" authorId="0">
      <text>
        <r>
          <rPr>
            <b/>
            <sz val="11"/>
            <color indexed="81"/>
            <rFont val="Times New Roman"/>
            <family val="1"/>
          </rPr>
          <t>LOTFI@:
رقم التسجيل في التعاضدية</t>
        </r>
      </text>
    </comment>
    <comment ref="T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5" authorId="0">
      <text>
        <r>
          <rPr>
            <b/>
            <sz val="11"/>
            <color indexed="81"/>
            <rFont val="Times New Roman"/>
            <family val="1"/>
          </rPr>
          <t>LOTFI@:
رقم التسجيل في التعاضدية</t>
        </r>
      </text>
    </comment>
    <comment ref="T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6" authorId="0">
      <text>
        <r>
          <rPr>
            <b/>
            <sz val="11"/>
            <color indexed="81"/>
            <rFont val="Times New Roman"/>
            <family val="1"/>
          </rPr>
          <t>LOTFI@:
رقم التسجيل في التعاضدية</t>
        </r>
      </text>
    </comment>
    <comment ref="T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7" authorId="0">
      <text>
        <r>
          <rPr>
            <b/>
            <sz val="11"/>
            <color indexed="81"/>
            <rFont val="Times New Roman"/>
            <family val="1"/>
          </rPr>
          <t>LOTFI@:
رقم التسجيل في التعاضدية</t>
        </r>
      </text>
    </comment>
    <comment ref="T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8" authorId="0">
      <text>
        <r>
          <rPr>
            <b/>
            <sz val="11"/>
            <color indexed="81"/>
            <rFont val="Times New Roman"/>
            <family val="1"/>
          </rPr>
          <t>LOTFI@:
رقم التسجيل في التعاضدية</t>
        </r>
      </text>
    </comment>
    <comment ref="T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29" authorId="0">
      <text>
        <r>
          <rPr>
            <b/>
            <sz val="11"/>
            <color indexed="81"/>
            <rFont val="Times New Roman"/>
            <family val="1"/>
          </rPr>
          <t>LOTFI@:
رقم التسجيل في التعاضدية</t>
        </r>
      </text>
    </comment>
    <comment ref="T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0" authorId="0">
      <text>
        <r>
          <rPr>
            <b/>
            <sz val="11"/>
            <color indexed="81"/>
            <rFont val="Times New Roman"/>
            <family val="1"/>
          </rPr>
          <t>LOTFI@:
رقم التسجيل في التعاضدية</t>
        </r>
      </text>
    </comment>
    <comment ref="T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1" authorId="0">
      <text>
        <r>
          <rPr>
            <b/>
            <sz val="11"/>
            <color indexed="81"/>
            <rFont val="Times New Roman"/>
            <family val="1"/>
          </rPr>
          <t>LOTFI@:
رقم التسجيل في التعاضدية</t>
        </r>
      </text>
    </comment>
    <comment ref="T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2" authorId="0">
      <text>
        <r>
          <rPr>
            <b/>
            <sz val="11"/>
            <color indexed="81"/>
            <rFont val="Times New Roman"/>
            <family val="1"/>
          </rPr>
          <t>LOTFI@:
رقم التسجيل في التعاضدية</t>
        </r>
      </text>
    </comment>
    <comment ref="T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3" authorId="0">
      <text>
        <r>
          <rPr>
            <b/>
            <sz val="11"/>
            <color indexed="81"/>
            <rFont val="Times New Roman"/>
            <family val="1"/>
          </rPr>
          <t>LOTFI@:
رقم التسجيل في التعاضدية</t>
        </r>
      </text>
    </comment>
    <comment ref="T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4" authorId="0">
      <text>
        <r>
          <rPr>
            <b/>
            <sz val="11"/>
            <color indexed="81"/>
            <rFont val="Times New Roman"/>
            <family val="1"/>
          </rPr>
          <t>LOTFI@:
رقم التسجيل في التعاضدية</t>
        </r>
      </text>
    </comment>
    <comment ref="T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5" authorId="0">
      <text>
        <r>
          <rPr>
            <b/>
            <sz val="11"/>
            <color indexed="81"/>
            <rFont val="Times New Roman"/>
            <family val="1"/>
          </rPr>
          <t>LOTFI@:
رقم التسجيل في التعاضدية</t>
        </r>
      </text>
    </comment>
    <comment ref="T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6" authorId="0">
      <text>
        <r>
          <rPr>
            <b/>
            <sz val="11"/>
            <color indexed="81"/>
            <rFont val="Times New Roman"/>
            <family val="1"/>
          </rPr>
          <t>LOTFI@:
رقم التسجيل في التعاضدية</t>
        </r>
      </text>
    </comment>
    <comment ref="T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7" authorId="0">
      <text>
        <r>
          <rPr>
            <b/>
            <sz val="11"/>
            <color indexed="81"/>
            <rFont val="Times New Roman"/>
            <family val="1"/>
          </rPr>
          <t>LOTFI@:
رقم التسجيل في التعاضدية</t>
        </r>
      </text>
    </comment>
    <comment ref="T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8" authorId="0">
      <text>
        <r>
          <rPr>
            <b/>
            <sz val="11"/>
            <color indexed="81"/>
            <rFont val="Times New Roman"/>
            <family val="1"/>
          </rPr>
          <t>LOTFI@:
رقم التسجيل في التعاضدية</t>
        </r>
      </text>
    </comment>
    <comment ref="T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39" authorId="0">
      <text>
        <r>
          <rPr>
            <b/>
            <sz val="11"/>
            <color indexed="81"/>
            <rFont val="Times New Roman"/>
            <family val="1"/>
          </rPr>
          <t>LOTFI@:
رقم التسجيل في التعاضدية</t>
        </r>
      </text>
    </comment>
    <comment ref="T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0" authorId="0">
      <text>
        <r>
          <rPr>
            <b/>
            <sz val="11"/>
            <color indexed="81"/>
            <rFont val="Times New Roman"/>
            <family val="1"/>
          </rPr>
          <t>LOTFI@:
رقم التسجيل في التعاضدية</t>
        </r>
      </text>
    </comment>
    <comment ref="T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1" authorId="0">
      <text>
        <r>
          <rPr>
            <b/>
            <sz val="11"/>
            <color indexed="81"/>
            <rFont val="Times New Roman"/>
            <family val="1"/>
          </rPr>
          <t>LOTFI@:
رقم التسجيل في التعاضدية</t>
        </r>
      </text>
    </comment>
    <comment ref="T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2" authorId="0">
      <text>
        <r>
          <rPr>
            <b/>
            <sz val="11"/>
            <color indexed="81"/>
            <rFont val="Times New Roman"/>
            <family val="1"/>
          </rPr>
          <t>LOTFI@:
رقم التسجيل في التعاضدية</t>
        </r>
      </text>
    </comment>
    <comment ref="T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3" authorId="0">
      <text>
        <r>
          <rPr>
            <b/>
            <sz val="11"/>
            <color indexed="81"/>
            <rFont val="Times New Roman"/>
            <family val="1"/>
          </rPr>
          <t>LOTFI@:
رقم التسجيل في التعاضدية</t>
        </r>
      </text>
    </comment>
    <comment ref="T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4" authorId="0">
      <text>
        <r>
          <rPr>
            <b/>
            <sz val="11"/>
            <color indexed="81"/>
            <rFont val="Times New Roman"/>
            <family val="1"/>
          </rPr>
          <t>LOTFI@:
رقم التسجيل في التعاضدية</t>
        </r>
      </text>
    </comment>
    <comment ref="T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5" authorId="0">
      <text>
        <r>
          <rPr>
            <b/>
            <sz val="11"/>
            <color indexed="81"/>
            <rFont val="Times New Roman"/>
            <family val="1"/>
          </rPr>
          <t>LOTFI@:
رقم التسجيل في التعاضدية</t>
        </r>
      </text>
    </comment>
    <comment ref="T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6" authorId="0">
      <text>
        <r>
          <rPr>
            <b/>
            <sz val="11"/>
            <color indexed="81"/>
            <rFont val="Times New Roman"/>
            <family val="1"/>
          </rPr>
          <t>LOTFI@:
رقم التسجيل في التعاضدية</t>
        </r>
      </text>
    </comment>
    <comment ref="T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7" authorId="0">
      <text>
        <r>
          <rPr>
            <b/>
            <sz val="11"/>
            <color indexed="81"/>
            <rFont val="Times New Roman"/>
            <family val="1"/>
          </rPr>
          <t>LOTFI@:
رقم التسجيل في التعاضدية</t>
        </r>
      </text>
    </comment>
    <comment ref="T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8" authorId="0">
      <text>
        <r>
          <rPr>
            <b/>
            <sz val="11"/>
            <color indexed="81"/>
            <rFont val="Times New Roman"/>
            <family val="1"/>
          </rPr>
          <t>LOTFI@:
رقم التسجيل في التعاضدية</t>
        </r>
      </text>
    </comment>
    <comment ref="T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49" authorId="0">
      <text>
        <r>
          <rPr>
            <b/>
            <sz val="11"/>
            <color indexed="81"/>
            <rFont val="Times New Roman"/>
            <family val="1"/>
          </rPr>
          <t>LOTFI@:
رقم التسجيل في التعاضدية</t>
        </r>
      </text>
    </comment>
    <comment ref="T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0" authorId="0">
      <text>
        <r>
          <rPr>
            <b/>
            <sz val="11"/>
            <color indexed="81"/>
            <rFont val="Times New Roman"/>
            <family val="1"/>
          </rPr>
          <t>LOTFI@:
رقم التسجيل في التعاضدية</t>
        </r>
      </text>
    </comment>
    <comment ref="T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1" authorId="0">
      <text>
        <r>
          <rPr>
            <b/>
            <sz val="11"/>
            <color indexed="81"/>
            <rFont val="Times New Roman"/>
            <family val="1"/>
          </rPr>
          <t>LOTFI@:
رقم التسجيل في التعاضدية</t>
        </r>
      </text>
    </comment>
    <comment ref="T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2" authorId="0">
      <text>
        <r>
          <rPr>
            <b/>
            <sz val="11"/>
            <color indexed="81"/>
            <rFont val="Times New Roman"/>
            <family val="1"/>
          </rPr>
          <t>LOTFI@:
رقم التسجيل في التعاضدية</t>
        </r>
      </text>
    </comment>
    <comment ref="T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3" authorId="0">
      <text>
        <r>
          <rPr>
            <b/>
            <sz val="11"/>
            <color indexed="81"/>
            <rFont val="Times New Roman"/>
            <family val="1"/>
          </rPr>
          <t>LOTFI@:
رقم التسجيل في التعاضدية</t>
        </r>
      </text>
    </comment>
    <comment ref="T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4" authorId="0">
      <text>
        <r>
          <rPr>
            <b/>
            <sz val="11"/>
            <color indexed="81"/>
            <rFont val="Times New Roman"/>
            <family val="1"/>
          </rPr>
          <t>LOTFI@:
رقم التسجيل في التعاضدية</t>
        </r>
      </text>
    </comment>
    <comment ref="T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5" authorId="0">
      <text>
        <r>
          <rPr>
            <b/>
            <sz val="11"/>
            <color indexed="81"/>
            <rFont val="Times New Roman"/>
            <family val="1"/>
          </rPr>
          <t>LOTFI@:
رقم التسجيل في التعاضدية</t>
        </r>
      </text>
    </comment>
    <comment ref="T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6" authorId="0">
      <text>
        <r>
          <rPr>
            <b/>
            <sz val="11"/>
            <color indexed="81"/>
            <rFont val="Times New Roman"/>
            <family val="1"/>
          </rPr>
          <t>LOTFI@:
رقم التسجيل في التعاضدية</t>
        </r>
      </text>
    </comment>
    <comment ref="T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7" authorId="0">
      <text>
        <r>
          <rPr>
            <b/>
            <sz val="11"/>
            <color indexed="81"/>
            <rFont val="Times New Roman"/>
            <family val="1"/>
          </rPr>
          <t>LOTFI@:
رقم التسجيل في التعاضدية</t>
        </r>
      </text>
    </comment>
    <comment ref="T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8" authorId="0">
      <text>
        <r>
          <rPr>
            <b/>
            <sz val="11"/>
            <color indexed="81"/>
            <rFont val="Times New Roman"/>
            <family val="1"/>
          </rPr>
          <t>LOTFI@:
رقم التسجيل في التعاضدية</t>
        </r>
      </text>
    </comment>
    <comment ref="T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59" authorId="0">
      <text>
        <r>
          <rPr>
            <b/>
            <sz val="11"/>
            <color indexed="81"/>
            <rFont val="Times New Roman"/>
            <family val="1"/>
          </rPr>
          <t>LOTFI@:
رقم التسجيل في التعاضدية</t>
        </r>
      </text>
    </comment>
    <comment ref="T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0" authorId="0">
      <text>
        <r>
          <rPr>
            <b/>
            <sz val="11"/>
            <color indexed="81"/>
            <rFont val="Times New Roman"/>
            <family val="1"/>
          </rPr>
          <t>LOTFI@:
رقم التسجيل في التعاضدية</t>
        </r>
      </text>
    </comment>
    <comment ref="T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1" authorId="0">
      <text>
        <r>
          <rPr>
            <b/>
            <sz val="11"/>
            <color indexed="81"/>
            <rFont val="Times New Roman"/>
            <family val="1"/>
          </rPr>
          <t>LOTFI@:
رقم التسجيل في التعاضدية</t>
        </r>
      </text>
    </comment>
    <comment ref="T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2" authorId="0">
      <text>
        <r>
          <rPr>
            <b/>
            <sz val="11"/>
            <color indexed="81"/>
            <rFont val="Times New Roman"/>
            <family val="1"/>
          </rPr>
          <t>LOTFI@:
رقم التسجيل في التعاضدية</t>
        </r>
      </text>
    </comment>
    <comment ref="T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3" authorId="0">
      <text>
        <r>
          <rPr>
            <b/>
            <sz val="11"/>
            <color indexed="81"/>
            <rFont val="Times New Roman"/>
            <family val="1"/>
          </rPr>
          <t>LOTFI@:
رقم التسجيل في التعاضدية</t>
        </r>
      </text>
    </comment>
    <comment ref="T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4" authorId="0">
      <text>
        <r>
          <rPr>
            <b/>
            <sz val="11"/>
            <color indexed="81"/>
            <rFont val="Times New Roman"/>
            <family val="1"/>
          </rPr>
          <t>LOTFI@:
رقم التسجيل في التعاضدية</t>
        </r>
      </text>
    </comment>
    <comment ref="T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5" authorId="0">
      <text>
        <r>
          <rPr>
            <b/>
            <sz val="11"/>
            <color indexed="81"/>
            <rFont val="Times New Roman"/>
            <family val="1"/>
          </rPr>
          <t>LOTFI@:
رقم التسجيل في التعاضدية</t>
        </r>
      </text>
    </comment>
    <comment ref="T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6" authorId="0">
      <text>
        <r>
          <rPr>
            <b/>
            <sz val="11"/>
            <color indexed="81"/>
            <rFont val="Times New Roman"/>
            <family val="1"/>
          </rPr>
          <t>LOTFI@:
رقم التسجيل في التعاضدية</t>
        </r>
      </text>
    </comment>
    <comment ref="T6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7" authorId="0">
      <text>
        <r>
          <rPr>
            <b/>
            <sz val="11"/>
            <color indexed="81"/>
            <rFont val="Times New Roman"/>
            <family val="1"/>
          </rPr>
          <t>LOTFI@:
رقم التسجيل في التعاضدية</t>
        </r>
      </text>
    </comment>
    <comment ref="T6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8" authorId="0">
      <text>
        <r>
          <rPr>
            <b/>
            <sz val="11"/>
            <color indexed="81"/>
            <rFont val="Times New Roman"/>
            <family val="1"/>
          </rPr>
          <t>LOTFI@:
رقم التسجيل في التعاضدية</t>
        </r>
      </text>
    </comment>
    <comment ref="T6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69" authorId="0">
      <text>
        <r>
          <rPr>
            <b/>
            <sz val="11"/>
            <color indexed="81"/>
            <rFont val="Times New Roman"/>
            <family val="1"/>
          </rPr>
          <t>LOTFI@:
رقم التسجيل في التعاضدية</t>
        </r>
      </text>
    </comment>
    <comment ref="T6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6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0" authorId="0">
      <text>
        <r>
          <rPr>
            <b/>
            <sz val="11"/>
            <color indexed="81"/>
            <rFont val="Times New Roman"/>
            <family val="1"/>
          </rPr>
          <t>LOTFI@:
رقم التسجيل في التعاضدية</t>
        </r>
      </text>
    </comment>
    <comment ref="T7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1" authorId="0">
      <text>
        <r>
          <rPr>
            <b/>
            <sz val="11"/>
            <color indexed="81"/>
            <rFont val="Times New Roman"/>
            <family val="1"/>
          </rPr>
          <t>LOTFI@:
رقم التسجيل في التعاضدية</t>
        </r>
      </text>
    </comment>
    <comment ref="T7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2" authorId="0">
      <text>
        <r>
          <rPr>
            <b/>
            <sz val="11"/>
            <color indexed="81"/>
            <rFont val="Times New Roman"/>
            <family val="1"/>
          </rPr>
          <t>LOTFI@:
رقم التسجيل في التعاضدية</t>
        </r>
      </text>
    </comment>
    <comment ref="T7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3" authorId="0">
      <text>
        <r>
          <rPr>
            <b/>
            <sz val="11"/>
            <color indexed="81"/>
            <rFont val="Times New Roman"/>
            <family val="1"/>
          </rPr>
          <t>LOTFI@:
رقم التسجيل في التعاضدية</t>
        </r>
      </text>
    </comment>
    <comment ref="T7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4" authorId="0">
      <text>
        <r>
          <rPr>
            <b/>
            <sz val="11"/>
            <color indexed="81"/>
            <rFont val="Times New Roman"/>
            <family val="1"/>
          </rPr>
          <t>LOTFI@:
رقم التسجيل في التعاضدية</t>
        </r>
      </text>
    </comment>
    <comment ref="T7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5" authorId="0">
      <text>
        <r>
          <rPr>
            <b/>
            <sz val="11"/>
            <color indexed="81"/>
            <rFont val="Times New Roman"/>
            <family val="1"/>
          </rPr>
          <t>LOTFI@:
رقم التسجيل في التعاضدية</t>
        </r>
      </text>
    </comment>
    <comment ref="T7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6" authorId="0">
      <text>
        <r>
          <rPr>
            <b/>
            <sz val="11"/>
            <color indexed="81"/>
            <rFont val="Times New Roman"/>
            <family val="1"/>
          </rPr>
          <t>LOTFI@:
رقم التسجيل في التعاضدية</t>
        </r>
      </text>
    </comment>
    <comment ref="T7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7" authorId="0">
      <text>
        <r>
          <rPr>
            <b/>
            <sz val="11"/>
            <color indexed="81"/>
            <rFont val="Times New Roman"/>
            <family val="1"/>
          </rPr>
          <t>LOTFI@:
رقم التسجيل في التعاضدية</t>
        </r>
      </text>
    </comment>
    <comment ref="T7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8" authorId="0">
      <text>
        <r>
          <rPr>
            <b/>
            <sz val="11"/>
            <color indexed="81"/>
            <rFont val="Times New Roman"/>
            <family val="1"/>
          </rPr>
          <t>LOTFI@:
رقم التسجيل في التعاضدية</t>
        </r>
      </text>
    </comment>
    <comment ref="T7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79" authorId="0">
      <text>
        <r>
          <rPr>
            <b/>
            <sz val="11"/>
            <color indexed="81"/>
            <rFont val="Times New Roman"/>
            <family val="1"/>
          </rPr>
          <t>LOTFI@:
رقم التسجيل في التعاضدية</t>
        </r>
      </text>
    </comment>
    <comment ref="T7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7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0" authorId="0">
      <text>
        <r>
          <rPr>
            <b/>
            <sz val="11"/>
            <color indexed="81"/>
            <rFont val="Times New Roman"/>
            <family val="1"/>
          </rPr>
          <t>LOTFI@:
رقم التسجيل في التعاضدية</t>
        </r>
      </text>
    </comment>
    <comment ref="R80" authorId="0">
      <text>
        <r>
          <rPr>
            <b/>
            <sz val="12"/>
            <color indexed="81"/>
            <rFont val="System"/>
            <family val="2"/>
            <charset val="178"/>
          </rPr>
          <t>LOTFI@:
خلية لحجز رقم الحساب المتعلق بالموظف</t>
        </r>
      </text>
    </comment>
    <comment ref="T8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1" authorId="0">
      <text>
        <r>
          <rPr>
            <b/>
            <sz val="11"/>
            <color indexed="81"/>
            <rFont val="Times New Roman"/>
            <family val="1"/>
          </rPr>
          <t>LOTFI@:
رقم التسجيل في التعاضدية</t>
        </r>
      </text>
    </comment>
    <comment ref="R81" authorId="0">
      <text>
        <r>
          <rPr>
            <b/>
            <sz val="12"/>
            <color indexed="81"/>
            <rFont val="System"/>
            <family val="2"/>
            <charset val="178"/>
          </rPr>
          <t>LOTFI@:
خلية لحجز رقم الحساب المتعلق بالموظف</t>
        </r>
      </text>
    </comment>
    <comment ref="T8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2" authorId="0">
      <text>
        <r>
          <rPr>
            <b/>
            <sz val="11"/>
            <color indexed="81"/>
            <rFont val="Times New Roman"/>
            <family val="1"/>
          </rPr>
          <t>LOTFI@:
رقم التسجيل في التعاضدية</t>
        </r>
      </text>
    </comment>
    <comment ref="R82" authorId="0">
      <text>
        <r>
          <rPr>
            <b/>
            <sz val="12"/>
            <color indexed="81"/>
            <rFont val="System"/>
            <family val="2"/>
            <charset val="178"/>
          </rPr>
          <t>LOTFI@:
خلية لحجز رقم الحساب المتعلق بالموظف</t>
        </r>
      </text>
    </comment>
    <comment ref="T8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3" authorId="0">
      <text>
        <r>
          <rPr>
            <b/>
            <sz val="11"/>
            <color indexed="81"/>
            <rFont val="Times New Roman"/>
            <family val="1"/>
          </rPr>
          <t>LOTFI@:
رقم التسجيل في التعاضدية</t>
        </r>
      </text>
    </comment>
    <comment ref="R83" authorId="0">
      <text>
        <r>
          <rPr>
            <b/>
            <sz val="12"/>
            <color indexed="81"/>
            <rFont val="System"/>
            <family val="2"/>
            <charset val="178"/>
          </rPr>
          <t>LOTFI@:
خلية لحجز رقم الحساب المتعلق بالموظف</t>
        </r>
      </text>
    </comment>
    <comment ref="T8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4" authorId="0">
      <text>
        <r>
          <rPr>
            <b/>
            <sz val="11"/>
            <color indexed="81"/>
            <rFont val="Times New Roman"/>
            <family val="1"/>
          </rPr>
          <t>LOTFI@:
رقم التسجيل في التعاضدية</t>
        </r>
      </text>
    </comment>
    <comment ref="R84" authorId="0">
      <text>
        <r>
          <rPr>
            <b/>
            <sz val="12"/>
            <color indexed="81"/>
            <rFont val="System"/>
            <family val="2"/>
            <charset val="178"/>
          </rPr>
          <t>LOTFI@:
خلية لحجز رقم الحساب المتعلق بالموظف</t>
        </r>
      </text>
    </comment>
    <comment ref="T8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5" authorId="0">
      <text>
        <r>
          <rPr>
            <b/>
            <sz val="11"/>
            <color indexed="81"/>
            <rFont val="Times New Roman"/>
            <family val="1"/>
          </rPr>
          <t>LOTFI@:
رقم التسجيل في التعاضدية</t>
        </r>
      </text>
    </comment>
    <comment ref="R85" authorId="0">
      <text>
        <r>
          <rPr>
            <b/>
            <sz val="12"/>
            <color indexed="81"/>
            <rFont val="System"/>
            <family val="2"/>
            <charset val="178"/>
          </rPr>
          <t>LOTFI@:
خلية لحجز رقم الحساب المتعلق بالموظف</t>
        </r>
      </text>
    </comment>
    <comment ref="T8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6" authorId="0">
      <text>
        <r>
          <rPr>
            <b/>
            <sz val="11"/>
            <color indexed="81"/>
            <rFont val="Times New Roman"/>
            <family val="1"/>
          </rPr>
          <t>LOTFI@:
رقم التسجيل في التعاضدية</t>
        </r>
      </text>
    </comment>
    <comment ref="R86" authorId="0">
      <text>
        <r>
          <rPr>
            <b/>
            <sz val="12"/>
            <color indexed="81"/>
            <rFont val="System"/>
            <family val="2"/>
            <charset val="178"/>
          </rPr>
          <t>LOTFI@:
خلية لحجز رقم الحساب المتعلق بالموظف</t>
        </r>
      </text>
    </comment>
    <comment ref="T8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7" authorId="0">
      <text>
        <r>
          <rPr>
            <b/>
            <sz val="11"/>
            <color indexed="81"/>
            <rFont val="Times New Roman"/>
            <family val="1"/>
          </rPr>
          <t>LOTFI@:
رقم التسجيل في التعاضدية</t>
        </r>
      </text>
    </comment>
    <comment ref="R87" authorId="0">
      <text>
        <r>
          <rPr>
            <b/>
            <sz val="12"/>
            <color indexed="81"/>
            <rFont val="System"/>
            <family val="2"/>
            <charset val="178"/>
          </rPr>
          <t>LOTFI@:
خلية لحجز رقم الحساب المتعلق بالموظف</t>
        </r>
      </text>
    </comment>
    <comment ref="T8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8" authorId="0">
      <text>
        <r>
          <rPr>
            <b/>
            <sz val="11"/>
            <color indexed="81"/>
            <rFont val="Times New Roman"/>
            <family val="1"/>
          </rPr>
          <t>LOTFI@:
رقم التسجيل في التعاضدية</t>
        </r>
      </text>
    </comment>
    <comment ref="R88" authorId="0">
      <text>
        <r>
          <rPr>
            <b/>
            <sz val="12"/>
            <color indexed="81"/>
            <rFont val="System"/>
            <family val="2"/>
            <charset val="178"/>
          </rPr>
          <t>LOTFI@:
خلية لحجز رقم الحساب المتعلق بالموظف</t>
        </r>
      </text>
    </comment>
    <comment ref="T8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89" authorId="0">
      <text>
        <r>
          <rPr>
            <b/>
            <sz val="11"/>
            <color indexed="81"/>
            <rFont val="Times New Roman"/>
            <family val="1"/>
          </rPr>
          <t>LOTFI@:
رقم التسجيل في التعاضدية</t>
        </r>
      </text>
    </comment>
    <comment ref="R89" authorId="0">
      <text>
        <r>
          <rPr>
            <b/>
            <sz val="12"/>
            <color indexed="81"/>
            <rFont val="System"/>
            <family val="2"/>
            <charset val="178"/>
          </rPr>
          <t>LOTFI@:
خلية لحجز رقم الحساب المتعلق بالموظف</t>
        </r>
      </text>
    </comment>
    <comment ref="T8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8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0" authorId="0">
      <text>
        <r>
          <rPr>
            <b/>
            <sz val="11"/>
            <color indexed="81"/>
            <rFont val="Times New Roman"/>
            <family val="1"/>
          </rPr>
          <t>LOTFI@:
رقم التسجيل في التعاضدية</t>
        </r>
      </text>
    </comment>
    <comment ref="R90" authorId="0">
      <text>
        <r>
          <rPr>
            <b/>
            <sz val="12"/>
            <color indexed="81"/>
            <rFont val="System"/>
            <family val="2"/>
            <charset val="178"/>
          </rPr>
          <t>LOTFI@:
خلية لحجز رقم الحساب المتعلق بالموظف</t>
        </r>
      </text>
    </comment>
    <comment ref="T9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1" authorId="0">
      <text>
        <r>
          <rPr>
            <b/>
            <sz val="11"/>
            <color indexed="81"/>
            <rFont val="Times New Roman"/>
            <family val="1"/>
          </rPr>
          <t>LOTFI@:
رقم التسجيل في التعاضدية</t>
        </r>
      </text>
    </comment>
    <comment ref="R91" authorId="0">
      <text>
        <r>
          <rPr>
            <b/>
            <sz val="12"/>
            <color indexed="81"/>
            <rFont val="System"/>
            <family val="2"/>
            <charset val="178"/>
          </rPr>
          <t>LOTFI@:
خلية لحجز رقم الحساب المتعلق بالموظف</t>
        </r>
      </text>
    </comment>
    <comment ref="T9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2" authorId="0">
      <text>
        <r>
          <rPr>
            <b/>
            <sz val="11"/>
            <color indexed="81"/>
            <rFont val="Times New Roman"/>
            <family val="1"/>
          </rPr>
          <t>LOTFI@:
رقم التسجيل في التعاضدية</t>
        </r>
      </text>
    </comment>
    <comment ref="R92" authorId="0">
      <text>
        <r>
          <rPr>
            <b/>
            <sz val="12"/>
            <color indexed="81"/>
            <rFont val="System"/>
            <family val="2"/>
            <charset val="178"/>
          </rPr>
          <t>LOTFI@:
خلية لحجز رقم الحساب المتعلق بالموظف</t>
        </r>
      </text>
    </comment>
    <comment ref="T9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3" authorId="0">
      <text>
        <r>
          <rPr>
            <b/>
            <sz val="11"/>
            <color indexed="81"/>
            <rFont val="Times New Roman"/>
            <family val="1"/>
          </rPr>
          <t>LOTFI@:
رقم التسجيل في التعاضدية</t>
        </r>
      </text>
    </comment>
    <comment ref="R93" authorId="0">
      <text>
        <r>
          <rPr>
            <b/>
            <sz val="12"/>
            <color indexed="81"/>
            <rFont val="System"/>
            <family val="2"/>
            <charset val="178"/>
          </rPr>
          <t>LOTFI@:
خلية لحجز رقم الحساب المتعلق بالموظف</t>
        </r>
      </text>
    </comment>
    <comment ref="T9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4" authorId="0">
      <text>
        <r>
          <rPr>
            <b/>
            <sz val="11"/>
            <color indexed="81"/>
            <rFont val="Times New Roman"/>
            <family val="1"/>
          </rPr>
          <t>LOTFI@:
رقم التسجيل في التعاضدية</t>
        </r>
      </text>
    </comment>
    <comment ref="R94" authorId="0">
      <text>
        <r>
          <rPr>
            <b/>
            <sz val="12"/>
            <color indexed="81"/>
            <rFont val="System"/>
            <family val="2"/>
            <charset val="178"/>
          </rPr>
          <t>LOTFI@:
خلية لحجز رقم الحساب المتعلق بالموظف</t>
        </r>
      </text>
    </comment>
    <comment ref="T9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5" authorId="0">
      <text>
        <r>
          <rPr>
            <b/>
            <sz val="11"/>
            <color indexed="81"/>
            <rFont val="Times New Roman"/>
            <family val="1"/>
          </rPr>
          <t>LOTFI@:
رقم التسجيل في التعاضدية</t>
        </r>
      </text>
    </comment>
    <comment ref="R95" authorId="0">
      <text>
        <r>
          <rPr>
            <b/>
            <sz val="12"/>
            <color indexed="81"/>
            <rFont val="System"/>
            <family val="2"/>
            <charset val="178"/>
          </rPr>
          <t>LOTFI@:
خلية لحجز رقم الحساب المتعلق بالموظف</t>
        </r>
      </text>
    </comment>
    <comment ref="T9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6" authorId="0">
      <text>
        <r>
          <rPr>
            <b/>
            <sz val="11"/>
            <color indexed="81"/>
            <rFont val="Times New Roman"/>
            <family val="1"/>
          </rPr>
          <t>LOTFI@:
رقم التسجيل في التعاضدية</t>
        </r>
      </text>
    </comment>
    <comment ref="R96" authorId="0">
      <text>
        <r>
          <rPr>
            <b/>
            <sz val="12"/>
            <color indexed="81"/>
            <rFont val="System"/>
            <family val="2"/>
            <charset val="178"/>
          </rPr>
          <t>LOTFI@:
خلية لحجز رقم الحساب المتعلق بالموظف</t>
        </r>
      </text>
    </comment>
    <comment ref="T9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7" authorId="0">
      <text>
        <r>
          <rPr>
            <b/>
            <sz val="11"/>
            <color indexed="81"/>
            <rFont val="Times New Roman"/>
            <family val="1"/>
          </rPr>
          <t>LOTFI@:
رقم التسجيل في التعاضدية</t>
        </r>
      </text>
    </comment>
    <comment ref="R97" authorId="0">
      <text>
        <r>
          <rPr>
            <b/>
            <sz val="12"/>
            <color indexed="81"/>
            <rFont val="System"/>
            <family val="2"/>
            <charset val="178"/>
          </rPr>
          <t>LOTFI@:
خلية لحجز رقم الحساب المتعلق بالموظف</t>
        </r>
      </text>
    </comment>
    <comment ref="T9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8" authorId="0">
      <text>
        <r>
          <rPr>
            <b/>
            <sz val="11"/>
            <color indexed="81"/>
            <rFont val="Times New Roman"/>
            <family val="1"/>
          </rPr>
          <t>LOTFI@:
رقم التسجيل في التعاضدية</t>
        </r>
      </text>
    </comment>
    <comment ref="R98" authorId="0">
      <text>
        <r>
          <rPr>
            <b/>
            <sz val="12"/>
            <color indexed="81"/>
            <rFont val="System"/>
            <family val="2"/>
            <charset val="178"/>
          </rPr>
          <t>LOTFI@:
خلية لحجز رقم الحساب المتعلق بالموظف</t>
        </r>
      </text>
    </comment>
    <comment ref="T9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99" authorId="0">
      <text>
        <r>
          <rPr>
            <b/>
            <sz val="11"/>
            <color indexed="81"/>
            <rFont val="Times New Roman"/>
            <family val="1"/>
          </rPr>
          <t>LOTFI@:
رقم التسجيل في التعاضدية</t>
        </r>
      </text>
    </comment>
    <comment ref="R99" authorId="0">
      <text>
        <r>
          <rPr>
            <b/>
            <sz val="12"/>
            <color indexed="81"/>
            <rFont val="System"/>
            <family val="2"/>
            <charset val="178"/>
          </rPr>
          <t>LOTFI@:
خلية لحجز رقم الحساب المتعلق بالموظف</t>
        </r>
      </text>
    </comment>
    <comment ref="T9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9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0" authorId="0">
      <text>
        <r>
          <rPr>
            <b/>
            <sz val="11"/>
            <color indexed="81"/>
            <rFont val="Times New Roman"/>
            <family val="1"/>
          </rPr>
          <t>LOTFI@:
رقم التسجيل في التعاضدية</t>
        </r>
      </text>
    </comment>
    <comment ref="R100" authorId="0">
      <text>
        <r>
          <rPr>
            <b/>
            <sz val="12"/>
            <color indexed="81"/>
            <rFont val="System"/>
            <family val="2"/>
            <charset val="178"/>
          </rPr>
          <t>LOTFI@:
خلية لحجز رقم الحساب المتعلق بالموظف</t>
        </r>
      </text>
    </comment>
    <comment ref="T10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1" authorId="0">
      <text>
        <r>
          <rPr>
            <b/>
            <sz val="11"/>
            <color indexed="81"/>
            <rFont val="Times New Roman"/>
            <family val="1"/>
          </rPr>
          <t>LOTFI@:
رقم التسجيل في التعاضدية</t>
        </r>
      </text>
    </comment>
    <comment ref="R101" authorId="0">
      <text>
        <r>
          <rPr>
            <b/>
            <sz val="12"/>
            <color indexed="81"/>
            <rFont val="System"/>
            <family val="2"/>
            <charset val="178"/>
          </rPr>
          <t>LOTFI@:
خلية لحجز رقم الحساب المتعلق بالموظف</t>
        </r>
      </text>
    </comment>
    <comment ref="T10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2" authorId="0">
      <text>
        <r>
          <rPr>
            <b/>
            <sz val="11"/>
            <color indexed="81"/>
            <rFont val="Times New Roman"/>
            <family val="1"/>
          </rPr>
          <t>LOTFI@:
رقم التسجيل في التعاضدية</t>
        </r>
      </text>
    </comment>
    <comment ref="R102" authorId="0">
      <text>
        <r>
          <rPr>
            <b/>
            <sz val="12"/>
            <color indexed="81"/>
            <rFont val="System"/>
            <family val="2"/>
            <charset val="178"/>
          </rPr>
          <t>LOTFI@:
خلية لحجز رقم الحساب المتعلق بالموظف</t>
        </r>
      </text>
    </comment>
    <comment ref="T10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3" authorId="0">
      <text>
        <r>
          <rPr>
            <b/>
            <sz val="11"/>
            <color indexed="81"/>
            <rFont val="Times New Roman"/>
            <family val="1"/>
          </rPr>
          <t>LOTFI@:
رقم التسجيل في التعاضدية</t>
        </r>
      </text>
    </comment>
    <comment ref="R103" authorId="0">
      <text>
        <r>
          <rPr>
            <b/>
            <sz val="12"/>
            <color indexed="81"/>
            <rFont val="System"/>
            <family val="2"/>
            <charset val="178"/>
          </rPr>
          <t>LOTFI@:
خلية لحجز رقم الحساب المتعلق بالموظف</t>
        </r>
      </text>
    </comment>
    <comment ref="T10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4" authorId="0">
      <text>
        <r>
          <rPr>
            <b/>
            <sz val="11"/>
            <color indexed="81"/>
            <rFont val="Times New Roman"/>
            <family val="1"/>
          </rPr>
          <t>LOTFI@:
رقم التسجيل في التعاضدية</t>
        </r>
      </text>
    </comment>
    <comment ref="R104" authorId="0">
      <text>
        <r>
          <rPr>
            <b/>
            <sz val="12"/>
            <color indexed="81"/>
            <rFont val="System"/>
            <family val="2"/>
            <charset val="178"/>
          </rPr>
          <t>LOTFI@:
خلية لحجز رقم الحساب المتعلق بالموظف</t>
        </r>
      </text>
    </comment>
    <comment ref="T10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5" authorId="0">
      <text>
        <r>
          <rPr>
            <b/>
            <sz val="11"/>
            <color indexed="81"/>
            <rFont val="Times New Roman"/>
            <family val="1"/>
          </rPr>
          <t>LOTFI@:
رقم التسجيل في التعاضدية</t>
        </r>
      </text>
    </comment>
    <comment ref="R105" authorId="0">
      <text>
        <r>
          <rPr>
            <b/>
            <sz val="12"/>
            <color indexed="81"/>
            <rFont val="System"/>
            <family val="2"/>
            <charset val="178"/>
          </rPr>
          <t>LOTFI@:
خلية لحجز رقم الحساب المتعلق بالموظف</t>
        </r>
      </text>
    </comment>
    <comment ref="T10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6" authorId="0">
      <text>
        <r>
          <rPr>
            <b/>
            <sz val="11"/>
            <color indexed="81"/>
            <rFont val="Times New Roman"/>
            <family val="1"/>
          </rPr>
          <t>LOTFI@:
رقم التسجيل في التعاضدية</t>
        </r>
      </text>
    </comment>
    <comment ref="R106" authorId="0">
      <text>
        <r>
          <rPr>
            <b/>
            <sz val="12"/>
            <color indexed="81"/>
            <rFont val="System"/>
            <family val="2"/>
            <charset val="178"/>
          </rPr>
          <t>LOTFI@:
خلية لحجز رقم الحساب المتعلق بالموظف</t>
        </r>
      </text>
    </comment>
    <comment ref="T10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7" authorId="0">
      <text>
        <r>
          <rPr>
            <b/>
            <sz val="11"/>
            <color indexed="81"/>
            <rFont val="Times New Roman"/>
            <family val="1"/>
          </rPr>
          <t>LOTFI@:
رقم التسجيل في التعاضدية</t>
        </r>
      </text>
    </comment>
    <comment ref="R107" authorId="0">
      <text>
        <r>
          <rPr>
            <b/>
            <sz val="12"/>
            <color indexed="81"/>
            <rFont val="System"/>
            <family val="2"/>
            <charset val="178"/>
          </rPr>
          <t>LOTFI@:
خلية لحجز رقم الحساب المتعلق بالموظف</t>
        </r>
      </text>
    </comment>
    <comment ref="T10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8" authorId="0">
      <text>
        <r>
          <rPr>
            <b/>
            <sz val="11"/>
            <color indexed="81"/>
            <rFont val="Times New Roman"/>
            <family val="1"/>
          </rPr>
          <t>LOTFI@:
رقم التسجيل في التعاضدية</t>
        </r>
      </text>
    </comment>
    <comment ref="R108" authorId="0">
      <text>
        <r>
          <rPr>
            <b/>
            <sz val="12"/>
            <color indexed="81"/>
            <rFont val="System"/>
            <family val="2"/>
            <charset val="178"/>
          </rPr>
          <t>LOTFI@:
خلية لحجز رقم الحساب المتعلق بالموظف</t>
        </r>
      </text>
    </comment>
    <comment ref="T10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09" authorId="0">
      <text>
        <r>
          <rPr>
            <b/>
            <sz val="11"/>
            <color indexed="81"/>
            <rFont val="Times New Roman"/>
            <family val="1"/>
          </rPr>
          <t>LOTFI@:
رقم التسجيل في التعاضدية</t>
        </r>
      </text>
    </comment>
    <comment ref="R109" authorId="0">
      <text>
        <r>
          <rPr>
            <b/>
            <sz val="12"/>
            <color indexed="81"/>
            <rFont val="System"/>
            <family val="2"/>
            <charset val="178"/>
          </rPr>
          <t>LOTFI@:
خلية لحجز رقم الحساب المتعلق بالموظف</t>
        </r>
      </text>
    </comment>
    <comment ref="T10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0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0" authorId="0">
      <text>
        <r>
          <rPr>
            <b/>
            <sz val="11"/>
            <color indexed="81"/>
            <rFont val="Times New Roman"/>
            <family val="1"/>
          </rPr>
          <t>LOTFI@:
رقم التسجيل في التعاضدية</t>
        </r>
      </text>
    </comment>
    <comment ref="R110" authorId="0">
      <text>
        <r>
          <rPr>
            <b/>
            <sz val="12"/>
            <color indexed="81"/>
            <rFont val="System"/>
            <family val="2"/>
            <charset val="178"/>
          </rPr>
          <t>LOTFI@:
خلية لحجز رقم الحساب المتعلق بالموظف</t>
        </r>
      </text>
    </comment>
    <comment ref="T1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1" authorId="0">
      <text>
        <r>
          <rPr>
            <b/>
            <sz val="11"/>
            <color indexed="81"/>
            <rFont val="Times New Roman"/>
            <family val="1"/>
          </rPr>
          <t>LOTFI@:
رقم التسجيل في التعاضدية</t>
        </r>
      </text>
    </comment>
    <comment ref="R111" authorId="0">
      <text>
        <r>
          <rPr>
            <b/>
            <sz val="12"/>
            <color indexed="81"/>
            <rFont val="System"/>
            <family val="2"/>
            <charset val="178"/>
          </rPr>
          <t>LOTFI@:
خلية لحجز رقم الحساب المتعلق بالموظف</t>
        </r>
      </text>
    </comment>
    <comment ref="T1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2" authorId="0">
      <text>
        <r>
          <rPr>
            <b/>
            <sz val="11"/>
            <color indexed="81"/>
            <rFont val="Times New Roman"/>
            <family val="1"/>
          </rPr>
          <t>LOTFI@:
رقم التسجيل في التعاضدية</t>
        </r>
      </text>
    </comment>
    <comment ref="R112" authorId="0">
      <text>
        <r>
          <rPr>
            <b/>
            <sz val="12"/>
            <color indexed="81"/>
            <rFont val="System"/>
            <family val="2"/>
            <charset val="178"/>
          </rPr>
          <t>LOTFI@:
خلية لحجز رقم الحساب المتعلق بالموظف</t>
        </r>
      </text>
    </comment>
    <comment ref="T1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3" authorId="0">
      <text>
        <r>
          <rPr>
            <b/>
            <sz val="11"/>
            <color indexed="81"/>
            <rFont val="Times New Roman"/>
            <family val="1"/>
          </rPr>
          <t>LOTFI@:
رقم التسجيل في التعاضدية</t>
        </r>
      </text>
    </comment>
    <comment ref="R113" authorId="0">
      <text>
        <r>
          <rPr>
            <b/>
            <sz val="12"/>
            <color indexed="81"/>
            <rFont val="System"/>
            <family val="2"/>
            <charset val="178"/>
          </rPr>
          <t>LOTFI@:
خلية لحجز رقم الحساب المتعلق بالموظف</t>
        </r>
      </text>
    </comment>
    <comment ref="T1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4" authorId="0">
      <text>
        <r>
          <rPr>
            <b/>
            <sz val="11"/>
            <color indexed="81"/>
            <rFont val="Times New Roman"/>
            <family val="1"/>
          </rPr>
          <t>LOTFI@:
رقم التسجيل في التعاضدية</t>
        </r>
      </text>
    </comment>
    <comment ref="R114" authorId="0">
      <text>
        <r>
          <rPr>
            <b/>
            <sz val="12"/>
            <color indexed="81"/>
            <rFont val="System"/>
            <family val="2"/>
            <charset val="178"/>
          </rPr>
          <t>LOTFI@:
خلية لحجز رقم الحساب المتعلق بالموظف</t>
        </r>
      </text>
    </comment>
    <comment ref="T1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5" authorId="0">
      <text>
        <r>
          <rPr>
            <b/>
            <sz val="11"/>
            <color indexed="81"/>
            <rFont val="Times New Roman"/>
            <family val="1"/>
          </rPr>
          <t>LOTFI@:
رقم التسجيل في التعاضدية</t>
        </r>
      </text>
    </comment>
    <comment ref="R115" authorId="0">
      <text>
        <r>
          <rPr>
            <b/>
            <sz val="12"/>
            <color indexed="81"/>
            <rFont val="System"/>
            <family val="2"/>
            <charset val="178"/>
          </rPr>
          <t>LOTFI@:
خلية لحجز رقم الحساب المتعلق بالموظف</t>
        </r>
      </text>
    </comment>
    <comment ref="T1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6" authorId="0">
      <text>
        <r>
          <rPr>
            <b/>
            <sz val="11"/>
            <color indexed="81"/>
            <rFont val="Times New Roman"/>
            <family val="1"/>
          </rPr>
          <t>LOTFI@:
رقم التسجيل في التعاضدية</t>
        </r>
      </text>
    </comment>
    <comment ref="R116" authorId="0">
      <text>
        <r>
          <rPr>
            <b/>
            <sz val="12"/>
            <color indexed="81"/>
            <rFont val="System"/>
            <family val="2"/>
            <charset val="178"/>
          </rPr>
          <t>LOTFI@:
خلية لحجز رقم الحساب المتعلق بالموظف</t>
        </r>
      </text>
    </comment>
    <comment ref="T1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7" authorId="0">
      <text>
        <r>
          <rPr>
            <b/>
            <sz val="11"/>
            <color indexed="81"/>
            <rFont val="Times New Roman"/>
            <family val="1"/>
          </rPr>
          <t>LOTFI@:
رقم التسجيل في التعاضدية</t>
        </r>
      </text>
    </comment>
    <comment ref="R117" authorId="0">
      <text>
        <r>
          <rPr>
            <b/>
            <sz val="12"/>
            <color indexed="81"/>
            <rFont val="System"/>
            <family val="2"/>
            <charset val="178"/>
          </rPr>
          <t>LOTFI@:
خلية لحجز رقم الحساب المتعلق بالموظف</t>
        </r>
      </text>
    </comment>
    <comment ref="T1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8" authorId="0">
      <text>
        <r>
          <rPr>
            <b/>
            <sz val="11"/>
            <color indexed="81"/>
            <rFont val="Times New Roman"/>
            <family val="1"/>
          </rPr>
          <t>LOTFI@:
رقم التسجيل في التعاضدية</t>
        </r>
      </text>
    </comment>
    <comment ref="R118" authorId="0">
      <text>
        <r>
          <rPr>
            <b/>
            <sz val="12"/>
            <color indexed="81"/>
            <rFont val="System"/>
            <family val="2"/>
            <charset val="178"/>
          </rPr>
          <t>LOTFI@:
خلية لحجز رقم الحساب المتعلق بالموظف</t>
        </r>
      </text>
    </comment>
    <comment ref="T1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19" authorId="0">
      <text>
        <r>
          <rPr>
            <b/>
            <sz val="11"/>
            <color indexed="81"/>
            <rFont val="Times New Roman"/>
            <family val="1"/>
          </rPr>
          <t>LOTFI@:
رقم التسجيل في التعاضدية</t>
        </r>
      </text>
    </comment>
    <comment ref="R119" authorId="0">
      <text>
        <r>
          <rPr>
            <b/>
            <sz val="12"/>
            <color indexed="81"/>
            <rFont val="System"/>
            <family val="2"/>
            <charset val="178"/>
          </rPr>
          <t>LOTFI@:
خلية لحجز رقم الحساب المتعلق بالموظف</t>
        </r>
      </text>
    </comment>
    <comment ref="T1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0" authorId="0">
      <text>
        <r>
          <rPr>
            <b/>
            <sz val="11"/>
            <color indexed="81"/>
            <rFont val="Times New Roman"/>
            <family val="1"/>
          </rPr>
          <t>LOTFI@:
رقم التسجيل في التعاضدية</t>
        </r>
      </text>
    </comment>
    <comment ref="R120" authorId="0">
      <text>
        <r>
          <rPr>
            <b/>
            <sz val="12"/>
            <color indexed="81"/>
            <rFont val="System"/>
            <family val="2"/>
            <charset val="178"/>
          </rPr>
          <t>LOTFI@:
خلية لحجز رقم الحساب المتعلق بالموظف</t>
        </r>
      </text>
    </comment>
    <comment ref="T1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1" authorId="0">
      <text>
        <r>
          <rPr>
            <b/>
            <sz val="11"/>
            <color indexed="81"/>
            <rFont val="Times New Roman"/>
            <family val="1"/>
          </rPr>
          <t>LOTFI@:
رقم التسجيل في التعاضدية</t>
        </r>
      </text>
    </comment>
    <comment ref="R121" authorId="0">
      <text>
        <r>
          <rPr>
            <b/>
            <sz val="12"/>
            <color indexed="81"/>
            <rFont val="System"/>
            <family val="2"/>
            <charset val="178"/>
          </rPr>
          <t>LOTFI@:
خلية لحجز رقم الحساب المتعلق بالموظف</t>
        </r>
      </text>
    </comment>
    <comment ref="T1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2" authorId="0">
      <text>
        <r>
          <rPr>
            <b/>
            <sz val="11"/>
            <color indexed="81"/>
            <rFont val="Times New Roman"/>
            <family val="1"/>
          </rPr>
          <t>LOTFI@:
رقم التسجيل في التعاضدية</t>
        </r>
      </text>
    </comment>
    <comment ref="R122" authorId="0">
      <text>
        <r>
          <rPr>
            <b/>
            <sz val="12"/>
            <color indexed="81"/>
            <rFont val="System"/>
            <family val="2"/>
            <charset val="178"/>
          </rPr>
          <t>LOTFI@:
خلية لحجز رقم الحساب المتعلق بالموظف</t>
        </r>
      </text>
    </comment>
    <comment ref="T1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3" authorId="0">
      <text>
        <r>
          <rPr>
            <b/>
            <sz val="11"/>
            <color indexed="81"/>
            <rFont val="Times New Roman"/>
            <family val="1"/>
          </rPr>
          <t>LOTFI@:
رقم التسجيل في التعاضدية</t>
        </r>
      </text>
    </comment>
    <comment ref="R123" authorId="0">
      <text>
        <r>
          <rPr>
            <b/>
            <sz val="12"/>
            <color indexed="81"/>
            <rFont val="System"/>
            <family val="2"/>
            <charset val="178"/>
          </rPr>
          <t>LOTFI@:
خلية لحجز رقم الحساب المتعلق بالموظف</t>
        </r>
      </text>
    </comment>
    <comment ref="T1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4" authorId="0">
      <text>
        <r>
          <rPr>
            <b/>
            <sz val="11"/>
            <color indexed="81"/>
            <rFont val="Times New Roman"/>
            <family val="1"/>
          </rPr>
          <t>LOTFI@:
رقم التسجيل في التعاضدية</t>
        </r>
      </text>
    </comment>
    <comment ref="R124" authorId="0">
      <text>
        <r>
          <rPr>
            <b/>
            <sz val="12"/>
            <color indexed="81"/>
            <rFont val="System"/>
            <family val="2"/>
            <charset val="178"/>
          </rPr>
          <t>LOTFI@:
خلية لحجز رقم الحساب المتعلق بالموظف</t>
        </r>
      </text>
    </comment>
    <comment ref="T1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5" authorId="0">
      <text>
        <r>
          <rPr>
            <b/>
            <sz val="11"/>
            <color indexed="81"/>
            <rFont val="Times New Roman"/>
            <family val="1"/>
          </rPr>
          <t>LOTFI@:
رقم التسجيل في التعاضدية</t>
        </r>
      </text>
    </comment>
    <comment ref="R125" authorId="0">
      <text>
        <r>
          <rPr>
            <b/>
            <sz val="12"/>
            <color indexed="81"/>
            <rFont val="System"/>
            <family val="2"/>
            <charset val="178"/>
          </rPr>
          <t>LOTFI@:
خلية لحجز رقم الحساب المتعلق بالموظف</t>
        </r>
      </text>
    </comment>
    <comment ref="T1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6" authorId="0">
      <text>
        <r>
          <rPr>
            <b/>
            <sz val="11"/>
            <color indexed="81"/>
            <rFont val="Times New Roman"/>
            <family val="1"/>
          </rPr>
          <t>LOTFI@:
رقم التسجيل في التعاضدية</t>
        </r>
      </text>
    </comment>
    <comment ref="R126" authorId="0">
      <text>
        <r>
          <rPr>
            <b/>
            <sz val="12"/>
            <color indexed="81"/>
            <rFont val="System"/>
            <family val="2"/>
            <charset val="178"/>
          </rPr>
          <t>LOTFI@:
خلية لحجز رقم الحساب المتعلق بالموظف</t>
        </r>
      </text>
    </comment>
    <comment ref="T1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7" authorId="0">
      <text>
        <r>
          <rPr>
            <b/>
            <sz val="11"/>
            <color indexed="81"/>
            <rFont val="Times New Roman"/>
            <family val="1"/>
          </rPr>
          <t>LOTFI@:
رقم التسجيل في التعاضدية</t>
        </r>
      </text>
    </comment>
    <comment ref="R127" authorId="0">
      <text>
        <r>
          <rPr>
            <b/>
            <sz val="12"/>
            <color indexed="81"/>
            <rFont val="System"/>
            <family val="2"/>
            <charset val="178"/>
          </rPr>
          <t>LOTFI@:
خلية لحجز رقم الحساب المتعلق بالموظف</t>
        </r>
      </text>
    </comment>
    <comment ref="T1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8" authorId="0">
      <text>
        <r>
          <rPr>
            <b/>
            <sz val="11"/>
            <color indexed="81"/>
            <rFont val="Times New Roman"/>
            <family val="1"/>
          </rPr>
          <t>LOTFI@:
رقم التسجيل في التعاضدية</t>
        </r>
      </text>
    </comment>
    <comment ref="R128" authorId="0">
      <text>
        <r>
          <rPr>
            <b/>
            <sz val="12"/>
            <color indexed="81"/>
            <rFont val="System"/>
            <family val="2"/>
            <charset val="178"/>
          </rPr>
          <t>LOTFI@:
خلية لحجز رقم الحساب المتعلق بالموظف</t>
        </r>
      </text>
    </comment>
    <comment ref="T1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29" authorId="0">
      <text>
        <r>
          <rPr>
            <b/>
            <sz val="11"/>
            <color indexed="81"/>
            <rFont val="Times New Roman"/>
            <family val="1"/>
          </rPr>
          <t>LOTFI@:
رقم التسجيل في التعاضدية</t>
        </r>
      </text>
    </comment>
    <comment ref="R129" authorId="0">
      <text>
        <r>
          <rPr>
            <b/>
            <sz val="12"/>
            <color indexed="81"/>
            <rFont val="System"/>
            <family val="2"/>
            <charset val="178"/>
          </rPr>
          <t>LOTFI@:
خلية لحجز رقم الحساب المتعلق بالموظف</t>
        </r>
      </text>
    </comment>
    <comment ref="T1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0" authorId="0">
      <text>
        <r>
          <rPr>
            <b/>
            <sz val="11"/>
            <color indexed="81"/>
            <rFont val="Times New Roman"/>
            <family val="1"/>
          </rPr>
          <t>LOTFI@:
رقم التسجيل في التعاضدية</t>
        </r>
      </text>
    </comment>
    <comment ref="R130" authorId="0">
      <text>
        <r>
          <rPr>
            <b/>
            <sz val="12"/>
            <color indexed="81"/>
            <rFont val="System"/>
            <family val="2"/>
            <charset val="178"/>
          </rPr>
          <t>LOTFI@:
خلية لحجز رقم الحساب المتعلق بالموظف</t>
        </r>
      </text>
    </comment>
    <comment ref="T1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1" authorId="0">
      <text>
        <r>
          <rPr>
            <b/>
            <sz val="11"/>
            <color indexed="81"/>
            <rFont val="Times New Roman"/>
            <family val="1"/>
          </rPr>
          <t>LOTFI@:
رقم التسجيل في التعاضدية</t>
        </r>
      </text>
    </comment>
    <comment ref="R131" authorId="0">
      <text>
        <r>
          <rPr>
            <b/>
            <sz val="12"/>
            <color indexed="81"/>
            <rFont val="System"/>
            <family val="2"/>
            <charset val="178"/>
          </rPr>
          <t>LOTFI@:
خلية لحجز رقم الحساب المتعلق بالموظف</t>
        </r>
      </text>
    </comment>
    <comment ref="T1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2" authorId="0">
      <text>
        <r>
          <rPr>
            <b/>
            <sz val="11"/>
            <color indexed="81"/>
            <rFont val="Times New Roman"/>
            <family val="1"/>
          </rPr>
          <t>LOTFI@:
رقم التسجيل في التعاضدية</t>
        </r>
      </text>
    </comment>
    <comment ref="R132" authorId="0">
      <text>
        <r>
          <rPr>
            <b/>
            <sz val="12"/>
            <color indexed="81"/>
            <rFont val="System"/>
            <family val="2"/>
            <charset val="178"/>
          </rPr>
          <t>LOTFI@:
خلية لحجز رقم الحساب المتعلق بالموظف</t>
        </r>
      </text>
    </comment>
    <comment ref="T1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3" authorId="0">
      <text>
        <r>
          <rPr>
            <b/>
            <sz val="11"/>
            <color indexed="81"/>
            <rFont val="Times New Roman"/>
            <family val="1"/>
          </rPr>
          <t>LOTFI@:
رقم التسجيل في التعاضدية</t>
        </r>
      </text>
    </comment>
    <comment ref="R133" authorId="0">
      <text>
        <r>
          <rPr>
            <b/>
            <sz val="12"/>
            <color indexed="81"/>
            <rFont val="System"/>
            <family val="2"/>
            <charset val="178"/>
          </rPr>
          <t>LOTFI@:
خلية لحجز رقم الحساب المتعلق بالموظف</t>
        </r>
      </text>
    </comment>
    <comment ref="T1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4" authorId="0">
      <text>
        <r>
          <rPr>
            <b/>
            <sz val="11"/>
            <color indexed="81"/>
            <rFont val="Times New Roman"/>
            <family val="1"/>
          </rPr>
          <t>LOTFI@:
رقم التسجيل في التعاضدية</t>
        </r>
      </text>
    </comment>
    <comment ref="R134" authorId="0">
      <text>
        <r>
          <rPr>
            <b/>
            <sz val="12"/>
            <color indexed="81"/>
            <rFont val="System"/>
            <family val="2"/>
            <charset val="178"/>
          </rPr>
          <t>LOTFI@:
خلية لحجز رقم الحساب المتعلق بالموظف</t>
        </r>
      </text>
    </comment>
    <comment ref="T1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5" authorId="0">
      <text>
        <r>
          <rPr>
            <b/>
            <sz val="11"/>
            <color indexed="81"/>
            <rFont val="Times New Roman"/>
            <family val="1"/>
          </rPr>
          <t>LOTFI@:
رقم التسجيل في التعاضدية</t>
        </r>
      </text>
    </comment>
    <comment ref="R135" authorId="0">
      <text>
        <r>
          <rPr>
            <b/>
            <sz val="12"/>
            <color indexed="81"/>
            <rFont val="System"/>
            <family val="2"/>
            <charset val="178"/>
          </rPr>
          <t>LOTFI@:
خلية لحجز رقم الحساب المتعلق بالموظف</t>
        </r>
      </text>
    </comment>
    <comment ref="T1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6" authorId="0">
      <text>
        <r>
          <rPr>
            <b/>
            <sz val="11"/>
            <color indexed="81"/>
            <rFont val="Times New Roman"/>
            <family val="1"/>
          </rPr>
          <t>LOTFI@:
رقم التسجيل في التعاضدية</t>
        </r>
      </text>
    </comment>
    <comment ref="R136" authorId="0">
      <text>
        <r>
          <rPr>
            <b/>
            <sz val="12"/>
            <color indexed="81"/>
            <rFont val="System"/>
            <family val="2"/>
            <charset val="178"/>
          </rPr>
          <t>LOTFI@:
خلية لحجز رقم الحساب المتعلق بالموظف</t>
        </r>
      </text>
    </comment>
    <comment ref="T1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7" authorId="0">
      <text>
        <r>
          <rPr>
            <b/>
            <sz val="11"/>
            <color indexed="81"/>
            <rFont val="Times New Roman"/>
            <family val="1"/>
          </rPr>
          <t>LOTFI@:
رقم التسجيل في التعاضدية</t>
        </r>
      </text>
    </comment>
    <comment ref="R137" authorId="0">
      <text>
        <r>
          <rPr>
            <b/>
            <sz val="12"/>
            <color indexed="81"/>
            <rFont val="System"/>
            <family val="2"/>
            <charset val="178"/>
          </rPr>
          <t>LOTFI@:
خلية لحجز رقم الحساب المتعلق بالموظف</t>
        </r>
      </text>
    </comment>
    <comment ref="T1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8" authorId="0">
      <text>
        <r>
          <rPr>
            <b/>
            <sz val="11"/>
            <color indexed="81"/>
            <rFont val="Times New Roman"/>
            <family val="1"/>
          </rPr>
          <t>LOTFI@:
رقم التسجيل في التعاضدية</t>
        </r>
      </text>
    </comment>
    <comment ref="R138" authorId="0">
      <text>
        <r>
          <rPr>
            <b/>
            <sz val="12"/>
            <color indexed="81"/>
            <rFont val="System"/>
            <family val="2"/>
            <charset val="178"/>
          </rPr>
          <t>LOTFI@:
خلية لحجز رقم الحساب المتعلق بالموظف</t>
        </r>
      </text>
    </comment>
    <comment ref="T1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39" authorId="0">
      <text>
        <r>
          <rPr>
            <b/>
            <sz val="11"/>
            <color indexed="81"/>
            <rFont val="Times New Roman"/>
            <family val="1"/>
          </rPr>
          <t>LOTFI@:
رقم التسجيل في التعاضدية</t>
        </r>
      </text>
    </comment>
    <comment ref="R139" authorId="0">
      <text>
        <r>
          <rPr>
            <b/>
            <sz val="12"/>
            <color indexed="81"/>
            <rFont val="System"/>
            <family val="2"/>
            <charset val="178"/>
          </rPr>
          <t>LOTFI@:
خلية لحجز رقم الحساب المتعلق بالموظف</t>
        </r>
      </text>
    </comment>
    <comment ref="T1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0" authorId="0">
      <text>
        <r>
          <rPr>
            <b/>
            <sz val="11"/>
            <color indexed="81"/>
            <rFont val="Times New Roman"/>
            <family val="1"/>
          </rPr>
          <t>LOTFI@:
رقم التسجيل في التعاضدية</t>
        </r>
      </text>
    </comment>
    <comment ref="R140" authorId="0">
      <text>
        <r>
          <rPr>
            <b/>
            <sz val="12"/>
            <color indexed="81"/>
            <rFont val="System"/>
            <family val="2"/>
            <charset val="178"/>
          </rPr>
          <t>LOTFI@:
خلية لحجز رقم الحساب المتعلق بالموظف</t>
        </r>
      </text>
    </comment>
    <comment ref="T1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1" authorId="0">
      <text>
        <r>
          <rPr>
            <b/>
            <sz val="11"/>
            <color indexed="81"/>
            <rFont val="Times New Roman"/>
            <family val="1"/>
          </rPr>
          <t>LOTFI@:
رقم التسجيل في التعاضدية</t>
        </r>
      </text>
    </comment>
    <comment ref="R141" authorId="0">
      <text>
        <r>
          <rPr>
            <b/>
            <sz val="12"/>
            <color indexed="81"/>
            <rFont val="System"/>
            <family val="2"/>
            <charset val="178"/>
          </rPr>
          <t>LOTFI@:
خلية لحجز رقم الحساب المتعلق بالموظف</t>
        </r>
      </text>
    </comment>
    <comment ref="T1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2" authorId="0">
      <text>
        <r>
          <rPr>
            <b/>
            <sz val="11"/>
            <color indexed="81"/>
            <rFont val="Times New Roman"/>
            <family val="1"/>
          </rPr>
          <t>LOTFI@:
رقم التسجيل في التعاضدية</t>
        </r>
      </text>
    </comment>
    <comment ref="R142" authorId="0">
      <text>
        <r>
          <rPr>
            <b/>
            <sz val="12"/>
            <color indexed="81"/>
            <rFont val="System"/>
            <family val="2"/>
            <charset val="178"/>
          </rPr>
          <t>LOTFI@:
خلية لحجز رقم الحساب المتعلق بالموظف</t>
        </r>
      </text>
    </comment>
    <comment ref="T1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3" authorId="0">
      <text>
        <r>
          <rPr>
            <b/>
            <sz val="11"/>
            <color indexed="81"/>
            <rFont val="Times New Roman"/>
            <family val="1"/>
          </rPr>
          <t>LOTFI@:
رقم التسجيل في التعاضدية</t>
        </r>
      </text>
    </comment>
    <comment ref="R143" authorId="0">
      <text>
        <r>
          <rPr>
            <b/>
            <sz val="12"/>
            <color indexed="81"/>
            <rFont val="System"/>
            <family val="2"/>
            <charset val="178"/>
          </rPr>
          <t>LOTFI@:
خلية لحجز رقم الحساب المتعلق بالموظف</t>
        </r>
      </text>
    </comment>
    <comment ref="T1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4" authorId="0">
      <text>
        <r>
          <rPr>
            <b/>
            <sz val="11"/>
            <color indexed="81"/>
            <rFont val="Times New Roman"/>
            <family val="1"/>
          </rPr>
          <t>LOTFI@:
رقم التسجيل في التعاضدية</t>
        </r>
      </text>
    </comment>
    <comment ref="R144" authorId="0">
      <text>
        <r>
          <rPr>
            <b/>
            <sz val="12"/>
            <color indexed="81"/>
            <rFont val="System"/>
            <family val="2"/>
            <charset val="178"/>
          </rPr>
          <t>LOTFI@:
خلية لحجز رقم الحساب المتعلق بالموظف</t>
        </r>
      </text>
    </comment>
    <comment ref="T1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5" authorId="0">
      <text>
        <r>
          <rPr>
            <b/>
            <sz val="11"/>
            <color indexed="81"/>
            <rFont val="Times New Roman"/>
            <family val="1"/>
          </rPr>
          <t>LOTFI@:
رقم التسجيل في التعاضدية</t>
        </r>
      </text>
    </comment>
    <comment ref="R145" authorId="0">
      <text>
        <r>
          <rPr>
            <b/>
            <sz val="12"/>
            <color indexed="81"/>
            <rFont val="System"/>
            <family val="2"/>
            <charset val="178"/>
          </rPr>
          <t>LOTFI@:
خلية لحجز رقم الحساب المتعلق بالموظف</t>
        </r>
      </text>
    </comment>
    <comment ref="T1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6" authorId="0">
      <text>
        <r>
          <rPr>
            <b/>
            <sz val="11"/>
            <color indexed="81"/>
            <rFont val="Times New Roman"/>
            <family val="1"/>
          </rPr>
          <t>LOTFI@:
رقم التسجيل في التعاضدية</t>
        </r>
      </text>
    </comment>
    <comment ref="R146" authorId="0">
      <text>
        <r>
          <rPr>
            <b/>
            <sz val="12"/>
            <color indexed="81"/>
            <rFont val="System"/>
            <family val="2"/>
            <charset val="178"/>
          </rPr>
          <t>LOTFI@:
خلية لحجز رقم الحساب المتعلق بالموظف</t>
        </r>
      </text>
    </comment>
    <comment ref="T1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7" authorId="0">
      <text>
        <r>
          <rPr>
            <b/>
            <sz val="11"/>
            <color indexed="81"/>
            <rFont val="Times New Roman"/>
            <family val="1"/>
          </rPr>
          <t>LOTFI@:
رقم التسجيل في التعاضدية</t>
        </r>
      </text>
    </comment>
    <comment ref="R147" authorId="0">
      <text>
        <r>
          <rPr>
            <b/>
            <sz val="12"/>
            <color indexed="81"/>
            <rFont val="System"/>
            <family val="2"/>
            <charset val="178"/>
          </rPr>
          <t>LOTFI@:
خلية لحجز رقم الحساب المتعلق بالموظف</t>
        </r>
      </text>
    </comment>
    <comment ref="T1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8" authorId="0">
      <text>
        <r>
          <rPr>
            <b/>
            <sz val="11"/>
            <color indexed="81"/>
            <rFont val="Times New Roman"/>
            <family val="1"/>
          </rPr>
          <t>LOTFI@:
رقم التسجيل في التعاضدية</t>
        </r>
      </text>
    </comment>
    <comment ref="R148" authorId="0">
      <text>
        <r>
          <rPr>
            <b/>
            <sz val="12"/>
            <color indexed="81"/>
            <rFont val="System"/>
            <family val="2"/>
            <charset val="178"/>
          </rPr>
          <t>LOTFI@:
خلية لحجز رقم الحساب المتعلق بالموظف</t>
        </r>
      </text>
    </comment>
    <comment ref="T1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49" authorId="0">
      <text>
        <r>
          <rPr>
            <b/>
            <sz val="11"/>
            <color indexed="81"/>
            <rFont val="Times New Roman"/>
            <family val="1"/>
          </rPr>
          <t>LOTFI@:
رقم التسجيل في التعاضدية</t>
        </r>
      </text>
    </comment>
    <comment ref="R149" authorId="0">
      <text>
        <r>
          <rPr>
            <b/>
            <sz val="12"/>
            <color indexed="81"/>
            <rFont val="System"/>
            <family val="2"/>
            <charset val="178"/>
          </rPr>
          <t>LOTFI@:
خلية لحجز رقم الحساب المتعلق بالموظف</t>
        </r>
      </text>
    </comment>
    <comment ref="T1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0" authorId="0">
      <text>
        <r>
          <rPr>
            <b/>
            <sz val="11"/>
            <color indexed="81"/>
            <rFont val="Times New Roman"/>
            <family val="1"/>
          </rPr>
          <t>LOTFI@:
رقم التسجيل في التعاضدية</t>
        </r>
      </text>
    </comment>
    <comment ref="R150" authorId="0">
      <text>
        <r>
          <rPr>
            <b/>
            <sz val="12"/>
            <color indexed="81"/>
            <rFont val="System"/>
            <family val="2"/>
            <charset val="178"/>
          </rPr>
          <t>LOTFI@:
خلية لحجز رقم الحساب المتعلق بالموظف</t>
        </r>
      </text>
    </comment>
    <comment ref="T1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1" authorId="0">
      <text>
        <r>
          <rPr>
            <b/>
            <sz val="11"/>
            <color indexed="81"/>
            <rFont val="Times New Roman"/>
            <family val="1"/>
          </rPr>
          <t>LOTFI@:
رقم التسجيل في التعاضدية</t>
        </r>
      </text>
    </comment>
    <comment ref="R151" authorId="0">
      <text>
        <r>
          <rPr>
            <b/>
            <sz val="12"/>
            <color indexed="81"/>
            <rFont val="System"/>
            <family val="2"/>
            <charset val="178"/>
          </rPr>
          <t>LOTFI@:
خلية لحجز رقم الحساب المتعلق بالموظف</t>
        </r>
      </text>
    </comment>
    <comment ref="T1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2" authorId="0">
      <text>
        <r>
          <rPr>
            <b/>
            <sz val="11"/>
            <color indexed="81"/>
            <rFont val="Times New Roman"/>
            <family val="1"/>
          </rPr>
          <t>LOTFI@:
رقم التسجيل في التعاضدية</t>
        </r>
      </text>
    </comment>
    <comment ref="R152" authorId="0">
      <text>
        <r>
          <rPr>
            <b/>
            <sz val="12"/>
            <color indexed="81"/>
            <rFont val="System"/>
            <family val="2"/>
            <charset val="178"/>
          </rPr>
          <t>LOTFI@:
خلية لحجز رقم الحساب المتعلق بالموظف</t>
        </r>
      </text>
    </comment>
    <comment ref="T1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3" authorId="0">
      <text>
        <r>
          <rPr>
            <b/>
            <sz val="11"/>
            <color indexed="81"/>
            <rFont val="Times New Roman"/>
            <family val="1"/>
          </rPr>
          <t>LOTFI@:
رقم التسجيل في التعاضدية</t>
        </r>
      </text>
    </comment>
    <comment ref="R153" authorId="0">
      <text>
        <r>
          <rPr>
            <b/>
            <sz val="12"/>
            <color indexed="81"/>
            <rFont val="System"/>
            <family val="2"/>
            <charset val="178"/>
          </rPr>
          <t>LOTFI@:
خلية لحجز رقم الحساب المتعلق بالموظف</t>
        </r>
      </text>
    </comment>
    <comment ref="T1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4" authorId="0">
      <text>
        <r>
          <rPr>
            <b/>
            <sz val="11"/>
            <color indexed="81"/>
            <rFont val="Times New Roman"/>
            <family val="1"/>
          </rPr>
          <t>LOTFI@:
رقم التسجيل في التعاضدية</t>
        </r>
      </text>
    </comment>
    <comment ref="R154" authorId="0">
      <text>
        <r>
          <rPr>
            <b/>
            <sz val="12"/>
            <color indexed="81"/>
            <rFont val="System"/>
            <family val="2"/>
            <charset val="178"/>
          </rPr>
          <t>LOTFI@:
خلية لحجز رقم الحساب المتعلق بالموظف</t>
        </r>
      </text>
    </comment>
    <comment ref="T1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5" authorId="0">
      <text>
        <r>
          <rPr>
            <b/>
            <sz val="11"/>
            <color indexed="81"/>
            <rFont val="Times New Roman"/>
            <family val="1"/>
          </rPr>
          <t>LOTFI@:
رقم التسجيل في التعاضدية</t>
        </r>
      </text>
    </comment>
    <comment ref="R155" authorId="0">
      <text>
        <r>
          <rPr>
            <b/>
            <sz val="12"/>
            <color indexed="81"/>
            <rFont val="System"/>
            <family val="2"/>
            <charset val="178"/>
          </rPr>
          <t>LOTFI@:
خلية لحجز رقم الحساب المتعلق بالموظف</t>
        </r>
      </text>
    </comment>
    <comment ref="T1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6" authorId="0">
      <text>
        <r>
          <rPr>
            <b/>
            <sz val="11"/>
            <color indexed="81"/>
            <rFont val="Times New Roman"/>
            <family val="1"/>
          </rPr>
          <t>LOTFI@:
رقم التسجيل في التعاضدية</t>
        </r>
      </text>
    </comment>
    <comment ref="R156" authorId="0">
      <text>
        <r>
          <rPr>
            <b/>
            <sz val="12"/>
            <color indexed="81"/>
            <rFont val="System"/>
            <family val="2"/>
            <charset val="178"/>
          </rPr>
          <t>LOTFI@:
خلية لحجز رقم الحساب المتعلق بالموظف</t>
        </r>
      </text>
    </comment>
    <comment ref="T1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7" authorId="0">
      <text>
        <r>
          <rPr>
            <b/>
            <sz val="11"/>
            <color indexed="81"/>
            <rFont val="Times New Roman"/>
            <family val="1"/>
          </rPr>
          <t>LOTFI@:
رقم التسجيل في التعاضدية</t>
        </r>
      </text>
    </comment>
    <comment ref="R157" authorId="0">
      <text>
        <r>
          <rPr>
            <b/>
            <sz val="12"/>
            <color indexed="81"/>
            <rFont val="System"/>
            <family val="2"/>
            <charset val="178"/>
          </rPr>
          <t>LOTFI@:
خلية لحجز رقم الحساب المتعلق بالموظف</t>
        </r>
      </text>
    </comment>
    <comment ref="T1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8" authorId="0">
      <text>
        <r>
          <rPr>
            <b/>
            <sz val="11"/>
            <color indexed="81"/>
            <rFont val="Times New Roman"/>
            <family val="1"/>
          </rPr>
          <t>LOTFI@:
رقم التسجيل في التعاضدية</t>
        </r>
      </text>
    </comment>
    <comment ref="R158" authorId="0">
      <text>
        <r>
          <rPr>
            <b/>
            <sz val="12"/>
            <color indexed="81"/>
            <rFont val="System"/>
            <family val="2"/>
            <charset val="178"/>
          </rPr>
          <t>LOTFI@:
خلية لحجز رقم الحساب المتعلق بالموظف</t>
        </r>
      </text>
    </comment>
    <comment ref="T1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59" authorId="0">
      <text>
        <r>
          <rPr>
            <b/>
            <sz val="11"/>
            <color indexed="81"/>
            <rFont val="Times New Roman"/>
            <family val="1"/>
          </rPr>
          <t>LOTFI@:
رقم التسجيل في التعاضدية</t>
        </r>
      </text>
    </comment>
    <comment ref="R159" authorId="0">
      <text>
        <r>
          <rPr>
            <b/>
            <sz val="12"/>
            <color indexed="81"/>
            <rFont val="System"/>
            <family val="2"/>
            <charset val="178"/>
          </rPr>
          <t>LOTFI@:
خلية لحجز رقم الحساب المتعلق بالموظف</t>
        </r>
      </text>
    </comment>
    <comment ref="T1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0" authorId="0">
      <text>
        <r>
          <rPr>
            <b/>
            <sz val="11"/>
            <color indexed="81"/>
            <rFont val="Times New Roman"/>
            <family val="1"/>
          </rPr>
          <t>LOTFI@:
رقم التسجيل في التعاضدية</t>
        </r>
      </text>
    </comment>
    <comment ref="R160" authorId="0">
      <text>
        <r>
          <rPr>
            <b/>
            <sz val="12"/>
            <color indexed="81"/>
            <rFont val="System"/>
            <family val="2"/>
            <charset val="178"/>
          </rPr>
          <t>LOTFI@:
خلية لحجز رقم الحساب المتعلق بالموظف</t>
        </r>
      </text>
    </comment>
    <comment ref="T1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1" authorId="0">
      <text>
        <r>
          <rPr>
            <b/>
            <sz val="11"/>
            <color indexed="81"/>
            <rFont val="Times New Roman"/>
            <family val="1"/>
          </rPr>
          <t>LOTFI@:
رقم التسجيل في التعاضدية</t>
        </r>
      </text>
    </comment>
    <comment ref="R161" authorId="0">
      <text>
        <r>
          <rPr>
            <b/>
            <sz val="12"/>
            <color indexed="81"/>
            <rFont val="System"/>
            <family val="2"/>
            <charset val="178"/>
          </rPr>
          <t>LOTFI@:
خلية لحجز رقم الحساب المتعلق بالموظف</t>
        </r>
      </text>
    </comment>
    <comment ref="T1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2" authorId="0">
      <text>
        <r>
          <rPr>
            <b/>
            <sz val="11"/>
            <color indexed="81"/>
            <rFont val="Times New Roman"/>
            <family val="1"/>
          </rPr>
          <t>LOTFI@:
رقم التسجيل في التعاضدية</t>
        </r>
      </text>
    </comment>
    <comment ref="R162" authorId="0">
      <text>
        <r>
          <rPr>
            <b/>
            <sz val="12"/>
            <color indexed="81"/>
            <rFont val="System"/>
            <family val="2"/>
            <charset val="178"/>
          </rPr>
          <t>LOTFI@:
خلية لحجز رقم الحساب المتعلق بالموظف</t>
        </r>
      </text>
    </comment>
    <comment ref="T1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3" authorId="0">
      <text>
        <r>
          <rPr>
            <b/>
            <sz val="11"/>
            <color indexed="81"/>
            <rFont val="Times New Roman"/>
            <family val="1"/>
          </rPr>
          <t>LOTFI@:
رقم التسجيل في التعاضدية</t>
        </r>
      </text>
    </comment>
    <comment ref="R163" authorId="0">
      <text>
        <r>
          <rPr>
            <b/>
            <sz val="12"/>
            <color indexed="81"/>
            <rFont val="System"/>
            <family val="2"/>
            <charset val="178"/>
          </rPr>
          <t>LOTFI@:
خلية لحجز رقم الحساب المتعلق بالموظف</t>
        </r>
      </text>
    </comment>
    <comment ref="T1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4" authorId="0">
      <text>
        <r>
          <rPr>
            <b/>
            <sz val="11"/>
            <color indexed="81"/>
            <rFont val="Times New Roman"/>
            <family val="1"/>
          </rPr>
          <t>LOTFI@:
رقم التسجيل في التعاضدية</t>
        </r>
      </text>
    </comment>
    <comment ref="R164" authorId="0">
      <text>
        <r>
          <rPr>
            <b/>
            <sz val="12"/>
            <color indexed="81"/>
            <rFont val="System"/>
            <family val="2"/>
            <charset val="178"/>
          </rPr>
          <t>LOTFI@:
خلية لحجز رقم الحساب المتعلق بالموظف</t>
        </r>
      </text>
    </comment>
    <comment ref="T1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5" authorId="0">
      <text>
        <r>
          <rPr>
            <b/>
            <sz val="11"/>
            <color indexed="81"/>
            <rFont val="Times New Roman"/>
            <family val="1"/>
          </rPr>
          <t>LOTFI@:
رقم التسجيل في التعاضدية</t>
        </r>
      </text>
    </comment>
    <comment ref="R165" authorId="0">
      <text>
        <r>
          <rPr>
            <b/>
            <sz val="12"/>
            <color indexed="81"/>
            <rFont val="System"/>
            <family val="2"/>
            <charset val="178"/>
          </rPr>
          <t>LOTFI@:
خلية لحجز رقم الحساب المتعلق بالموظف</t>
        </r>
      </text>
    </comment>
    <comment ref="T1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U1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Q166" authorId="0">
      <text>
        <r>
          <rPr>
            <b/>
            <sz val="11"/>
            <color indexed="81"/>
            <rFont val="Times New Roman"/>
            <family val="1"/>
          </rPr>
          <t>LOTFI@:
رقم التسجيل في التعاضدية</t>
        </r>
      </text>
    </comment>
    <comment ref="R166" authorId="0">
      <text>
        <r>
          <rPr>
            <b/>
            <sz val="12"/>
            <color indexed="81"/>
            <rFont val="System"/>
            <family val="2"/>
            <charset val="178"/>
          </rPr>
          <t>LOTFI@:
خلية لحجز رقم الحساب المتعلق بالموظف</t>
        </r>
      </text>
    </comment>
  </commentList>
</comments>
</file>

<file path=xl/comments13.xml><?xml version="1.0" encoding="utf-8"?>
<comments xmlns="http://schemas.openxmlformats.org/spreadsheetml/2006/main">
  <authors>
    <author>LOTFI@</author>
  </authors>
  <commentList>
    <comment ref="J11" authorId="0">
      <text>
        <r>
          <rPr>
            <b/>
            <sz val="24"/>
            <color indexed="81"/>
            <rFont val="Times New Roman"/>
            <family val="1"/>
          </rPr>
          <t>LOTFI@:</t>
        </r>
        <r>
          <rPr>
            <sz val="24"/>
            <color indexed="81"/>
            <rFont val="Times New Roman"/>
            <family val="1"/>
          </rPr>
          <t xml:space="preserve">
</t>
        </r>
        <r>
          <rPr>
            <b/>
            <sz val="24"/>
            <color indexed="81"/>
            <rFont val="Times New Roman"/>
            <family val="1"/>
          </rPr>
          <t xml:space="preserve">إختر رقم حالة الدفع المراد طبعها من القائمة المنسدلة </t>
        </r>
      </text>
    </comment>
    <comment ref="Y14" authorId="0">
      <text>
        <r>
          <rPr>
            <b/>
            <sz val="26"/>
            <color indexed="81"/>
            <rFont val="Times New Roman"/>
            <family val="1"/>
          </rPr>
          <t>LOTFI@:</t>
        </r>
        <r>
          <rPr>
            <sz val="26"/>
            <color indexed="81"/>
            <rFont val="Times New Roman"/>
            <family val="1"/>
          </rPr>
          <t xml:space="preserve">
</t>
        </r>
        <r>
          <rPr>
            <b/>
            <sz val="26"/>
            <color indexed="81"/>
            <rFont val="Times New Roman"/>
            <family val="1"/>
          </rPr>
          <t>قم بتحديد التصفية بناءا على إسم مقر البنك الموضح ضمن هذه الخلية باللون الأحمر</t>
        </r>
      </text>
    </comment>
  </commentList>
</comments>
</file>

<file path=xl/comments14.xml><?xml version="1.0" encoding="utf-8"?>
<comments xmlns="http://schemas.openxmlformats.org/spreadsheetml/2006/main">
  <authors>
    <author>LOTFI@</author>
  </authors>
  <commentList>
    <comment ref="C5" authorId="0">
      <text>
        <r>
          <rPr>
            <b/>
            <sz val="24"/>
            <color indexed="81"/>
            <rFont val="Times New Roman"/>
            <family val="1"/>
          </rPr>
          <t>LOTFI@:
قم بإختيار رقم الحوالة المراد طبعها من القائمة المنسدلة.</t>
        </r>
      </text>
    </comment>
  </commentList>
</comments>
</file>

<file path=xl/comments15.xml><?xml version="1.0" encoding="utf-8"?>
<comments xmlns="http://schemas.openxmlformats.org/spreadsheetml/2006/main">
  <authors>
    <author>LOTFI@</author>
  </authors>
  <commentList>
    <comment ref="D4" authorId="0">
      <text>
        <r>
          <rPr>
            <b/>
            <sz val="14"/>
            <color indexed="81"/>
            <rFont val="Times New Roman"/>
            <family val="1"/>
          </rPr>
          <t xml:space="preserve">LOTFI@:
إختر رقم الحوالة المراد طبع جدول الدفع الخاص بها </t>
        </r>
      </text>
    </comment>
    <comment ref="H9"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16.xml><?xml version="1.0" encoding="utf-8"?>
<comments xmlns="http://schemas.openxmlformats.org/spreadsheetml/2006/main">
  <authors>
    <author>LOTFI@</author>
  </authors>
  <commentList>
    <comment ref="C6" authorId="0">
      <text>
        <r>
          <rPr>
            <b/>
            <sz val="14"/>
            <color indexed="81"/>
            <rFont val="Times New Roman"/>
            <family val="1"/>
          </rPr>
          <t>LOTFI@:
قم بإختيار رقم حالة الدفع المراد طبع الخصومات لها وهذا من القائمة المنسدلة الموجودة.</t>
        </r>
      </text>
    </comment>
    <comment ref="F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خضم لدى الخدمات الإجتماعية</t>
        </r>
      </text>
    </comment>
    <comment ref="G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17.xml><?xml version="1.0" encoding="utf-8"?>
<comments xmlns="http://schemas.openxmlformats.org/spreadsheetml/2006/main">
  <authors>
    <author>LOTFI@</author>
  </authors>
  <commentList>
    <comment ref="F4" authorId="0">
      <text>
        <r>
          <rPr>
            <b/>
            <sz val="14"/>
            <color indexed="81"/>
            <rFont val="Times New Roman"/>
            <family val="1"/>
          </rPr>
          <t>LOTFI@:
قم بإختيار رقم حالة الدفع المراد طبع إشتركها في الضمان الإجتماعي وهذا ضمن القائمة المنسدلة الموجودة.</t>
        </r>
      </text>
    </comment>
  </commentList>
</comments>
</file>

<file path=xl/comments18.xml><?xml version="1.0" encoding="utf-8"?>
<comments xmlns="http://schemas.openxmlformats.org/spreadsheetml/2006/main">
  <authors>
    <author>LOTFI@</author>
  </authors>
  <commentList>
    <comment ref="E12" authorId="0">
      <text>
        <r>
          <rPr>
            <b/>
            <sz val="14"/>
            <color indexed="81"/>
            <rFont val="Times New Roman"/>
            <family val="1"/>
          </rPr>
          <t>LOTFI@:
قم بإختيار رقم حالة الدفع المراد طبع إشتركها في التعاضدية  وهذا ضمن القائمة المنسدلة الموجودة.</t>
        </r>
      </text>
    </comment>
    <comment ref="F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إشترك ضمن التعاضدية العامة للمالية</t>
        </r>
      </text>
    </comment>
    <comment ref="G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19.xml><?xml version="1.0" encoding="utf-8"?>
<comments xmlns="http://schemas.openxmlformats.org/spreadsheetml/2006/main">
  <authors>
    <author>LOTFI@</author>
  </authors>
  <commentList>
    <comment ref="H13"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الحساب الجاري البريدي الموضح ضمن هذه الخلية باللون الأحمر</t>
        </r>
      </text>
    </comment>
  </commentList>
</comments>
</file>

<file path=xl/comments2.xml><?xml version="1.0" encoding="utf-8"?>
<comments xmlns="http://schemas.openxmlformats.org/spreadsheetml/2006/main">
  <authors>
    <author>LOTFI@</author>
  </authors>
  <commentList>
    <comment ref="J12" authorId="0">
      <text>
        <r>
          <rPr>
            <b/>
            <sz val="36"/>
            <color indexed="81"/>
            <rFont val="Times New Roman"/>
            <family val="1"/>
          </rPr>
          <t>LOTFI@:
قم بإختيار رقم حالة الدفع لمقر الحساب المراد طبعها من القائمة المنسدلة,</t>
        </r>
      </text>
    </comment>
    <comment ref="Z14" authorId="0">
      <text>
        <r>
          <rPr>
            <b/>
            <sz val="26"/>
            <color indexed="81"/>
            <rFont val="Times New Roman"/>
            <family val="1"/>
          </rPr>
          <t>LOTFI@:</t>
        </r>
        <r>
          <rPr>
            <sz val="26"/>
            <color indexed="81"/>
            <rFont val="Times New Roman"/>
            <family val="1"/>
          </rPr>
          <t xml:space="preserve">
</t>
        </r>
        <r>
          <rPr>
            <b/>
            <sz val="26"/>
            <color indexed="81"/>
            <rFont val="Times New Roman"/>
            <family val="1"/>
          </rPr>
          <t>قم بتحديد التصفية بناءا على إسم مقر البنك الموضح ضمن هذه الخلية باللون الأحمر</t>
        </r>
      </text>
    </comment>
  </commentList>
</comments>
</file>

<file path=xl/comments20.xml><?xml version="1.0" encoding="utf-8"?>
<comments xmlns="http://schemas.openxmlformats.org/spreadsheetml/2006/main">
  <authors>
    <author>LOTFI@</author>
  </authors>
  <commentList>
    <comment ref="J11" authorId="0">
      <text>
        <r>
          <rPr>
            <b/>
            <sz val="24"/>
            <color indexed="81"/>
            <rFont val="Times New Roman"/>
            <family val="1"/>
          </rPr>
          <t>LOTFI@:
إختر رقم حالة الدفع المراد طبعها</t>
        </r>
      </text>
    </comment>
    <comment ref="Y14" authorId="0">
      <text>
        <r>
          <rPr>
            <b/>
            <sz val="26"/>
            <color indexed="81"/>
            <rFont val="Times New Roman"/>
            <family val="1"/>
          </rPr>
          <t>LOTFI@:</t>
        </r>
        <r>
          <rPr>
            <sz val="26"/>
            <color indexed="81"/>
            <rFont val="Times New Roman"/>
            <family val="1"/>
          </rPr>
          <t xml:space="preserve">
</t>
        </r>
        <r>
          <rPr>
            <b/>
            <sz val="26"/>
            <color indexed="81"/>
            <rFont val="Times New Roman"/>
            <family val="1"/>
          </rPr>
          <t>قم بتحديد التصفية بناءا على إسم مقر البنك الموضح ضمن هذه الخلية باللون الأحمر</t>
        </r>
      </text>
    </comment>
  </commentList>
</comments>
</file>

<file path=xl/comments21.xml><?xml version="1.0" encoding="utf-8"?>
<comments xmlns="http://schemas.openxmlformats.org/spreadsheetml/2006/main">
  <authors>
    <author>LOTFI@</author>
  </authors>
  <commentList>
    <comment ref="C5" authorId="0">
      <text>
        <r>
          <rPr>
            <b/>
            <sz val="24"/>
            <color indexed="81"/>
            <rFont val="Times New Roman"/>
            <family val="1"/>
          </rPr>
          <t>LOTFI@:
قم بإختيار رقم الحوالة المراد طبعها من القائمة المنسدلة.</t>
        </r>
      </text>
    </comment>
  </commentList>
</comments>
</file>

<file path=xl/comments22.xml><?xml version="1.0" encoding="utf-8"?>
<comments xmlns="http://schemas.openxmlformats.org/spreadsheetml/2006/main">
  <authors>
    <author>LOTFI@</author>
  </authors>
  <commentList>
    <comment ref="C6" authorId="0">
      <text>
        <r>
          <rPr>
            <b/>
            <sz val="14"/>
            <color indexed="81"/>
            <rFont val="Times New Roman"/>
            <family val="1"/>
          </rPr>
          <t>LOTFI@:
قم بإختيار رقم حالة الدفع المراد طبع الخصومات لها وهذا من القائمة المنسدلة الموجودة.</t>
        </r>
      </text>
    </comment>
    <comment ref="F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خضم لدى الخدمات الإجتماعية</t>
        </r>
      </text>
    </comment>
    <comment ref="G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23.xml><?xml version="1.0" encoding="utf-8"?>
<comments xmlns="http://schemas.openxmlformats.org/spreadsheetml/2006/main">
  <authors>
    <author>LOTFI@</author>
  </authors>
  <commentList>
    <comment ref="D4" authorId="0">
      <text>
        <r>
          <rPr>
            <b/>
            <sz val="16"/>
            <color indexed="81"/>
            <rFont val="Times New Roman"/>
            <family val="1"/>
          </rPr>
          <t>LOTFI@:</t>
        </r>
        <r>
          <rPr>
            <sz val="16"/>
            <color indexed="81"/>
            <rFont val="Times New Roman"/>
            <family val="1"/>
          </rPr>
          <t xml:space="preserve">
إختر رقم الحوالة المراد طبع جدول الدفع الخاص بها </t>
        </r>
      </text>
    </comment>
    <comment ref="H9"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24.xml><?xml version="1.0" encoding="utf-8"?>
<comments xmlns="http://schemas.openxmlformats.org/spreadsheetml/2006/main">
  <authors>
    <author>LOTFI@</author>
  </authors>
  <commentList>
    <comment ref="H13"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الحساب الجاري البريدي الموضح ضمن هذه الخلية باللون الأحمر</t>
        </r>
      </text>
    </comment>
  </commentList>
</comments>
</file>

<file path=xl/comments25.xml><?xml version="1.0" encoding="utf-8"?>
<comments xmlns="http://schemas.openxmlformats.org/spreadsheetml/2006/main">
  <authors>
    <author>LOTFI@</author>
  </authors>
  <commentList>
    <comment ref="E12" authorId="0">
      <text>
        <r>
          <rPr>
            <b/>
            <sz val="14"/>
            <color indexed="81"/>
            <rFont val="Times New Roman"/>
            <family val="1"/>
          </rPr>
          <t>LOTFI@:
قم بإختيار رقم حالة الدفع المراد طبع إشتركها في التعاضدية  وهذا ضمن القائمة المنسدلة الموجودة.</t>
        </r>
      </text>
    </comment>
    <comment ref="F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إشترك ضمن التعاضدية العامة للمالية</t>
        </r>
      </text>
    </comment>
    <comment ref="G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26.xml><?xml version="1.0" encoding="utf-8"?>
<comments xmlns="http://schemas.openxmlformats.org/spreadsheetml/2006/main">
  <authors>
    <author>LOTFI@</author>
  </authors>
  <commentList>
    <comment ref="C6" authorId="0">
      <text>
        <r>
          <rPr>
            <b/>
            <sz val="16"/>
            <color indexed="81"/>
            <rFont val="Times New Roman"/>
            <family val="1"/>
          </rPr>
          <t>LOTFI@:</t>
        </r>
        <r>
          <rPr>
            <sz val="16"/>
            <color indexed="81"/>
            <rFont val="Times New Roman"/>
            <family val="1"/>
          </rPr>
          <t xml:space="preserve">
إختر رقم سند التحصيل المراد طبعه ضمن قائمة الأرقام المحولة آليا من جدول التحصيل</t>
        </r>
      </text>
    </comment>
  </commentList>
</comments>
</file>

<file path=xl/comments27.xml><?xml version="1.0" encoding="utf-8"?>
<comments xmlns="http://schemas.openxmlformats.org/spreadsheetml/2006/main">
  <authors>
    <author>LOTFI@</author>
  </authors>
  <commentList>
    <comment ref="A11"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D11" authorId="0">
      <text>
        <r>
          <rPr>
            <b/>
            <sz val="18"/>
            <color indexed="81"/>
            <rFont val="Times New Roman"/>
            <family val="1"/>
          </rPr>
          <t xml:space="preserve">LOTFI@:
قم بكتابة حيثيلت الخصم </t>
        </r>
      </text>
    </comment>
    <comment ref="A14"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17"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0"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3"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6"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29"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2"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5"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38"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41"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 ref="A44" authorId="0">
      <text>
        <r>
          <rPr>
            <b/>
            <sz val="24"/>
            <color indexed="81"/>
            <rFont val="Times New Roman"/>
            <family val="1"/>
          </rPr>
          <t>LOTFI@:</t>
        </r>
        <r>
          <rPr>
            <sz val="24"/>
            <color indexed="81"/>
            <rFont val="Times New Roman"/>
            <family val="1"/>
          </rPr>
          <t xml:space="preserve">
إختر رقم الموظف المخصوم له من القائمة المنسدلة</t>
        </r>
      </text>
    </comment>
  </commentList>
</comments>
</file>

<file path=xl/comments28.xml><?xml version="1.0" encoding="utf-8"?>
<comments xmlns="http://schemas.openxmlformats.org/spreadsheetml/2006/main">
  <authors>
    <author>LOTFI@</author>
  </authors>
  <commentList>
    <comment ref="C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 authorId="0">
      <text>
        <r>
          <rPr>
            <b/>
            <u/>
            <sz val="10"/>
            <color indexed="81"/>
            <rFont val="Simplified Arabic"/>
            <family val="1"/>
          </rPr>
          <t>LOTFI@:</t>
        </r>
        <r>
          <rPr>
            <b/>
            <sz val="10"/>
            <color indexed="81"/>
            <rFont val="Simplified Arabic"/>
            <family val="1"/>
          </rPr>
          <t xml:space="preserve">
عدد الأطفال أكبر من 10 سنوات لا يفوق 3 حسب قانون المنح العائلية.</t>
        </r>
      </text>
    </comment>
    <comment ref="J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 authorId="0">
      <text>
        <r>
          <rPr>
            <b/>
            <sz val="12"/>
            <color indexed="81"/>
            <rFont val="Times New Roman"/>
            <family val="1"/>
          </rPr>
          <t>LOTFI@:
رقم التسجيل في التعاضدية</t>
        </r>
      </text>
    </comment>
    <comment ref="M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 authorId="0">
      <text>
        <r>
          <rPr>
            <b/>
            <sz val="12"/>
            <color indexed="81"/>
            <rFont val="Times New Roman"/>
            <family val="1"/>
          </rPr>
          <t>LOTFI@:
رقم التسجيل في التعاضدية</t>
        </r>
      </text>
    </comment>
    <comment ref="M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 authorId="0">
      <text>
        <r>
          <rPr>
            <b/>
            <sz val="12"/>
            <color indexed="81"/>
            <rFont val="Times New Roman"/>
            <family val="1"/>
          </rPr>
          <t>LOTFI@:
رقم التسجيل في التعاضدية</t>
        </r>
      </text>
    </comment>
    <comment ref="M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 authorId="0">
      <text>
        <r>
          <rPr>
            <b/>
            <sz val="12"/>
            <color indexed="81"/>
            <rFont val="Times New Roman"/>
            <family val="1"/>
          </rPr>
          <t>LOTFI@:
رقم التسجيل في التعاضدية</t>
        </r>
      </text>
    </comment>
    <comment ref="M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 authorId="0">
      <text>
        <r>
          <rPr>
            <b/>
            <sz val="12"/>
            <color indexed="81"/>
            <rFont val="Times New Roman"/>
            <family val="1"/>
          </rPr>
          <t>LOTFI@:
رقم التسجيل في التعاضدية</t>
        </r>
      </text>
    </comment>
    <comment ref="M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 authorId="0">
      <text>
        <r>
          <rPr>
            <b/>
            <sz val="12"/>
            <color indexed="81"/>
            <rFont val="Times New Roman"/>
            <family val="1"/>
          </rPr>
          <t>LOTFI@:
رقم التسجيل في التعاضدية</t>
        </r>
      </text>
    </comment>
    <comment ref="M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 authorId="0">
      <text>
        <r>
          <rPr>
            <b/>
            <sz val="12"/>
            <color indexed="81"/>
            <rFont val="Times New Roman"/>
            <family val="1"/>
          </rPr>
          <t>LOTFI@:
رقم التسجيل في التعاضدية</t>
        </r>
      </text>
    </comment>
    <comment ref="M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 authorId="0">
      <text>
        <r>
          <rPr>
            <b/>
            <sz val="12"/>
            <color indexed="81"/>
            <rFont val="Times New Roman"/>
            <family val="1"/>
          </rPr>
          <t>LOTFI@:
رقم التسجيل في التعاضدية</t>
        </r>
      </text>
    </comment>
    <comment ref="M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0" authorId="0">
      <text>
        <r>
          <rPr>
            <b/>
            <sz val="12"/>
            <color indexed="81"/>
            <rFont val="Times New Roman"/>
            <family val="1"/>
          </rPr>
          <t>LOTFI@:
رقم التسجيل في التعاضدية</t>
        </r>
      </text>
    </comment>
    <comment ref="M1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1" authorId="0">
      <text>
        <r>
          <rPr>
            <b/>
            <sz val="12"/>
            <color indexed="81"/>
            <rFont val="Times New Roman"/>
            <family val="1"/>
          </rPr>
          <t>LOTFI@:
رقم التسجيل في التعاضدية</t>
        </r>
      </text>
    </comment>
    <comment ref="M1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2" authorId="0">
      <text>
        <r>
          <rPr>
            <b/>
            <sz val="12"/>
            <color indexed="81"/>
            <rFont val="Times New Roman"/>
            <family val="1"/>
          </rPr>
          <t>LOTFI@:
رقم التسجيل في التعاضدية</t>
        </r>
      </text>
    </comment>
    <comment ref="M1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3" authorId="0">
      <text>
        <r>
          <rPr>
            <b/>
            <sz val="12"/>
            <color indexed="81"/>
            <rFont val="Times New Roman"/>
            <family val="1"/>
          </rPr>
          <t>LOTFI@:
رقم التسجيل في التعاضدية</t>
        </r>
      </text>
    </comment>
    <comment ref="M1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4" authorId="0">
      <text>
        <r>
          <rPr>
            <b/>
            <sz val="12"/>
            <color indexed="81"/>
            <rFont val="Times New Roman"/>
            <family val="1"/>
          </rPr>
          <t>LOTFI@:
رقم التسجيل في التعاضدية</t>
        </r>
      </text>
    </comment>
    <comment ref="M1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5" authorId="0">
      <text>
        <r>
          <rPr>
            <b/>
            <sz val="12"/>
            <color indexed="81"/>
            <rFont val="Times New Roman"/>
            <family val="1"/>
          </rPr>
          <t>LOTFI@:
رقم التسجيل في التعاضدية</t>
        </r>
      </text>
    </comment>
    <comment ref="M1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6" authorId="0">
      <text>
        <r>
          <rPr>
            <b/>
            <sz val="12"/>
            <color indexed="81"/>
            <rFont val="Times New Roman"/>
            <family val="1"/>
          </rPr>
          <t>LOTFI@:
رقم التسجيل في التعاضدية</t>
        </r>
      </text>
    </comment>
    <comment ref="M1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7" authorId="0">
      <text>
        <r>
          <rPr>
            <b/>
            <sz val="12"/>
            <color indexed="81"/>
            <rFont val="Times New Roman"/>
            <family val="1"/>
          </rPr>
          <t>LOTFI@:
رقم التسجيل في التعاضدية</t>
        </r>
      </text>
    </comment>
    <comment ref="M1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8" authorId="0">
      <text>
        <r>
          <rPr>
            <b/>
            <sz val="12"/>
            <color indexed="81"/>
            <rFont val="Times New Roman"/>
            <family val="1"/>
          </rPr>
          <t>LOTFI@:
رقم التسجيل في التعاضدية</t>
        </r>
      </text>
    </comment>
    <comment ref="M1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9" authorId="0">
      <text>
        <r>
          <rPr>
            <b/>
            <sz val="12"/>
            <color indexed="81"/>
            <rFont val="Times New Roman"/>
            <family val="1"/>
          </rPr>
          <t>LOTFI@:
رقم التسجيل في التعاضدية</t>
        </r>
      </text>
    </comment>
    <comment ref="M1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0" authorId="0">
      <text>
        <r>
          <rPr>
            <b/>
            <sz val="12"/>
            <color indexed="81"/>
            <rFont val="Times New Roman"/>
            <family val="1"/>
          </rPr>
          <t>LOTFI@:
رقم التسجيل في التعاضدية</t>
        </r>
      </text>
    </comment>
    <comment ref="M2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1" authorId="0">
      <text>
        <r>
          <rPr>
            <b/>
            <sz val="12"/>
            <color indexed="81"/>
            <rFont val="Times New Roman"/>
            <family val="1"/>
          </rPr>
          <t>LOTFI@:
رقم التسجيل في التعاضدية</t>
        </r>
      </text>
    </comment>
    <comment ref="M2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2" authorId="0">
      <text>
        <r>
          <rPr>
            <b/>
            <sz val="12"/>
            <color indexed="81"/>
            <rFont val="Times New Roman"/>
            <family val="1"/>
          </rPr>
          <t>LOTFI@:
رقم التسجيل في التعاضدية</t>
        </r>
      </text>
    </comment>
    <comment ref="M2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3" authorId="0">
      <text>
        <r>
          <rPr>
            <b/>
            <sz val="12"/>
            <color indexed="81"/>
            <rFont val="Times New Roman"/>
            <family val="1"/>
          </rPr>
          <t>LOTFI@:
رقم التسجيل في التعاضدية</t>
        </r>
      </text>
    </comment>
    <comment ref="M2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4" authorId="0">
      <text>
        <r>
          <rPr>
            <b/>
            <sz val="12"/>
            <color indexed="81"/>
            <rFont val="Times New Roman"/>
            <family val="1"/>
          </rPr>
          <t>LOTFI@:
رقم التسجيل في التعاضدية</t>
        </r>
      </text>
    </comment>
    <comment ref="M2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5" authorId="0">
      <text>
        <r>
          <rPr>
            <b/>
            <sz val="12"/>
            <color indexed="81"/>
            <rFont val="Times New Roman"/>
            <family val="1"/>
          </rPr>
          <t>LOTFI@:
رقم التسجيل في التعاضدية</t>
        </r>
      </text>
    </comment>
    <comment ref="M2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6" authorId="0">
      <text>
        <r>
          <rPr>
            <b/>
            <sz val="12"/>
            <color indexed="81"/>
            <rFont val="Times New Roman"/>
            <family val="1"/>
          </rPr>
          <t>LOTFI@:
رقم التسجيل في التعاضدية</t>
        </r>
      </text>
    </comment>
    <comment ref="M2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7" authorId="0">
      <text>
        <r>
          <rPr>
            <b/>
            <sz val="12"/>
            <color indexed="81"/>
            <rFont val="Times New Roman"/>
            <family val="1"/>
          </rPr>
          <t>LOTFI@:
رقم التسجيل في التعاضدية</t>
        </r>
      </text>
    </comment>
    <comment ref="M2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8" authorId="0">
      <text>
        <r>
          <rPr>
            <b/>
            <sz val="12"/>
            <color indexed="81"/>
            <rFont val="Times New Roman"/>
            <family val="1"/>
          </rPr>
          <t>LOTFI@:
رقم التسجيل في التعاضدية</t>
        </r>
      </text>
    </comment>
    <comment ref="M2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2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2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2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2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2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2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29" authorId="0">
      <text>
        <r>
          <rPr>
            <b/>
            <sz val="12"/>
            <color indexed="81"/>
            <rFont val="Times New Roman"/>
            <family val="1"/>
          </rPr>
          <t>LOTFI@:
رقم التسجيل في التعاضدية</t>
        </r>
      </text>
    </comment>
    <comment ref="M2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2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2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0" authorId="0">
      <text>
        <r>
          <rPr>
            <b/>
            <sz val="12"/>
            <color indexed="81"/>
            <rFont val="Times New Roman"/>
            <family val="1"/>
          </rPr>
          <t>LOTFI@:
رقم التسجيل في التعاضدية</t>
        </r>
      </text>
    </comment>
    <comment ref="M3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1" authorId="0">
      <text>
        <r>
          <rPr>
            <b/>
            <sz val="12"/>
            <color indexed="81"/>
            <rFont val="Times New Roman"/>
            <family val="1"/>
          </rPr>
          <t>LOTFI@:
رقم التسجيل في التعاضدية</t>
        </r>
      </text>
    </comment>
    <comment ref="M3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2" authorId="0">
      <text>
        <r>
          <rPr>
            <b/>
            <sz val="12"/>
            <color indexed="81"/>
            <rFont val="Times New Roman"/>
            <family val="1"/>
          </rPr>
          <t>LOTFI@:
رقم التسجيل في التعاضدية</t>
        </r>
      </text>
    </comment>
    <comment ref="M3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3" authorId="0">
      <text>
        <r>
          <rPr>
            <b/>
            <sz val="12"/>
            <color indexed="81"/>
            <rFont val="Times New Roman"/>
            <family val="1"/>
          </rPr>
          <t>LOTFI@:
رقم التسجيل في التعاضدية</t>
        </r>
      </text>
    </comment>
    <comment ref="M3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4" authorId="0">
      <text>
        <r>
          <rPr>
            <b/>
            <sz val="12"/>
            <color indexed="81"/>
            <rFont val="Times New Roman"/>
            <family val="1"/>
          </rPr>
          <t>LOTFI@:
رقم التسجيل في التعاضدية</t>
        </r>
      </text>
    </comment>
    <comment ref="M3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5" authorId="0">
      <text>
        <r>
          <rPr>
            <b/>
            <sz val="12"/>
            <color indexed="81"/>
            <rFont val="Times New Roman"/>
            <family val="1"/>
          </rPr>
          <t>LOTFI@:
رقم التسجيل في التعاضدية</t>
        </r>
      </text>
    </comment>
    <comment ref="M3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6" authorId="0">
      <text>
        <r>
          <rPr>
            <b/>
            <sz val="12"/>
            <color indexed="81"/>
            <rFont val="Times New Roman"/>
            <family val="1"/>
          </rPr>
          <t>LOTFI@:
رقم التسجيل في التعاضدية</t>
        </r>
      </text>
    </comment>
    <comment ref="M3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7" authorId="0">
      <text>
        <r>
          <rPr>
            <b/>
            <sz val="12"/>
            <color indexed="81"/>
            <rFont val="Times New Roman"/>
            <family val="1"/>
          </rPr>
          <t>LOTFI@:
رقم التسجيل في التعاضدية</t>
        </r>
      </text>
    </comment>
    <comment ref="M3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8" authorId="0">
      <text>
        <r>
          <rPr>
            <b/>
            <sz val="12"/>
            <color indexed="81"/>
            <rFont val="Times New Roman"/>
            <family val="1"/>
          </rPr>
          <t>LOTFI@:
رقم التسجيل في التعاضدية</t>
        </r>
      </text>
    </comment>
    <comment ref="M3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3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3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3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3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3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3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39" authorId="0">
      <text>
        <r>
          <rPr>
            <b/>
            <sz val="12"/>
            <color indexed="81"/>
            <rFont val="Times New Roman"/>
            <family val="1"/>
          </rPr>
          <t>LOTFI@:
رقم التسجيل في التعاضدية</t>
        </r>
      </text>
    </comment>
    <comment ref="M3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3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3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0" authorId="0">
      <text>
        <r>
          <rPr>
            <b/>
            <sz val="12"/>
            <color indexed="81"/>
            <rFont val="Times New Roman"/>
            <family val="1"/>
          </rPr>
          <t>LOTFI@:
رقم التسجيل في التعاضدية</t>
        </r>
      </text>
    </comment>
    <comment ref="M4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1" authorId="0">
      <text>
        <r>
          <rPr>
            <b/>
            <sz val="12"/>
            <color indexed="81"/>
            <rFont val="Times New Roman"/>
            <family val="1"/>
          </rPr>
          <t>LOTFI@:
رقم التسجيل في التعاضدية</t>
        </r>
      </text>
    </comment>
    <comment ref="M4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2" authorId="0">
      <text>
        <r>
          <rPr>
            <b/>
            <sz val="12"/>
            <color indexed="81"/>
            <rFont val="Times New Roman"/>
            <family val="1"/>
          </rPr>
          <t>LOTFI@:
رقم التسجيل في التعاضدية</t>
        </r>
      </text>
    </comment>
    <comment ref="M4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3" authorId="0">
      <text>
        <r>
          <rPr>
            <b/>
            <sz val="12"/>
            <color indexed="81"/>
            <rFont val="Times New Roman"/>
            <family val="1"/>
          </rPr>
          <t>LOTFI@:
رقم التسجيل في التعاضدية</t>
        </r>
      </text>
    </comment>
    <comment ref="M4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4" authorId="0">
      <text>
        <r>
          <rPr>
            <b/>
            <sz val="12"/>
            <color indexed="81"/>
            <rFont val="Times New Roman"/>
            <family val="1"/>
          </rPr>
          <t>LOTFI@:
رقم التسجيل في التعاضدية</t>
        </r>
      </text>
    </comment>
    <comment ref="M4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5" authorId="0">
      <text>
        <r>
          <rPr>
            <b/>
            <sz val="12"/>
            <color indexed="81"/>
            <rFont val="Times New Roman"/>
            <family val="1"/>
          </rPr>
          <t>LOTFI@:
رقم التسجيل في التعاضدية</t>
        </r>
      </text>
    </comment>
    <comment ref="M4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6" authorId="0">
      <text>
        <r>
          <rPr>
            <b/>
            <sz val="12"/>
            <color indexed="81"/>
            <rFont val="Times New Roman"/>
            <family val="1"/>
          </rPr>
          <t>LOTFI@:
رقم التسجيل في التعاضدية</t>
        </r>
      </text>
    </comment>
    <comment ref="M4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7" authorId="0">
      <text>
        <r>
          <rPr>
            <b/>
            <sz val="12"/>
            <color indexed="81"/>
            <rFont val="Times New Roman"/>
            <family val="1"/>
          </rPr>
          <t>LOTFI@:
رقم التسجيل في التعاضدية</t>
        </r>
      </text>
    </comment>
    <comment ref="M4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8" authorId="0">
      <text>
        <r>
          <rPr>
            <b/>
            <sz val="12"/>
            <color indexed="81"/>
            <rFont val="Times New Roman"/>
            <family val="1"/>
          </rPr>
          <t>LOTFI@:
رقم التسجيل في التعاضدية</t>
        </r>
      </text>
    </comment>
    <comment ref="M4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4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4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4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4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4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4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49" authorId="0">
      <text>
        <r>
          <rPr>
            <b/>
            <sz val="12"/>
            <color indexed="81"/>
            <rFont val="Times New Roman"/>
            <family val="1"/>
          </rPr>
          <t>LOTFI@:
رقم التسجيل في التعاضدية</t>
        </r>
      </text>
    </comment>
    <comment ref="M4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4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4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0" authorId="0">
      <text>
        <r>
          <rPr>
            <b/>
            <sz val="12"/>
            <color indexed="81"/>
            <rFont val="Times New Roman"/>
            <family val="1"/>
          </rPr>
          <t>LOTFI@:
رقم التسجيل في التعاضدية</t>
        </r>
      </text>
    </comment>
    <comment ref="M5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1" authorId="0">
      <text>
        <r>
          <rPr>
            <b/>
            <sz val="12"/>
            <color indexed="81"/>
            <rFont val="Times New Roman"/>
            <family val="1"/>
          </rPr>
          <t>LOTFI@:
رقم التسجيل في التعاضدية</t>
        </r>
      </text>
    </comment>
    <comment ref="M5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2" authorId="0">
      <text>
        <r>
          <rPr>
            <b/>
            <sz val="12"/>
            <color indexed="81"/>
            <rFont val="Times New Roman"/>
            <family val="1"/>
          </rPr>
          <t>LOTFI@:
رقم التسجيل في التعاضدية</t>
        </r>
      </text>
    </comment>
    <comment ref="M5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3" authorId="0">
      <text>
        <r>
          <rPr>
            <b/>
            <sz val="12"/>
            <color indexed="81"/>
            <rFont val="Times New Roman"/>
            <family val="1"/>
          </rPr>
          <t>LOTFI@:
رقم التسجيل في التعاضدية</t>
        </r>
      </text>
    </comment>
    <comment ref="M5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4" authorId="0">
      <text>
        <r>
          <rPr>
            <b/>
            <sz val="12"/>
            <color indexed="81"/>
            <rFont val="Times New Roman"/>
            <family val="1"/>
          </rPr>
          <t>LOTFI@:
رقم التسجيل في التعاضدية</t>
        </r>
      </text>
    </comment>
    <comment ref="M5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5" authorId="0">
      <text>
        <r>
          <rPr>
            <b/>
            <sz val="12"/>
            <color indexed="81"/>
            <rFont val="Times New Roman"/>
            <family val="1"/>
          </rPr>
          <t>LOTFI@:
رقم التسجيل في التعاضدية</t>
        </r>
      </text>
    </comment>
    <comment ref="M5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6" authorId="0">
      <text>
        <r>
          <rPr>
            <b/>
            <sz val="12"/>
            <color indexed="81"/>
            <rFont val="Times New Roman"/>
            <family val="1"/>
          </rPr>
          <t>LOTFI@:
رقم التسجيل في التعاضدية</t>
        </r>
      </text>
    </comment>
    <comment ref="M5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7" authorId="0">
      <text>
        <r>
          <rPr>
            <b/>
            <sz val="12"/>
            <color indexed="81"/>
            <rFont val="Times New Roman"/>
            <family val="1"/>
          </rPr>
          <t>LOTFI@:
رقم التسجيل في التعاضدية</t>
        </r>
      </text>
    </comment>
    <comment ref="M5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8" authorId="0">
      <text>
        <r>
          <rPr>
            <b/>
            <sz val="12"/>
            <color indexed="81"/>
            <rFont val="Times New Roman"/>
            <family val="1"/>
          </rPr>
          <t>LOTFI@:
رقم التسجيل في التعاضدية</t>
        </r>
      </text>
    </comment>
    <comment ref="M5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5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5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5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5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5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5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59" authorId="0">
      <text>
        <r>
          <rPr>
            <b/>
            <sz val="12"/>
            <color indexed="81"/>
            <rFont val="Times New Roman"/>
            <family val="1"/>
          </rPr>
          <t>LOTFI@:
رقم التسجيل في التعاضدية</t>
        </r>
      </text>
    </comment>
    <comment ref="M5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5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5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0" authorId="0">
      <text>
        <r>
          <rPr>
            <b/>
            <sz val="12"/>
            <color indexed="81"/>
            <rFont val="Times New Roman"/>
            <family val="1"/>
          </rPr>
          <t>LOTFI@:
رقم التسجيل في التعاضدية</t>
        </r>
      </text>
    </comment>
    <comment ref="M6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1" authorId="0">
      <text>
        <r>
          <rPr>
            <b/>
            <sz val="12"/>
            <color indexed="81"/>
            <rFont val="Times New Roman"/>
            <family val="1"/>
          </rPr>
          <t>LOTFI@:
رقم التسجيل في التعاضدية</t>
        </r>
      </text>
    </comment>
    <comment ref="M6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2" authorId="0">
      <text>
        <r>
          <rPr>
            <b/>
            <sz val="12"/>
            <color indexed="81"/>
            <rFont val="Times New Roman"/>
            <family val="1"/>
          </rPr>
          <t>LOTFI@:
رقم التسجيل في التعاضدية</t>
        </r>
      </text>
    </comment>
    <comment ref="M6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3" authorId="0">
      <text>
        <r>
          <rPr>
            <b/>
            <sz val="12"/>
            <color indexed="81"/>
            <rFont val="Times New Roman"/>
            <family val="1"/>
          </rPr>
          <t>LOTFI@:
رقم التسجيل في التعاضدية</t>
        </r>
      </text>
    </comment>
    <comment ref="M6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4" authorId="0">
      <text>
        <r>
          <rPr>
            <b/>
            <sz val="12"/>
            <color indexed="81"/>
            <rFont val="Times New Roman"/>
            <family val="1"/>
          </rPr>
          <t>LOTFI@:
رقم التسجيل في التعاضدية</t>
        </r>
      </text>
    </comment>
    <comment ref="M6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5" authorId="0">
      <text>
        <r>
          <rPr>
            <b/>
            <sz val="12"/>
            <color indexed="81"/>
            <rFont val="Times New Roman"/>
            <family val="1"/>
          </rPr>
          <t>LOTFI@:
رقم التسجيل في التعاضدية</t>
        </r>
      </text>
    </comment>
    <comment ref="M6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6" authorId="0">
      <text>
        <r>
          <rPr>
            <b/>
            <sz val="12"/>
            <color indexed="81"/>
            <rFont val="Times New Roman"/>
            <family val="1"/>
          </rPr>
          <t>LOTFI@:
رقم التسجيل في التعاضدية</t>
        </r>
      </text>
    </comment>
    <comment ref="M6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7" authorId="0">
      <text>
        <r>
          <rPr>
            <b/>
            <sz val="12"/>
            <color indexed="81"/>
            <rFont val="Times New Roman"/>
            <family val="1"/>
          </rPr>
          <t>LOTFI@:
رقم التسجيل في التعاضدية</t>
        </r>
      </text>
    </comment>
    <comment ref="M6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8" authorId="0">
      <text>
        <r>
          <rPr>
            <b/>
            <sz val="12"/>
            <color indexed="81"/>
            <rFont val="Times New Roman"/>
            <family val="1"/>
          </rPr>
          <t>LOTFI@:
رقم التسجيل في التعاضدية</t>
        </r>
      </text>
    </comment>
    <comment ref="M6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6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6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6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6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6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6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69" authorId="0">
      <text>
        <r>
          <rPr>
            <b/>
            <sz val="12"/>
            <color indexed="81"/>
            <rFont val="Times New Roman"/>
            <family val="1"/>
          </rPr>
          <t>LOTFI@:
رقم التسجيل في التعاضدية</t>
        </r>
      </text>
    </comment>
    <comment ref="M6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6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6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6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0" authorId="0">
      <text>
        <r>
          <rPr>
            <b/>
            <sz val="12"/>
            <color indexed="81"/>
            <rFont val="Times New Roman"/>
            <family val="1"/>
          </rPr>
          <t>LOTFI@:
رقم التسجيل في التعاضدية</t>
        </r>
      </text>
    </comment>
    <comment ref="M7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1" authorId="0">
      <text>
        <r>
          <rPr>
            <b/>
            <sz val="12"/>
            <color indexed="81"/>
            <rFont val="Times New Roman"/>
            <family val="1"/>
          </rPr>
          <t>LOTFI@:
رقم التسجيل في التعاضدية</t>
        </r>
      </text>
    </comment>
    <comment ref="M7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2" authorId="0">
      <text>
        <r>
          <rPr>
            <b/>
            <sz val="12"/>
            <color indexed="81"/>
            <rFont val="Times New Roman"/>
            <family val="1"/>
          </rPr>
          <t>LOTFI@:
رقم التسجيل في التعاضدية</t>
        </r>
      </text>
    </comment>
    <comment ref="M7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3" authorId="0">
      <text>
        <r>
          <rPr>
            <b/>
            <sz val="12"/>
            <color indexed="81"/>
            <rFont val="Times New Roman"/>
            <family val="1"/>
          </rPr>
          <t>LOTFI@:
رقم التسجيل في التعاضدية</t>
        </r>
      </text>
    </comment>
    <comment ref="M7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4" authorId="0">
      <text>
        <r>
          <rPr>
            <b/>
            <sz val="12"/>
            <color indexed="81"/>
            <rFont val="Times New Roman"/>
            <family val="1"/>
          </rPr>
          <t>LOTFI@:
رقم التسجيل في التعاضدية</t>
        </r>
      </text>
    </comment>
    <comment ref="M7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5" authorId="0">
      <text>
        <r>
          <rPr>
            <b/>
            <sz val="12"/>
            <color indexed="81"/>
            <rFont val="Times New Roman"/>
            <family val="1"/>
          </rPr>
          <t>LOTFI@:
رقم التسجيل في التعاضدية</t>
        </r>
      </text>
    </comment>
    <comment ref="M7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6" authorId="0">
      <text>
        <r>
          <rPr>
            <b/>
            <sz val="12"/>
            <color indexed="81"/>
            <rFont val="Times New Roman"/>
            <family val="1"/>
          </rPr>
          <t>LOTFI@:
رقم التسجيل في التعاضدية</t>
        </r>
      </text>
    </comment>
    <comment ref="M7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7" authorId="0">
      <text>
        <r>
          <rPr>
            <b/>
            <sz val="12"/>
            <color indexed="81"/>
            <rFont val="Times New Roman"/>
            <family val="1"/>
          </rPr>
          <t>LOTFI@:
رقم التسجيل في التعاضدية</t>
        </r>
      </text>
    </comment>
    <comment ref="M7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8" authorId="0">
      <text>
        <r>
          <rPr>
            <b/>
            <sz val="12"/>
            <color indexed="81"/>
            <rFont val="Times New Roman"/>
            <family val="1"/>
          </rPr>
          <t>LOTFI@:
رقم التسجيل في التعاضدية</t>
        </r>
      </text>
    </comment>
    <comment ref="M7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7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7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7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7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7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7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79" authorId="0">
      <text>
        <r>
          <rPr>
            <b/>
            <sz val="12"/>
            <color indexed="81"/>
            <rFont val="Times New Roman"/>
            <family val="1"/>
          </rPr>
          <t>LOTFI@:
رقم التسجيل في التعاضدية</t>
        </r>
      </text>
    </comment>
    <comment ref="M7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7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7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7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0" authorId="0">
      <text>
        <r>
          <rPr>
            <b/>
            <sz val="12"/>
            <color indexed="81"/>
            <rFont val="Times New Roman"/>
            <family val="1"/>
          </rPr>
          <t>LOTFI@:
رقم التسجيل في التعاضدية</t>
        </r>
      </text>
    </comment>
    <comment ref="M8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1" authorId="0">
      <text>
        <r>
          <rPr>
            <b/>
            <sz val="12"/>
            <color indexed="81"/>
            <rFont val="Times New Roman"/>
            <family val="1"/>
          </rPr>
          <t>LOTFI@:
رقم التسجيل في التعاضدية</t>
        </r>
      </text>
    </comment>
    <comment ref="M8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2" authorId="0">
      <text>
        <r>
          <rPr>
            <b/>
            <sz val="12"/>
            <color indexed="81"/>
            <rFont val="Times New Roman"/>
            <family val="1"/>
          </rPr>
          <t>LOTFI@:
رقم التسجيل في التعاضدية</t>
        </r>
      </text>
    </comment>
    <comment ref="M8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3" authorId="0">
      <text>
        <r>
          <rPr>
            <b/>
            <sz val="12"/>
            <color indexed="81"/>
            <rFont val="Times New Roman"/>
            <family val="1"/>
          </rPr>
          <t>LOTFI@:
رقم التسجيل في التعاضدية</t>
        </r>
      </text>
    </comment>
    <comment ref="M8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4" authorId="0">
      <text>
        <r>
          <rPr>
            <b/>
            <sz val="12"/>
            <color indexed="81"/>
            <rFont val="Times New Roman"/>
            <family val="1"/>
          </rPr>
          <t>LOTFI@:
رقم التسجيل في التعاضدية</t>
        </r>
      </text>
    </comment>
    <comment ref="M8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5" authorId="0">
      <text>
        <r>
          <rPr>
            <b/>
            <sz val="12"/>
            <color indexed="81"/>
            <rFont val="Times New Roman"/>
            <family val="1"/>
          </rPr>
          <t>LOTFI@:
رقم التسجيل في التعاضدية</t>
        </r>
      </text>
    </comment>
    <comment ref="M8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6" authorId="0">
      <text>
        <r>
          <rPr>
            <b/>
            <sz val="12"/>
            <color indexed="81"/>
            <rFont val="Times New Roman"/>
            <family val="1"/>
          </rPr>
          <t>LOTFI@:
رقم التسجيل في التعاضدية</t>
        </r>
      </text>
    </comment>
    <comment ref="M8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7" authorId="0">
      <text>
        <r>
          <rPr>
            <b/>
            <sz val="12"/>
            <color indexed="81"/>
            <rFont val="Times New Roman"/>
            <family val="1"/>
          </rPr>
          <t>LOTFI@:
رقم التسجيل في التعاضدية</t>
        </r>
      </text>
    </comment>
    <comment ref="M8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8" authorId="0">
      <text>
        <r>
          <rPr>
            <b/>
            <sz val="12"/>
            <color indexed="81"/>
            <rFont val="Times New Roman"/>
            <family val="1"/>
          </rPr>
          <t>LOTFI@:
رقم التسجيل في التعاضدية</t>
        </r>
      </text>
    </comment>
    <comment ref="M8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8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8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8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8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8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8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89" authorId="0">
      <text>
        <r>
          <rPr>
            <b/>
            <sz val="12"/>
            <color indexed="81"/>
            <rFont val="Times New Roman"/>
            <family val="1"/>
          </rPr>
          <t>LOTFI@:
رقم التسجيل في التعاضدية</t>
        </r>
      </text>
    </comment>
    <comment ref="M8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8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8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8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0" authorId="0">
      <text>
        <r>
          <rPr>
            <b/>
            <sz val="12"/>
            <color indexed="81"/>
            <rFont val="Times New Roman"/>
            <family val="1"/>
          </rPr>
          <t>LOTFI@:
رقم التسجيل في التعاضدية</t>
        </r>
      </text>
    </comment>
    <comment ref="M9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1"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1"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1"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1"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1"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1"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1" authorId="0">
      <text>
        <r>
          <rPr>
            <b/>
            <sz val="12"/>
            <color indexed="81"/>
            <rFont val="Times New Roman"/>
            <family val="1"/>
          </rPr>
          <t>LOTFI@:
رقم التسجيل في التعاضدية</t>
        </r>
      </text>
    </comment>
    <comment ref="M9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1"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1"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2"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2"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2"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2"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2"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2"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2" authorId="0">
      <text>
        <r>
          <rPr>
            <b/>
            <sz val="12"/>
            <color indexed="81"/>
            <rFont val="Times New Roman"/>
            <family val="1"/>
          </rPr>
          <t>LOTFI@:
رقم التسجيل في التعاضدية</t>
        </r>
      </text>
    </comment>
    <comment ref="M9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2"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2"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3"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3"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3"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3"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3"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3"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3" authorId="0">
      <text>
        <r>
          <rPr>
            <b/>
            <sz val="12"/>
            <color indexed="81"/>
            <rFont val="Times New Roman"/>
            <family val="1"/>
          </rPr>
          <t>LOTFI@:
رقم التسجيل في التعاضدية</t>
        </r>
      </text>
    </comment>
    <comment ref="M9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3"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3"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4"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4"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4"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4"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4"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4"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4" authorId="0">
      <text>
        <r>
          <rPr>
            <b/>
            <sz val="12"/>
            <color indexed="81"/>
            <rFont val="Times New Roman"/>
            <family val="1"/>
          </rPr>
          <t>LOTFI@:
رقم التسجيل في التعاضدية</t>
        </r>
      </text>
    </comment>
    <comment ref="M9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4"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4"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5"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5"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5"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5"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5"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5"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5" authorId="0">
      <text>
        <r>
          <rPr>
            <b/>
            <sz val="12"/>
            <color indexed="81"/>
            <rFont val="Times New Roman"/>
            <family val="1"/>
          </rPr>
          <t>LOTFI@:
رقم التسجيل في التعاضدية</t>
        </r>
      </text>
    </comment>
    <comment ref="M9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5"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5"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6"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6"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6"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6"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6"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6"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6" authorId="0">
      <text>
        <r>
          <rPr>
            <b/>
            <sz val="12"/>
            <color indexed="81"/>
            <rFont val="Times New Roman"/>
            <family val="1"/>
          </rPr>
          <t>LOTFI@:
رقم التسجيل في التعاضدية</t>
        </r>
      </text>
    </comment>
    <comment ref="M9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6"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6"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7"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7"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7"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7"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7"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7"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7" authorId="0">
      <text>
        <r>
          <rPr>
            <b/>
            <sz val="12"/>
            <color indexed="81"/>
            <rFont val="Times New Roman"/>
            <family val="1"/>
          </rPr>
          <t>LOTFI@:
رقم التسجيل في التعاضدية</t>
        </r>
      </text>
    </comment>
    <comment ref="M9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7"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7"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8"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8"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8"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8"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8"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8"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8" authorId="0">
      <text>
        <r>
          <rPr>
            <b/>
            <sz val="12"/>
            <color indexed="81"/>
            <rFont val="Times New Roman"/>
            <family val="1"/>
          </rPr>
          <t>LOTFI@:
رقم التسجيل في التعاضدية</t>
        </r>
      </text>
    </comment>
    <comment ref="M9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8"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8"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99"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99"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99"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99"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99"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99"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99" authorId="0">
      <text>
        <r>
          <rPr>
            <b/>
            <sz val="12"/>
            <color indexed="81"/>
            <rFont val="Times New Roman"/>
            <family val="1"/>
          </rPr>
          <t>LOTFI@:
رقم التسجيل في التعاضدية</t>
        </r>
      </text>
    </comment>
    <comment ref="M9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99"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9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99"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 ref="C100" authorId="0">
      <text>
        <r>
          <rPr>
            <b/>
            <u/>
            <sz val="9"/>
            <color indexed="81"/>
            <rFont val="Simplified Arabic"/>
            <family val="1"/>
          </rPr>
          <t>LOTFI@:</t>
        </r>
        <r>
          <rPr>
            <b/>
            <sz val="9"/>
            <color indexed="81"/>
            <rFont val="Simplified Arabic"/>
            <family val="1"/>
          </rPr>
          <t xml:space="preserve">
1-عون الوقاية من المستوى الثاني
2-عامل مهني من المستوى الرابع 
3-عون الوقاية من المستوى الأول
 4-عون الخدمة من المستوى الثالث
5-عامل مهني من المستوى الثالث 
</t>
        </r>
        <r>
          <rPr>
            <b/>
            <sz val="8"/>
            <color indexed="81"/>
            <rFont val="Simplified Arabic"/>
            <family val="1"/>
          </rPr>
          <t xml:space="preserve">6-سائق سيارة من المستوى الثالث و رئيس حضيرة </t>
        </r>
        <r>
          <rPr>
            <b/>
            <sz val="9"/>
            <color indexed="81"/>
            <rFont val="Simplified Arabic"/>
            <family val="1"/>
          </rPr>
          <t xml:space="preserve">
7-عون الخدمة من المستوى الثاني 
8-سائق سيارة من المستوى الثاني 
9-عامل مهني من المستوى الثاني 
10-سائق سيارة من المستوى الأول 
11- حارس 
12-عون الخدمة من المستوى الأول 
13-عامل مهني من المستوى الأول</t>
        </r>
      </text>
    </comment>
    <comment ref="E100" authorId="0">
      <text>
        <r>
          <rPr>
            <b/>
            <u/>
            <sz val="11"/>
            <color indexed="81"/>
            <rFont val="Simplified Arabic"/>
            <family val="1"/>
          </rPr>
          <t>LOTFI@:</t>
        </r>
        <r>
          <rPr>
            <b/>
            <sz val="11"/>
            <color indexed="81"/>
            <rFont val="Simplified Arabic"/>
            <family val="1"/>
          </rPr>
          <t xml:space="preserve">
</t>
        </r>
        <r>
          <rPr>
            <b/>
            <sz val="14"/>
            <color indexed="81"/>
            <rFont val="Simplified Arabic"/>
            <family val="1"/>
          </rPr>
          <t xml:space="preserve">ك </t>
        </r>
        <r>
          <rPr>
            <b/>
            <sz val="11"/>
            <color indexed="81"/>
            <rFont val="Simplified Arabic"/>
            <family val="1"/>
          </rPr>
          <t xml:space="preserve">: عامل متعاقد بالتوقيت الكامل.
</t>
        </r>
        <r>
          <rPr>
            <b/>
            <sz val="14"/>
            <color indexed="81"/>
            <rFont val="Simplified Arabic"/>
            <family val="1"/>
          </rPr>
          <t xml:space="preserve">ج </t>
        </r>
        <r>
          <rPr>
            <b/>
            <sz val="11"/>
            <color indexed="81"/>
            <rFont val="Simplified Arabic"/>
            <family val="1"/>
          </rPr>
          <t>: عامل متعاقد بالتوقيت الجزئي ( بالساعات).</t>
        </r>
      </text>
    </comment>
    <comment ref="G100" authorId="0">
      <text>
        <r>
          <rPr>
            <b/>
            <u/>
            <sz val="9"/>
            <color indexed="81"/>
            <rFont val="Times New Roman"/>
            <family val="1"/>
          </rPr>
          <t>LOTFI@:</t>
        </r>
        <r>
          <rPr>
            <b/>
            <sz val="9"/>
            <color indexed="81"/>
            <rFont val="Times New Roman"/>
            <family val="1"/>
          </rPr>
          <t xml:space="preserve">
عازب(ة).
عازب(ة)كفيل : موظف كفيل لأخوة.
متزوج(ة).
متزوج(ة)ماكثة : الزوجة لا تعمل.
متزوج(ة)عاملة.
مطلق(ة).</t>
        </r>
      </text>
    </comment>
    <comment ref="H100" authorId="0">
      <text>
        <r>
          <rPr>
            <b/>
            <u/>
            <sz val="9"/>
            <color indexed="81"/>
            <rFont val="Tahoma"/>
            <family val="2"/>
          </rPr>
          <t>LOTFI@:</t>
        </r>
        <r>
          <rPr>
            <sz val="9"/>
            <color indexed="81"/>
            <rFont val="Tahoma"/>
            <family val="2"/>
          </rPr>
          <t xml:space="preserve">
</t>
        </r>
        <r>
          <rPr>
            <sz val="10"/>
            <color indexed="81"/>
            <rFont val="Tahoma"/>
            <family val="2"/>
          </rPr>
          <t>حدد عدد الأطفال المستفيدين من المنحة طبقا لقانون المنح العائلية.</t>
        </r>
      </text>
    </comment>
    <comment ref="I100" authorId="0">
      <text>
        <r>
          <rPr>
            <b/>
            <u/>
            <sz val="10"/>
            <color indexed="81"/>
            <rFont val="Tahoma"/>
            <family val="2"/>
          </rPr>
          <t>LOTFI@:</t>
        </r>
        <r>
          <rPr>
            <sz val="10"/>
            <color indexed="81"/>
            <rFont val="Tahoma"/>
            <family val="2"/>
          </rPr>
          <t xml:space="preserve">
عدد الأطفال أكبر من 10 سنوات لا يفوق 3 حسب قانون المنح العائلية.</t>
        </r>
      </text>
    </comment>
    <comment ref="J100" authorId="0">
      <text>
        <r>
          <rPr>
            <b/>
            <u/>
            <sz val="9"/>
            <color indexed="81"/>
            <rFont val="Simplified Arabic"/>
            <family val="1"/>
          </rPr>
          <t>LOTFI@:</t>
        </r>
        <r>
          <rPr>
            <b/>
            <sz val="9"/>
            <color indexed="81"/>
            <rFont val="Simplified Arabic"/>
            <family val="1"/>
          </rPr>
          <t xml:space="preserve">
خلية خاص بإشتراك الموظف في التعاضدية:
- ضع 0 إذا غير مشترك.
- ضع 1 إذا مشترك.</t>
        </r>
      </text>
    </comment>
    <comment ref="K100" authorId="0">
      <text>
        <r>
          <rPr>
            <b/>
            <sz val="12"/>
            <color indexed="81"/>
            <rFont val="Times New Roman"/>
            <family val="1"/>
          </rPr>
          <t>LOTFI@:
رقم التسجيل في التعاضدية</t>
        </r>
      </text>
    </comment>
    <comment ref="M10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ت.جزئي (بالساعات)</t>
        </r>
      </text>
    </comment>
    <comment ref="N100" authorId="0">
      <text>
        <r>
          <rPr>
            <b/>
            <u/>
            <sz val="9"/>
            <color indexed="81"/>
            <rFont val="Tahoma"/>
            <family val="2"/>
          </rPr>
          <t>LOTFI@:</t>
        </r>
        <r>
          <rPr>
            <sz val="9"/>
            <color indexed="81"/>
            <rFont val="Tahoma"/>
            <family val="2"/>
          </rPr>
          <t xml:space="preserve">
</t>
        </r>
        <r>
          <rPr>
            <b/>
            <sz val="14"/>
            <color indexed="81"/>
            <rFont val="Times New Roman"/>
            <family val="1"/>
          </rPr>
          <t>حدد مقر حساب الموظف المتعاقد بالتوقيت الكامل.</t>
        </r>
      </text>
    </comment>
    <comment ref="V10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يكمل الفارق في الدخل للوصول للأجر الوطني الأدنى المضمون طبقا للمنشور الوزاري المشترك </t>
        </r>
      </text>
    </comment>
    <comment ref="W100" authorId="0">
      <text>
        <r>
          <rPr>
            <b/>
            <sz val="9"/>
            <color indexed="81"/>
            <rFont val="Tahoma"/>
            <family val="2"/>
          </rPr>
          <t>LOTFI@:</t>
        </r>
        <r>
          <rPr>
            <sz val="9"/>
            <color indexed="81"/>
            <rFont val="Tahoma"/>
            <family val="2"/>
          </rPr>
          <t xml:space="preserve">
</t>
        </r>
        <r>
          <rPr>
            <b/>
            <sz val="10"/>
            <color indexed="81"/>
            <rFont val="System"/>
            <family val="2"/>
            <charset val="178"/>
          </rPr>
          <t xml:space="preserve">مبلغ يحجز مباشرة كمخلفات لتعديل الأجر الوطني الأدنى المضمون طبقا للمنشور الوزاري المشترك </t>
        </r>
      </text>
    </comment>
  </commentList>
</comments>
</file>

<file path=xl/comments3.xml><?xml version="1.0" encoding="utf-8"?>
<comments xmlns="http://schemas.openxmlformats.org/spreadsheetml/2006/main">
  <authors>
    <author>LOTFI@</author>
  </authors>
  <commentList>
    <comment ref="C5" authorId="0">
      <text>
        <r>
          <rPr>
            <b/>
            <sz val="26"/>
            <color indexed="81"/>
            <rFont val="Times New Roman"/>
            <family val="1"/>
          </rPr>
          <t>LOTFI@:
قم بإختيار رقم الحوالة المراد طبعها من القائمة المنسدلة.</t>
        </r>
      </text>
    </comment>
  </commentList>
</comments>
</file>

<file path=xl/comments4.xml><?xml version="1.0" encoding="utf-8"?>
<comments xmlns="http://schemas.openxmlformats.org/spreadsheetml/2006/main">
  <authors>
    <author>LOTFI@</author>
  </authors>
  <commentList>
    <comment ref="F4" authorId="0">
      <text>
        <r>
          <rPr>
            <b/>
            <sz val="14"/>
            <color indexed="81"/>
            <rFont val="Times New Roman"/>
            <family val="1"/>
          </rPr>
          <t>LOTFI@:
قم بإختيار رقم حالة الدفع المراد طبع إشتركها في الضمان الإجتماعي وهذا ضمن القائمة المنسدلة الموجودة.</t>
        </r>
      </text>
    </comment>
  </commentList>
</comments>
</file>

<file path=xl/comments5.xml><?xml version="1.0" encoding="utf-8"?>
<comments xmlns="http://schemas.openxmlformats.org/spreadsheetml/2006/main">
  <authors>
    <author>LOTFI@</author>
  </authors>
  <commentList>
    <comment ref="C6" authorId="0">
      <text>
        <r>
          <rPr>
            <b/>
            <sz val="26"/>
            <color indexed="81"/>
            <rFont val="Times New Roman"/>
            <family val="1"/>
          </rPr>
          <t>LOTFI@:
قم بإختيار رقم الحوالة المراد طبعها من القائمة المنسدلة.</t>
        </r>
      </text>
    </comment>
    <comment ref="F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خضم لدى الخدمات الإجتماعية</t>
        </r>
      </text>
    </comment>
    <comment ref="G16"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6.xml><?xml version="1.0" encoding="utf-8"?>
<comments xmlns="http://schemas.openxmlformats.org/spreadsheetml/2006/main">
  <authors>
    <author>LOTFI@</author>
  </authors>
  <commentList>
    <comment ref="D12" authorId="0">
      <text>
        <r>
          <rPr>
            <b/>
            <sz val="14"/>
            <color indexed="81"/>
            <rFont val="Times New Roman"/>
            <family val="1"/>
          </rPr>
          <t>LOTFI@:
قم بإختيار رقم حالة الدفع المراد طبع إشتركها في التعاضدية  وهذا ضمن القائمة المنسدلة الموجودة.</t>
        </r>
      </text>
    </comment>
    <comment ref="E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رقم 1 والتي تمثل كل موظف له إشترك ضمن التعاضدية العامة للمالية</t>
        </r>
      </text>
    </comment>
    <comment ref="F14"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7.xml><?xml version="1.0" encoding="utf-8"?>
<comments xmlns="http://schemas.openxmlformats.org/spreadsheetml/2006/main">
  <authors>
    <author>LOTFI@</author>
  </authors>
  <commentList>
    <comment ref="BR2" authorId="0">
      <text>
        <r>
          <rPr>
            <b/>
            <sz val="18"/>
            <color indexed="81"/>
            <rFont val="Times New Roman"/>
            <family val="1"/>
          </rPr>
          <t>LOTFI@:</t>
        </r>
        <r>
          <rPr>
            <sz val="18"/>
            <color indexed="81"/>
            <rFont val="Times New Roman"/>
            <family val="1"/>
          </rPr>
          <t xml:space="preserve">
قم بتحديد رقم الحوالة المراد طبع ضريبة على الدخل التابعة لها (IRG) تجد أرقام حوالات العمال الدائمين والمتعاقدين</t>
        </r>
      </text>
    </comment>
  </commentList>
</comments>
</file>

<file path=xl/comments8.xml><?xml version="1.0" encoding="utf-8"?>
<comments xmlns="http://schemas.openxmlformats.org/spreadsheetml/2006/main">
  <authors>
    <author>LOTFI@</author>
  </authors>
  <commentList>
    <comment ref="D4" authorId="0">
      <text>
        <r>
          <rPr>
            <sz val="14"/>
            <color indexed="81"/>
            <rFont val="Times New Roman"/>
            <family val="1"/>
          </rPr>
          <t>LOTFI@:
إختر رقم الحوالة المراد طبع جدول الدفع الخاص بها</t>
        </r>
      </text>
    </comment>
    <comment ref="H9"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إسم مقر البنك الموضح ضمن هذه الخلية باللون الأحمر</t>
        </r>
      </text>
    </comment>
  </commentList>
</comments>
</file>

<file path=xl/comments9.xml><?xml version="1.0" encoding="utf-8"?>
<comments xmlns="http://schemas.openxmlformats.org/spreadsheetml/2006/main">
  <authors>
    <author>LOTFI@</author>
  </authors>
  <commentList>
    <comment ref="H13" authorId="0">
      <text>
        <r>
          <rPr>
            <b/>
            <sz val="18"/>
            <color indexed="81"/>
            <rFont val="Times New Roman"/>
            <family val="1"/>
          </rPr>
          <t>LOTFI@:</t>
        </r>
        <r>
          <rPr>
            <sz val="18"/>
            <color indexed="81"/>
            <rFont val="Times New Roman"/>
            <family val="1"/>
          </rPr>
          <t xml:space="preserve">
</t>
        </r>
        <r>
          <rPr>
            <b/>
            <sz val="18"/>
            <color indexed="81"/>
            <rFont val="Times New Roman"/>
            <family val="1"/>
          </rPr>
          <t>قم بتحديد التصفية بناءا على الحساب الجاري البريدي الموضح ضمن هذه الخلية باللون الأحمر</t>
        </r>
      </text>
    </comment>
  </commentList>
</comments>
</file>

<file path=xl/sharedStrings.xml><?xml version="1.0" encoding="utf-8"?>
<sst xmlns="http://schemas.openxmlformats.org/spreadsheetml/2006/main" count="3130" uniqueCount="913">
  <si>
    <t>الإسم واللقب</t>
  </si>
  <si>
    <t>الجمهورية الجزائرية الديمقراطية الشعبية</t>
  </si>
  <si>
    <t>وزارة المالية</t>
  </si>
  <si>
    <t>الزيادة بدرجتين</t>
  </si>
  <si>
    <t>الأجر الأساسي</t>
  </si>
  <si>
    <t>تعويض المنطقة</t>
  </si>
  <si>
    <t>منحة جزافية تعويضية</t>
  </si>
  <si>
    <t>المجموع الخام</t>
  </si>
  <si>
    <r>
      <t xml:space="preserve">تعويض الخدمات الادارية المشتركة </t>
    </r>
    <r>
      <rPr>
        <b/>
        <sz val="10"/>
        <rFont val="Arial"/>
        <family val="2"/>
      </rPr>
      <t>25%&amp;40%</t>
    </r>
  </si>
  <si>
    <r>
      <t xml:space="preserve">تعويض الخدمات التقنية المشتركة </t>
    </r>
    <r>
      <rPr>
        <b/>
        <sz val="10"/>
        <rFont val="Arial"/>
        <family val="2"/>
      </rPr>
      <t>25%&amp;40%</t>
    </r>
  </si>
  <si>
    <r>
      <t xml:space="preserve">تعويض الضرر </t>
    </r>
    <r>
      <rPr>
        <b/>
        <sz val="10"/>
        <rFont val="Arial"/>
        <family val="2"/>
      </rPr>
      <t>25%</t>
    </r>
  </si>
  <si>
    <r>
      <t xml:space="preserve">التعويض الجزافي عن الخدمة </t>
    </r>
    <r>
      <rPr>
        <b/>
        <sz val="10"/>
        <rFont val="Arial"/>
        <family val="2"/>
      </rPr>
      <t>25%</t>
    </r>
  </si>
  <si>
    <r>
      <t xml:space="preserve">تعويض تقنية أملاك الدولة والحفظ العقاري </t>
    </r>
    <r>
      <rPr>
        <b/>
        <sz val="10"/>
        <rFont val="Arial"/>
        <family val="2"/>
      </rPr>
      <t>40%&amp;30%</t>
    </r>
  </si>
  <si>
    <r>
      <t xml:space="preserve">تعويض الخطر والإلزام </t>
    </r>
    <r>
      <rPr>
        <b/>
        <sz val="10"/>
        <rFont val="Arial"/>
        <family val="2"/>
      </rPr>
      <t>25%</t>
    </r>
  </si>
  <si>
    <r>
      <t xml:space="preserve">تعويض دعم نشاطات الادارة </t>
    </r>
    <r>
      <rPr>
        <b/>
        <sz val="10"/>
        <rFont val="Arial"/>
        <family val="2"/>
      </rPr>
      <t>10%</t>
    </r>
  </si>
  <si>
    <r>
      <t xml:space="preserve">التعويض الخاص بتسيير المالية العامة </t>
    </r>
    <r>
      <rPr>
        <b/>
        <sz val="10"/>
        <rFont val="Arial"/>
        <family val="2"/>
      </rPr>
      <t>20%</t>
    </r>
  </si>
  <si>
    <t>01</t>
  </si>
  <si>
    <t>رقم</t>
  </si>
  <si>
    <t>طريقة الدفع</t>
  </si>
  <si>
    <t>الرقم</t>
  </si>
  <si>
    <t>التاريخ</t>
  </si>
  <si>
    <t>صنف المستخدمين</t>
  </si>
  <si>
    <t>33-11</t>
  </si>
  <si>
    <t>abss</t>
  </si>
  <si>
    <t>ض.إج.</t>
  </si>
  <si>
    <t>ض.د.إج.</t>
  </si>
  <si>
    <t>خصم المحاسب</t>
  </si>
  <si>
    <t>إ.ت.ش.س</t>
  </si>
  <si>
    <t>التقاعد</t>
  </si>
  <si>
    <t xml:space="preserve"> التعاضد</t>
  </si>
  <si>
    <t>المنطقة</t>
  </si>
  <si>
    <t>التعويض الخاص بتسيير المالية العمومية</t>
  </si>
  <si>
    <t>المجمــــــــوع</t>
  </si>
  <si>
    <r>
      <t>أوقف  المبلغ</t>
    </r>
    <r>
      <rPr>
        <i/>
        <u/>
        <sz val="36"/>
        <rFont val="Simplified Arabic"/>
        <family val="1"/>
      </rPr>
      <t>:</t>
    </r>
  </si>
  <si>
    <t>31-12</t>
  </si>
  <si>
    <t>31-11</t>
  </si>
  <si>
    <t>علاوة الخاصة بالمنصب</t>
  </si>
  <si>
    <t>المجمــــوع الخـــــام</t>
  </si>
  <si>
    <t>إقتطـــاع الخدمــــــــات الإجتمـاعيـــــــة</t>
  </si>
  <si>
    <t>صـــــافـــي الدفـــــع</t>
  </si>
  <si>
    <t>رقـــــم الحســـــاب</t>
  </si>
  <si>
    <t xml:space="preserve"> الصنـــــف        و الدرجـــــة</t>
  </si>
  <si>
    <t>اللقـــب و الإســــم</t>
  </si>
  <si>
    <t xml:space="preserve">حــالـــــــــــة دفــــــــــــــــع </t>
  </si>
  <si>
    <t>الإقتـــطــــــــاعـــــــــــــــات</t>
  </si>
  <si>
    <t>المنح عائلية</t>
  </si>
  <si>
    <t>-ت.الإستعمال الشخصي للسيارة.   - منحة السكن.</t>
  </si>
  <si>
    <t>حـــوالـــة الدفــع</t>
  </si>
  <si>
    <t>نمودج 32 س ( حزمة رقم 9س )</t>
  </si>
  <si>
    <t xml:space="preserve">للمرتبات بالتحويل إلى الحسابات الجارية أو إلى </t>
  </si>
  <si>
    <t>الحسابات المفتوحة للمستفيدين في قيود محاسبي الخزينة</t>
  </si>
  <si>
    <t>رقم :  الأمر بالصرف :  33</t>
  </si>
  <si>
    <t>حوالة : ................</t>
  </si>
  <si>
    <t xml:space="preserve">مرجع كشف الدفع رقم :  </t>
  </si>
  <si>
    <t>م د</t>
  </si>
  <si>
    <r>
      <t xml:space="preserve">الباب ................................ </t>
    </r>
    <r>
      <rPr>
        <sz val="18"/>
        <rFont val="Traditional Arabic"/>
        <family val="1"/>
      </rPr>
      <t>31-11</t>
    </r>
  </si>
  <si>
    <r>
      <t xml:space="preserve">الباب ................................ </t>
    </r>
    <r>
      <rPr>
        <sz val="18"/>
        <rFont val="Traditional Arabic"/>
        <family val="1"/>
      </rPr>
      <t>31-12</t>
    </r>
  </si>
  <si>
    <r>
      <t xml:space="preserve">الباب ................................ </t>
    </r>
    <r>
      <rPr>
        <sz val="18"/>
        <rFont val="Traditional Arabic"/>
        <family val="1"/>
      </rPr>
      <t>33-11</t>
    </r>
  </si>
  <si>
    <r>
      <t xml:space="preserve">الباب ................................ </t>
    </r>
    <r>
      <rPr>
        <sz val="18"/>
        <rFont val="Traditional Arabic"/>
        <family val="1"/>
      </rPr>
      <t>46-11</t>
    </r>
  </si>
  <si>
    <t>المجموع الإجمالي : ................</t>
  </si>
  <si>
    <t>تفاصيل الإستقطاعات</t>
  </si>
  <si>
    <t>الضمان الإجتماعي :</t>
  </si>
  <si>
    <t>خانة مخصصة للمحاسب</t>
  </si>
  <si>
    <t>المحجوزات : ..............................</t>
  </si>
  <si>
    <t>المبلغ الصافي : ...........................</t>
  </si>
  <si>
    <t>الآمر بالصرف</t>
  </si>
  <si>
    <t>ولاية إليزي</t>
  </si>
  <si>
    <t>مؤقت أو متعاقد : ...............................</t>
  </si>
  <si>
    <t>الضريبة على المرتبات والاجور : ....................</t>
  </si>
  <si>
    <t>للمعاش أو صندوق التقاعد : ........................</t>
  </si>
  <si>
    <t>مرسم : ................</t>
  </si>
  <si>
    <t>تسديد تسبيقات إقتناء سيارة :......................</t>
  </si>
  <si>
    <t>خصم المحاسب : .................................</t>
  </si>
  <si>
    <t>مساهمة صندوق التضامن : .........................</t>
  </si>
  <si>
    <t>إقتطاعات الخدمات الإجتماعية : ....................</t>
  </si>
  <si>
    <t>مجمل الإقتطاعات : ...............................</t>
  </si>
  <si>
    <t>الإجمالي الصافي : ................................</t>
  </si>
  <si>
    <t>المبلغ الاجمالي :...................................</t>
  </si>
  <si>
    <t>المرفوضات : ......................................</t>
  </si>
  <si>
    <t>النفقات المقبولة : ..................................</t>
  </si>
  <si>
    <t xml:space="preserve">حالة إشتراكات الضمان الإجتماعي  </t>
  </si>
  <si>
    <r>
      <t>رقم الحوالة:</t>
    </r>
    <r>
      <rPr>
        <b/>
        <sz val="14"/>
        <rFont val="Arabic Transparent"/>
        <charset val="178"/>
      </rPr>
      <t xml:space="preserve">  </t>
    </r>
  </si>
  <si>
    <t>التـــــأميـــــن علــى البطالــــــة 1%</t>
  </si>
  <si>
    <t>التقــــــاعـــد المسبـــــــــق  0,25%</t>
  </si>
  <si>
    <t>المجــــمــــــــــــــــــــــــــــوع   25%</t>
  </si>
  <si>
    <t>المبلــــغ الخـــــام</t>
  </si>
  <si>
    <t>التـــاريـــــخ</t>
  </si>
  <si>
    <t>الرقــــم</t>
  </si>
  <si>
    <t>الضمـــــان الإجتمــــــاعـــي 23,75%</t>
  </si>
  <si>
    <t>حوالــــــة الدفــــــع</t>
  </si>
  <si>
    <t>مديرية أملاك الدولة</t>
  </si>
  <si>
    <t>لنفــــقة مقيـــدة علــى ميزانيـــة الدولـة</t>
  </si>
  <si>
    <t>المحاسب المكلف</t>
  </si>
  <si>
    <t>الامر بالصرف</t>
  </si>
  <si>
    <t>تسيير</t>
  </si>
  <si>
    <t>الباب</t>
  </si>
  <si>
    <t>13-33</t>
  </si>
  <si>
    <t>3,2,1</t>
  </si>
  <si>
    <t>حساب خزينة</t>
  </si>
  <si>
    <t>تعــــيـــيـــــــــن</t>
  </si>
  <si>
    <t>تعييــــن المستفيـــــد</t>
  </si>
  <si>
    <t>المبلـــغ</t>
  </si>
  <si>
    <t>المادة</t>
  </si>
  <si>
    <t>الحوالة</t>
  </si>
  <si>
    <t>السطر</t>
  </si>
  <si>
    <t>مــــراجـع ومـــــلاحظــات</t>
  </si>
  <si>
    <t xml:space="preserve">الصندوق الوطني </t>
  </si>
  <si>
    <t>110</t>
  </si>
  <si>
    <t xml:space="preserve">تسوية مستحقات الإشتراك الخاصة  </t>
  </si>
  <si>
    <t xml:space="preserve">للتأمينات الاجتماعية </t>
  </si>
  <si>
    <t>بدفع الضمان الاجتماعي المتعلق بـ:</t>
  </si>
  <si>
    <t>المبلغ الاجمالي للحوالة : ـــــــــــ</t>
  </si>
  <si>
    <t>نفقة مقبولة بمبلغ : ......</t>
  </si>
  <si>
    <t>المبلغ الخام : ......................................</t>
  </si>
  <si>
    <t>المحـــــاسب المكلـــــــف</t>
  </si>
  <si>
    <t>الآمـــــــــــــر بالصــــــــــرف</t>
  </si>
  <si>
    <t>المبلغ الصافي : ....................................</t>
  </si>
  <si>
    <t>خصم المحاسب : ...................................</t>
  </si>
  <si>
    <t>النفقة المقبولة : .......................................</t>
  </si>
  <si>
    <t>الرفض : ............................................</t>
  </si>
  <si>
    <t>إليــــــــــزي في : .....</t>
  </si>
  <si>
    <t>لولاية إليزي</t>
  </si>
  <si>
    <t>الجمهورية الجزائرية الديمقراطية الشعبيـة</t>
  </si>
  <si>
    <t>وضعـية الخصومــات</t>
  </si>
  <si>
    <t>رقم الحوالة:</t>
  </si>
  <si>
    <t xml:space="preserve"> القســــــم :....110....</t>
  </si>
  <si>
    <t>طريقـة الدفـع    :</t>
  </si>
  <si>
    <r>
      <t xml:space="preserve"> </t>
    </r>
    <r>
      <rPr>
        <b/>
        <sz val="12"/>
        <rFont val="Arabic Transparent"/>
        <charset val="178"/>
      </rPr>
      <t xml:space="preserve"> - </t>
    </r>
    <r>
      <rPr>
        <b/>
        <sz val="10"/>
        <rFont val="Arial"/>
        <family val="2"/>
        <charset val="178"/>
      </rPr>
      <t>جدول تعويض القروض الممنوحة لمستخدمي المصالح العمومية للدولة من طرف جمعيات الخدمات الاجتماعية</t>
    </r>
  </si>
  <si>
    <t>طبقا للتعليمـة رقــم38 المؤرخــةفي 98/11/03 .</t>
  </si>
  <si>
    <t xml:space="preserve"> - تسديد الخصومات في حساب لجنة الخدمات الاجتماعيـة تحت رقم 19- 1.33.00044 بالخزينة الولائية.</t>
  </si>
  <si>
    <t>الرقــم</t>
  </si>
  <si>
    <t xml:space="preserve">    الاســم واللقــب</t>
  </si>
  <si>
    <t>الرتبـة</t>
  </si>
  <si>
    <t>المبلـغ المخصـوم</t>
  </si>
  <si>
    <t>المجمــــــــــــــوع</t>
  </si>
  <si>
    <t>أوقف المبلغ :</t>
  </si>
  <si>
    <t>المديرية العامة للضرائب</t>
  </si>
  <si>
    <t>DIRECTION GENERALE DES IMPOTS</t>
  </si>
  <si>
    <t>الفصــــل</t>
  </si>
  <si>
    <t>الضرائب و الرسوم المحصلة فورا أو عن طريق الإقتطاع من المصدر</t>
  </si>
  <si>
    <t>حــذار</t>
  </si>
  <si>
    <t>مديرية الضرائب لولاية إليزي</t>
  </si>
  <si>
    <t>MOIS DE</t>
  </si>
  <si>
    <t>تصريح يقوم مقام حافظة إشعار بالتسديد</t>
  </si>
  <si>
    <t>ATTENTION</t>
  </si>
  <si>
    <t>DIRECTION DES IMPOTS DE ILLIZI</t>
  </si>
  <si>
    <t xml:space="preserve"> ème TRIMESTRE</t>
  </si>
  <si>
    <t xml:space="preserve">مفتشية الضرائب </t>
  </si>
  <si>
    <t>IMPOTS ET TAXES PERCUS AU COMPTANT OU PAR VOIE DE RETENUE A LA SOURCE</t>
  </si>
  <si>
    <r>
      <rPr>
        <sz val="10"/>
        <rFont val="Arial"/>
        <family val="2"/>
      </rPr>
      <t>هذا التصريح يجب ان يقدم الى قباضة الضرائب خلال العشرين يوم الاولى من الشهر
La présente déclaration doit être déposée à la recette des impôts dans les VINGT PREMIERS JOURS DU MOIS</t>
    </r>
  </si>
  <si>
    <t>INSPECTION DES IMPOTS</t>
  </si>
  <si>
    <t>DECLARATION TENANT LIEU DE BORDEREAU - AVIS DE VERSEMENT</t>
  </si>
  <si>
    <t>قباضة الضرائب</t>
  </si>
  <si>
    <t>للتذكير اجباريا</t>
  </si>
  <si>
    <t xml:space="preserve">RECETTE DES IMPOTS </t>
  </si>
  <si>
    <t>A RAPPELER</t>
  </si>
  <si>
    <t>M</t>
  </si>
  <si>
    <t>السيد(ة)</t>
  </si>
  <si>
    <t>COMMUNE DE  ILLIZI</t>
  </si>
  <si>
    <t>OBLIGATOIREMENT</t>
  </si>
  <si>
    <t>إدارة عمومية</t>
  </si>
  <si>
    <t>NIS</t>
  </si>
  <si>
    <t xml:space="preserve">Activité/ Profession:               </t>
  </si>
  <si>
    <t>النشاط او المهنة</t>
  </si>
  <si>
    <t xml:space="preserve">Adresse:   </t>
  </si>
  <si>
    <t xml:space="preserve">العنوان </t>
  </si>
  <si>
    <t>NIF</t>
  </si>
  <si>
    <t>CODE ACTIVITE</t>
  </si>
  <si>
    <t>ARTICLE D'IMPOSITION</t>
  </si>
  <si>
    <t>Nature des impôts</t>
  </si>
  <si>
    <t>Code</t>
  </si>
  <si>
    <t>Opérations imposables</t>
  </si>
  <si>
    <t>Chiffre d'affaires brut</t>
  </si>
  <si>
    <t>Chiffre d'affaires imposable
recettes professionnelles imposables</t>
  </si>
  <si>
    <t>TAUX</t>
  </si>
  <si>
    <t>Montant à payer (en DA)</t>
  </si>
  <si>
    <t>C1A12</t>
  </si>
  <si>
    <t>Affaires bénéficiant d'une réfaction de 50%</t>
  </si>
  <si>
    <t>TAP</t>
  </si>
  <si>
    <t>C1A13</t>
  </si>
  <si>
    <t xml:space="preserve">Affaires sans réfaction </t>
  </si>
  <si>
    <t>C1A14</t>
  </si>
  <si>
    <t>Affaires exonérées</t>
  </si>
  <si>
    <t>C1A20</t>
  </si>
  <si>
    <t>Recettes professionnelles (Professions libérales)</t>
  </si>
  <si>
    <t>Préciser la nature de la réfaction le cas échéant</t>
  </si>
  <si>
    <t>TOTAL</t>
  </si>
  <si>
    <t>Categories de revenus soumis au versement forfaitaire</t>
  </si>
  <si>
    <t>Revenus nets imposables</t>
  </si>
  <si>
    <t>الدفع الجزافي</t>
  </si>
  <si>
    <t>C1C10</t>
  </si>
  <si>
    <t>Traitement, salaire, émoluments, primes, indemnités, rémunérations diverses……….....…...........................</t>
  </si>
  <si>
    <t>VF</t>
  </si>
  <si>
    <t>C1C20</t>
  </si>
  <si>
    <t>Pensions et rentes viagères…………………........……............................……………………………………</t>
  </si>
  <si>
    <t>Chiffre d'affaires imposable</t>
  </si>
  <si>
    <r>
      <t xml:space="preserve">الاقتطاعات من المصدر
</t>
    </r>
    <r>
      <rPr>
        <b/>
        <sz val="7"/>
        <rFont val="Arial"/>
        <family val="2"/>
      </rPr>
      <t>IRG /SALAIRES</t>
    </r>
    <r>
      <rPr>
        <sz val="7"/>
        <rFont val="Arial"/>
        <family val="2"/>
      </rPr>
      <t xml:space="preserve">
ضريبة على الدخل الاجمالي/الاجور
</t>
    </r>
    <r>
      <rPr>
        <b/>
        <sz val="7"/>
        <rFont val="Arial"/>
        <family val="2"/>
      </rPr>
      <t>Autres retenues à la source I.R.G</t>
    </r>
    <r>
      <rPr>
        <sz val="7"/>
        <rFont val="Arial"/>
        <family val="2"/>
      </rPr>
      <t xml:space="preserve">
الاقتطاعات من المصدر
للضريبة على أرباح الشركات
</t>
    </r>
    <r>
      <rPr>
        <b/>
        <sz val="7"/>
        <rFont val="Arial"/>
        <family val="2"/>
      </rPr>
      <t>Retenues à la source</t>
    </r>
    <r>
      <rPr>
        <sz val="7"/>
        <rFont val="Arial"/>
        <family val="2"/>
      </rPr>
      <t xml:space="preserve"> </t>
    </r>
    <r>
      <rPr>
        <b/>
        <sz val="7"/>
        <rFont val="Arial"/>
        <family val="2"/>
      </rPr>
      <t>I.B.S</t>
    </r>
    <r>
      <rPr>
        <sz val="7"/>
        <rFont val="Arial"/>
        <family val="2"/>
      </rPr>
      <t xml:space="preserve">
</t>
    </r>
  </si>
  <si>
    <t xml:space="preserve">E1L20
E1L80
E1M20
E1M20
</t>
  </si>
  <si>
    <t>IRG/Traitement s salaires, pensions et rentes viagères………………………………………………………..</t>
  </si>
  <si>
    <t xml:space="preserve">Barème
8%
18%
</t>
  </si>
  <si>
    <t>IRG/ Autres retenues à la source………………………………………………………………………………</t>
  </si>
  <si>
    <t>IBS/Revenus des entreprises etrangères non installées en Algerie(trav.immobiliers)(1)…………………….</t>
  </si>
  <si>
    <t>IBS/Revenus des entreprises etrangeres non installées en Algerie (prest.de service)(1).</t>
  </si>
  <si>
    <t xml:space="preserve">تلخيص بـ (دج)        ( RECAPITULATION (EN DA   </t>
  </si>
  <si>
    <t>Cadre réservé au contribuable</t>
  </si>
  <si>
    <t>Cadre réservé à la recette des impôts</t>
  </si>
  <si>
    <t>Cadre réservé à l'inspection des impots</t>
  </si>
  <si>
    <t>يشهد بصحة وصدق محتوى هذا التصريح</t>
  </si>
  <si>
    <t xml:space="preserve">Reçu –ce jour la présente déclaration enregistrée 
sous le numéro :………………………………………………………………………………………
Payée-par chèque bancaire N°……………………………………………………………….
Du :……………………………………………………………..…200.
Tirée sur l’agence :…………………………………………………………………………………..
Par chèque </t>
  </si>
  <si>
    <t>Déclaration enregistrée le:……………….</t>
  </si>
  <si>
    <t>1-TAP</t>
  </si>
  <si>
    <t>C/500026/A</t>
  </si>
  <si>
    <t>وتطابقه مع الوثائق الحسابية</t>
  </si>
  <si>
    <t>تصريح مسجل يوم.........................................</t>
  </si>
  <si>
    <t>3-VF</t>
  </si>
  <si>
    <t>C/500026/C</t>
  </si>
  <si>
    <t>Certifié sincère et véritable le contenu</t>
  </si>
  <si>
    <t>Observations éventuelles:</t>
  </si>
  <si>
    <t>4.1- IRG/Salaires</t>
  </si>
  <si>
    <t>C/201001/100</t>
  </si>
  <si>
    <t>de la présente déclaration et conforme</t>
  </si>
  <si>
    <t>ملاحظات........................................................</t>
  </si>
  <si>
    <t>4.2- IRG/ Autres Ret. source</t>
  </si>
  <si>
    <t>C/201001/101/A/B</t>
  </si>
  <si>
    <t>aux documents comptables</t>
  </si>
  <si>
    <t>...................................................</t>
  </si>
  <si>
    <t>4.3- IBS/ Retenues à la source</t>
  </si>
  <si>
    <t>C/201001/102/B</t>
  </si>
  <si>
    <t xml:space="preserve">بـ : ..................................... يوم : ................................ </t>
  </si>
  <si>
    <t>CACHET                    SIGNATURE</t>
  </si>
  <si>
    <t>MONTANT TOTAL A PAYER</t>
  </si>
  <si>
    <t>الجمهورية الجزائرية الديمقراطية  الشعبية</t>
  </si>
  <si>
    <t>جدول دفع الإشتراكات على عاتق</t>
  </si>
  <si>
    <t>الإدارات العمومية</t>
  </si>
  <si>
    <t>الفترة:</t>
  </si>
  <si>
    <t>الثلاثي:</t>
  </si>
  <si>
    <t>للعمال الدائمين</t>
  </si>
  <si>
    <t>مخلفات :  .....................................من :.................................إلى : ...................................</t>
  </si>
  <si>
    <t>عدد المشتركين</t>
  </si>
  <si>
    <t>المبلغ الإجمالي للرواتب</t>
  </si>
  <si>
    <t>النسبة %</t>
  </si>
  <si>
    <t>الإشتراكات المطلوب دفغها</t>
  </si>
  <si>
    <t>الذي يخصم منه الإشتراك</t>
  </si>
  <si>
    <t>المجـموع</t>
  </si>
  <si>
    <t>الدفع الوحيد المادة 21 من القانون رقم 14/83 بتاريخ 1983/07/02</t>
  </si>
  <si>
    <t>و الفقرة رقم 41 من المنشور المذكور أعلاه .</t>
  </si>
  <si>
    <t>الطابع و الإمضاء</t>
  </si>
  <si>
    <t>رقم الحوالة</t>
  </si>
  <si>
    <t>المجـمــــــــــــوع</t>
  </si>
  <si>
    <t xml:space="preserve">حوالة رقم :   </t>
  </si>
  <si>
    <t xml:space="preserve"> بتاريخ : </t>
  </si>
  <si>
    <t>المجموع</t>
  </si>
  <si>
    <t>الشهر :</t>
  </si>
  <si>
    <t>السنة :</t>
  </si>
  <si>
    <t>طبيعة الإقتطاعات</t>
  </si>
  <si>
    <t>المبلغ للتحصيل</t>
  </si>
  <si>
    <t>الاسم و اللقب للمنخرطين المخصوم لهم</t>
  </si>
  <si>
    <t xml:space="preserve">رقم التسجيل </t>
  </si>
  <si>
    <t>إيرادات التعاضدية</t>
  </si>
  <si>
    <t>رقـم الحوالــة :</t>
  </si>
  <si>
    <t>جدول الدفع :</t>
  </si>
  <si>
    <t>الآمر بالصرف /533.1</t>
  </si>
  <si>
    <t>اللقب و الاسم</t>
  </si>
  <si>
    <t xml:space="preserve"> رقم الحساب</t>
  </si>
  <si>
    <t xml:space="preserve"> الصافي للدفــع</t>
  </si>
  <si>
    <t>المجمــــوع</t>
  </si>
  <si>
    <t>CHEQUES POSTAUX</t>
  </si>
  <si>
    <t>CH  102</t>
  </si>
  <si>
    <t>Alger c/c 3000 69/93</t>
  </si>
  <si>
    <t>T W D'ILLIZI</t>
  </si>
  <si>
    <t>MONDAT N°</t>
  </si>
  <si>
    <t>BORDOREAU DESCRIPTIF DES VIREMENTS</t>
  </si>
  <si>
    <t>A opérer par prélèvement sur le montant du chèque de virement………………………..……………….</t>
  </si>
  <si>
    <t>Extrait du carnet N °…………………… et délivré par M …………………………………………………….</t>
  </si>
  <si>
    <t>Montants</t>
  </si>
  <si>
    <t>Centre des chèques</t>
  </si>
  <si>
    <t>Numéro du compte</t>
  </si>
  <si>
    <t>Nom du bénéficiaire</t>
  </si>
  <si>
    <t>N=° D'ordre</t>
  </si>
  <si>
    <t>جدول إرسال الحوالات</t>
  </si>
  <si>
    <t>تاريخ الإرسال إلى الخزينة</t>
  </si>
  <si>
    <t>حساب</t>
  </si>
  <si>
    <t>صفحة</t>
  </si>
  <si>
    <t>تاريخ</t>
  </si>
  <si>
    <t xml:space="preserve">حساب </t>
  </si>
  <si>
    <t>سطر</t>
  </si>
  <si>
    <t>رقم القيد</t>
  </si>
  <si>
    <t>رمز</t>
  </si>
  <si>
    <t>المبلغ</t>
  </si>
  <si>
    <t>تاريخ القبول</t>
  </si>
  <si>
    <t>بدين</t>
  </si>
  <si>
    <t>بحوالة</t>
  </si>
  <si>
    <t>11-31</t>
  </si>
  <si>
    <t>12-31</t>
  </si>
  <si>
    <t>11-33</t>
  </si>
  <si>
    <t xml:space="preserve">    الجمهورية الجزائرية الديمقراطية الشعبية </t>
  </si>
  <si>
    <t xml:space="preserve">وزارة </t>
  </si>
  <si>
    <t xml:space="preserve">المـاليـــة </t>
  </si>
  <si>
    <t>حوالة رقم :</t>
  </si>
  <si>
    <t>الحـالـــة  الخاصـة  للصنـدوق  الخـاص  بالتقــاعـد</t>
  </si>
  <si>
    <t xml:space="preserve">لإطــــــارات   الـدولــة </t>
  </si>
  <si>
    <t>المادة 70 من القانون رقم : 98/12  المؤرخ في : 98/12/31 .</t>
  </si>
  <si>
    <t xml:space="preserve"> المتضمن قانون المالية لسنة 1999 .</t>
  </si>
  <si>
    <t>الاســم و اللقــب</t>
  </si>
  <si>
    <t>الإقتطــــاع    الشهــــري   1%</t>
  </si>
  <si>
    <t xml:space="preserve">المجمــــوع </t>
  </si>
  <si>
    <t>كــشـــف الدفـــع</t>
  </si>
  <si>
    <t xml:space="preserve">الجمهورية الجزائرية الديمقراطية الشعبية </t>
  </si>
  <si>
    <t xml:space="preserve">للأجـــــور  أو  الـرواتب الشهـــريــة </t>
  </si>
  <si>
    <t>أو مخلفات  الأجور  و الرواتب</t>
  </si>
  <si>
    <t>المحــــاسب المعتمـــد</t>
  </si>
  <si>
    <t>المـــدة</t>
  </si>
  <si>
    <t>القســم</t>
  </si>
  <si>
    <t>السيـــد أميــن الخزينـــة الولائيــة</t>
  </si>
  <si>
    <t>حالة دفع</t>
  </si>
  <si>
    <t>ــ إيليـــزي ــ</t>
  </si>
  <si>
    <t>خ.إجتماعية</t>
  </si>
  <si>
    <t>الإستقطـــاعــــات</t>
  </si>
  <si>
    <t>الصافي للدفع</t>
  </si>
  <si>
    <t>رقم الحساب</t>
  </si>
  <si>
    <t>الإسم و اللقب</t>
  </si>
  <si>
    <t>ض.د.إج</t>
  </si>
  <si>
    <t>إ.التقاعد</t>
  </si>
  <si>
    <t>إ.التعاضدية</t>
  </si>
  <si>
    <t>المنشور الوزاري المشترك رقم 01/جوان في 1992/01/05</t>
  </si>
  <si>
    <t>لشهــر :</t>
  </si>
  <si>
    <t xml:space="preserve">حوالة  </t>
  </si>
  <si>
    <t>مديريتي أملاك الدولة والحفظ العقاري</t>
  </si>
  <si>
    <t>إشتراكات التعاضدية المتعلقة  بشهر :</t>
  </si>
  <si>
    <t>تعيين الحوالة التي تحمل المداخيل</t>
  </si>
  <si>
    <t>المداخيل لصالح حساب التعاضدية العامة لعمال المالية M.G.T.F</t>
  </si>
  <si>
    <t>كـشـف</t>
  </si>
  <si>
    <t>الخدمات</t>
  </si>
  <si>
    <t>الغيابات</t>
  </si>
  <si>
    <t>الرتبة</t>
  </si>
  <si>
    <t>رمز الرتبة (علاوة المنصب)</t>
  </si>
  <si>
    <t>الصنف1</t>
  </si>
  <si>
    <t>الصنف 2</t>
  </si>
  <si>
    <t>الصنف 3</t>
  </si>
  <si>
    <t>رقم الإستدلالي للرتبة</t>
  </si>
  <si>
    <t>الصنف القديم</t>
  </si>
  <si>
    <t xml:space="preserve">الوظيفة </t>
  </si>
  <si>
    <t>الرقم الإستدلالي للوظيفة</t>
  </si>
  <si>
    <t>رمز الوظيفة</t>
  </si>
  <si>
    <t>منحة الصندوق</t>
  </si>
  <si>
    <r>
      <t>تعويض نوعي عن المنصب مركز الولاية</t>
    </r>
    <r>
      <rPr>
        <b/>
        <sz val="10"/>
        <rFont val="Arial"/>
        <family val="2"/>
      </rPr>
      <t xml:space="preserve"> 80% &amp; 35%</t>
    </r>
  </si>
  <si>
    <r>
      <t>تعويض نوعي عن المنصب</t>
    </r>
    <r>
      <rPr>
        <b/>
        <sz val="10"/>
        <rFont val="Arial"/>
        <family val="2"/>
      </rPr>
      <t xml:space="preserve"> في الدائرة 90%&amp;45%</t>
    </r>
  </si>
  <si>
    <t>رقم الوظيفة العليا</t>
  </si>
  <si>
    <t>تسمية الوظيفة</t>
  </si>
  <si>
    <t>الصنف</t>
  </si>
  <si>
    <t>الرقم الإستدلالي للدرجة</t>
  </si>
  <si>
    <t>مستشار</t>
  </si>
  <si>
    <t>CG</t>
  </si>
  <si>
    <t>أ</t>
  </si>
  <si>
    <t>20.1</t>
  </si>
  <si>
    <t>رئيس مصلحة</t>
  </si>
  <si>
    <t>م8</t>
  </si>
  <si>
    <t>مدير ولائي</t>
  </si>
  <si>
    <t>ب 1</t>
  </si>
  <si>
    <t>مفتش رئيس</t>
  </si>
  <si>
    <t>TG</t>
  </si>
  <si>
    <t>محافظ عقاري</t>
  </si>
  <si>
    <t>الاولى</t>
  </si>
  <si>
    <t xml:space="preserve"> اثانية</t>
  </si>
  <si>
    <t xml:space="preserve"> الثالثة</t>
  </si>
  <si>
    <t xml:space="preserve"> الرابعة  </t>
  </si>
  <si>
    <t>الخامسة</t>
  </si>
  <si>
    <t xml:space="preserve">السادسة  </t>
  </si>
  <si>
    <t xml:space="preserve">السابعة </t>
  </si>
  <si>
    <t>الثامنة</t>
  </si>
  <si>
    <t xml:space="preserve">التاسعة </t>
  </si>
  <si>
    <t xml:space="preserve">العاشرة </t>
  </si>
  <si>
    <t>الحادية عشرة</t>
  </si>
  <si>
    <t>الثانية عشر</t>
  </si>
  <si>
    <t>رئيس المهندسين في إ الآلي</t>
  </si>
  <si>
    <t>CTG</t>
  </si>
  <si>
    <t>18.4</t>
  </si>
  <si>
    <t>رئيس مفتشية</t>
  </si>
  <si>
    <t>رئيس الوثائقيين أمناء المحفوظات</t>
  </si>
  <si>
    <t>رئيس مكتب</t>
  </si>
  <si>
    <t>م7</t>
  </si>
  <si>
    <t>متصرف رئيسي</t>
  </si>
  <si>
    <t>17.1</t>
  </si>
  <si>
    <t>رئيس قسم</t>
  </si>
  <si>
    <t>م5</t>
  </si>
  <si>
    <t>مفتش قسم</t>
  </si>
  <si>
    <t>رئيس حضيرة</t>
  </si>
  <si>
    <t>م3</t>
  </si>
  <si>
    <t>مهندس رئيسي في إ الآلي</t>
  </si>
  <si>
    <t>ب1</t>
  </si>
  <si>
    <t xml:space="preserve"> </t>
  </si>
  <si>
    <t>وثائقي أمين محفوظات رئيسي</t>
  </si>
  <si>
    <t>متصرف محلل</t>
  </si>
  <si>
    <t>16.1</t>
  </si>
  <si>
    <t>مفتش مركزي</t>
  </si>
  <si>
    <t>15.4</t>
  </si>
  <si>
    <t>مهندس دولة في إ الآلي</t>
  </si>
  <si>
    <t>وثائقي أمين محفوظات محلل</t>
  </si>
  <si>
    <t>متصرف</t>
  </si>
  <si>
    <t>15.1</t>
  </si>
  <si>
    <t>مفتش رئيسي</t>
  </si>
  <si>
    <t>مساعد مهندس مستوى 2 في إ الآلي</t>
  </si>
  <si>
    <t>وثائقي أمين محفوظات</t>
  </si>
  <si>
    <t>مساعد متصرف</t>
  </si>
  <si>
    <t>مساعد مهندس مستوى 1 في إ الآلي</t>
  </si>
  <si>
    <t>مساعد وثائقي أمين محفوظات رئيسي</t>
  </si>
  <si>
    <t>ملحق رئيسي للإدارة</t>
  </si>
  <si>
    <t>CM</t>
  </si>
  <si>
    <t>ب</t>
  </si>
  <si>
    <t>14.1</t>
  </si>
  <si>
    <t>مفتش</t>
  </si>
  <si>
    <t>TM</t>
  </si>
  <si>
    <t>كاتب مديرية رئيسي</t>
  </si>
  <si>
    <t xml:space="preserve">ب </t>
  </si>
  <si>
    <t>13.3</t>
  </si>
  <si>
    <t>محاسب إداري رئيسي</t>
  </si>
  <si>
    <t>13.1</t>
  </si>
  <si>
    <t>تقني سامي في إ الآلي</t>
  </si>
  <si>
    <t>CTM</t>
  </si>
  <si>
    <t xml:space="preserve">مساعد وثائقي أمين محفوظات </t>
  </si>
  <si>
    <t>ملحق للإدارة</t>
  </si>
  <si>
    <t>CI</t>
  </si>
  <si>
    <t>مراقب</t>
  </si>
  <si>
    <t>12.3</t>
  </si>
  <si>
    <t>عون إدارة رئيسي</t>
  </si>
  <si>
    <t>ج</t>
  </si>
  <si>
    <t>11.3</t>
  </si>
  <si>
    <t>كاتب مديرية</t>
  </si>
  <si>
    <t>11.4</t>
  </si>
  <si>
    <t>محاسب إداري</t>
  </si>
  <si>
    <t>تقني في إ الآلي</t>
  </si>
  <si>
    <t>CTI</t>
  </si>
  <si>
    <t>عون معاينة</t>
  </si>
  <si>
    <t>TI</t>
  </si>
  <si>
    <t>10.2</t>
  </si>
  <si>
    <t xml:space="preserve">عون إدارة </t>
  </si>
  <si>
    <t>10.1</t>
  </si>
  <si>
    <t>معاون تقني في إ الآلي</t>
  </si>
  <si>
    <t>عون تقني في الوثائق والمحفوظات</t>
  </si>
  <si>
    <t>كاتب</t>
  </si>
  <si>
    <t>د</t>
  </si>
  <si>
    <t>9.2</t>
  </si>
  <si>
    <t>عامل مهني خارج الصنف</t>
  </si>
  <si>
    <t>عون مكتب</t>
  </si>
  <si>
    <t>8.1</t>
  </si>
  <si>
    <t>عون حفظ البيانات</t>
  </si>
  <si>
    <t>8.3</t>
  </si>
  <si>
    <t>مساعد محاسب إداري</t>
  </si>
  <si>
    <t>عون تقني في إ الآلي</t>
  </si>
  <si>
    <t>عامل مهني من الصنف الأول</t>
  </si>
  <si>
    <t>OP</t>
  </si>
  <si>
    <t>سائق سيارة من الصنف الأول</t>
  </si>
  <si>
    <t>CH</t>
  </si>
  <si>
    <t>عامل مهني من الصنف الثاني</t>
  </si>
  <si>
    <t>8.2</t>
  </si>
  <si>
    <t>حاجب رئيسي</t>
  </si>
  <si>
    <t>V</t>
  </si>
  <si>
    <t>5.1</t>
  </si>
  <si>
    <t>سائق سيارة من الصنف الثاني</t>
  </si>
  <si>
    <t>9.1</t>
  </si>
  <si>
    <t>حاجب</t>
  </si>
  <si>
    <t>4.3</t>
  </si>
  <si>
    <t xml:space="preserve">عامل مهني من الصنف الثالث </t>
  </si>
  <si>
    <t>6.2</t>
  </si>
  <si>
    <t>D</t>
  </si>
  <si>
    <t>ب 2</t>
  </si>
  <si>
    <t>ب 3</t>
  </si>
  <si>
    <t>ب 4</t>
  </si>
  <si>
    <t>ب 5</t>
  </si>
  <si>
    <t>ب 6</t>
  </si>
  <si>
    <t>ب 7</t>
  </si>
  <si>
    <t>ب 8</t>
  </si>
  <si>
    <t>ب 9</t>
  </si>
  <si>
    <t>ب 10</t>
  </si>
  <si>
    <t>ب 11</t>
  </si>
  <si>
    <t>ب 12</t>
  </si>
  <si>
    <t>ب 13</t>
  </si>
  <si>
    <t>ب 14</t>
  </si>
  <si>
    <t>ب 16</t>
  </si>
  <si>
    <t>الرقم المحدد لرتبة الموظف</t>
  </si>
  <si>
    <t>مكان التعيين لتحديد نسبة علاوة المنصب النوعي</t>
  </si>
  <si>
    <t>الوظيفة أو المنصب العالي</t>
  </si>
  <si>
    <t>الدرجة في الرتبة</t>
  </si>
  <si>
    <t>الدرجة في الوظيفة العليا</t>
  </si>
  <si>
    <t>الحالة العائلية</t>
  </si>
  <si>
    <t>عدد الأطفال الخاضعين لقانون المنح العائلية</t>
  </si>
  <si>
    <t>عدد الأطفال أكبر من 10 سنوات من بين عدد الأطفال الخاضعين لقانون المنح العائلية</t>
  </si>
  <si>
    <t>وضعية السكن</t>
  </si>
  <si>
    <t>إقتطاع السيارة</t>
  </si>
  <si>
    <t>إشتراك في التعاضدية</t>
  </si>
  <si>
    <t xml:space="preserve"> الحساب</t>
  </si>
  <si>
    <t>تسمية مقر الحساب</t>
  </si>
  <si>
    <t>عمود مساعد لترميز وظيفة ورتبة الموظف الورقة 2</t>
  </si>
  <si>
    <t xml:space="preserve">الإسم </t>
  </si>
  <si>
    <t>اللقب</t>
  </si>
  <si>
    <t>الرقم الإستدلالي للرتبة</t>
  </si>
  <si>
    <t>الرقم الإستدلالي للدرجة في الوظيفة العليا</t>
  </si>
  <si>
    <t>عمود مساعد للورقة 2</t>
  </si>
  <si>
    <t>رمز الوظيفة أو المنصب العالي</t>
  </si>
  <si>
    <t>منحة الأجر الوحيد</t>
  </si>
  <si>
    <t>عمود مساعد لحساب 11,25 دج</t>
  </si>
  <si>
    <t>المنح العائلية كاملة</t>
  </si>
  <si>
    <t>فارق في الدخل</t>
  </si>
  <si>
    <t>منحة السكن</t>
  </si>
  <si>
    <t>تعويض نوعي عن المنصب 80%-90% &amp; 35%-45%</t>
  </si>
  <si>
    <t>تعويض الخدمات الادارية المشتركة 25%&amp;40%</t>
  </si>
  <si>
    <t>تعويض الخدمات التقنية المشتركة 25%&amp;40%</t>
  </si>
  <si>
    <t>تعويض الضرر 25%</t>
  </si>
  <si>
    <t>التعويض الجزافي عن الخدمة 25%</t>
  </si>
  <si>
    <t>تعويض تقنية أملاك الدولة والحفظ العقاري 40%&amp;30%</t>
  </si>
  <si>
    <t>تعويض الخطر والإلزام 25%</t>
  </si>
  <si>
    <t>تعويض دعم نشاطات الادارة 10%</t>
  </si>
  <si>
    <t>التعويض الخاص بتسيير المالية العامة 20%</t>
  </si>
  <si>
    <t>تعويض التمثيل</t>
  </si>
  <si>
    <t>تعويض المسؤولية</t>
  </si>
  <si>
    <t>التعويض الخاص عن الإلزام</t>
  </si>
  <si>
    <t xml:space="preserve">ت.خ.إ.م     ت.خ.ت.م    ت.ت.أ.ح.ع ت.الضرر     ت.ج.عن الخدمة    </t>
  </si>
  <si>
    <t xml:space="preserve">منحة المسؤولية    منحة الصندوق   </t>
  </si>
  <si>
    <t>منحة التمثيل    المنحة الجزافية التعويضية</t>
  </si>
  <si>
    <t>ت.إ.سيارة.ص.خ    منحة السكن</t>
  </si>
  <si>
    <t>عمود مساعد للحالة العائلية في كشف الحساب</t>
  </si>
  <si>
    <t>المبلغ الخاضع للإقتطاع ض إ ج</t>
  </si>
  <si>
    <t>مبلغ الإشتراك في ض إ ج</t>
  </si>
  <si>
    <t>الرقم الإستدلالي</t>
  </si>
  <si>
    <t>2 سنوات</t>
  </si>
  <si>
    <t>4 سنوات</t>
  </si>
  <si>
    <t>6 سنوات</t>
  </si>
  <si>
    <t>8 سنوات</t>
  </si>
  <si>
    <t>10 سنوات</t>
  </si>
  <si>
    <t>12 سنوات</t>
  </si>
  <si>
    <t>14 سنوات</t>
  </si>
  <si>
    <t>16 سنوات</t>
  </si>
  <si>
    <t>18 سنوات</t>
  </si>
  <si>
    <t>20 سنوات</t>
  </si>
  <si>
    <t>22 سنوات</t>
  </si>
  <si>
    <t>24 سنوات</t>
  </si>
  <si>
    <t>سنوات الخدمة في الوظيفة العليا</t>
  </si>
  <si>
    <t>جدول الأرقام الإستدلالية الخاص يكل درجة المرتبطة بكل صنف طبقا للمرسوم الرئاسي رقم 07-304 المحدد للشبكة الإستدلالية</t>
  </si>
  <si>
    <t>جدول الأرقام الإستدلالية الخاص الأعوان الذين يمارسون وظائف عليا طبقا للمرسوم الرئاسي رقم 07-305 المحدد للشبكة الإستدلالية</t>
  </si>
  <si>
    <t>إليزي</t>
  </si>
  <si>
    <t>أمين صندوق</t>
  </si>
  <si>
    <t>متزوج(ة)</t>
  </si>
  <si>
    <t>متزوج(ة)ماكثة</t>
  </si>
  <si>
    <t>متزوج(ة)عاملة</t>
  </si>
  <si>
    <t>عازب(ة)كفيل</t>
  </si>
  <si>
    <t xml:space="preserve">جانت </t>
  </si>
  <si>
    <t>إن أمناس</t>
  </si>
  <si>
    <t>ت.ج.إ .السيارات الخاصة لصالح المصلحة</t>
  </si>
  <si>
    <t>لبنك الوطني الجزائري</t>
  </si>
  <si>
    <t>بنك الفلاحة و التنمية الريفية</t>
  </si>
  <si>
    <t>الخزينة الولائية</t>
  </si>
  <si>
    <t>الرقم الإستدلالي  المنصب العالي</t>
  </si>
  <si>
    <t>الأجر القاعدي</t>
  </si>
  <si>
    <t>الخبرة المهنية</t>
  </si>
  <si>
    <t>الصنـــــف        و الدرجـــــة</t>
  </si>
  <si>
    <t>علاوة الخطر     ت.د.نشطات الإدارة التعويض الخاص عن الإلزام</t>
  </si>
  <si>
    <t>إقتطاع التقاعد</t>
  </si>
  <si>
    <t>إقتطاع التعاضدية</t>
  </si>
  <si>
    <t>إقتطاع الخاص بإستعمال السيارة الخاصة لصالح المصلحة</t>
  </si>
  <si>
    <t>المبلغ الخاضع للإقتطاع الضريبة على الدخل IRG</t>
  </si>
  <si>
    <t>مبلغ إقتطاع IRG</t>
  </si>
  <si>
    <t>بنك التنمية المحلية</t>
  </si>
  <si>
    <t>الحساب الجاري البريدي</t>
  </si>
  <si>
    <t>عازب(ة)</t>
  </si>
  <si>
    <t>ديسمبر</t>
  </si>
  <si>
    <t>31-13</t>
  </si>
  <si>
    <t>أوت</t>
  </si>
  <si>
    <t>( العمال المتعاقدين )</t>
  </si>
  <si>
    <t>ك</t>
  </si>
  <si>
    <t xml:space="preserve">       الرتبة           و    الصنف</t>
  </si>
  <si>
    <t>الأقدمية بالسنوات</t>
  </si>
  <si>
    <t>الضمان الإجتماعي</t>
  </si>
  <si>
    <t>ضريبة الدخل الإجمالي</t>
  </si>
  <si>
    <t>مجموع الأجر القاعدي</t>
  </si>
  <si>
    <t xml:space="preserve">الـمجـمــــــوع : </t>
  </si>
  <si>
    <r>
      <t>أوقف  المبلغ</t>
    </r>
    <r>
      <rPr>
        <i/>
        <u/>
        <sz val="36"/>
        <rFont val="Simplified Arabic"/>
        <family val="1"/>
      </rPr>
      <t>:</t>
    </r>
  </si>
  <si>
    <r>
      <t>الضمان الإجتماعي23,75</t>
    </r>
    <r>
      <rPr>
        <sz val="36"/>
        <rFont val="Arabic Transparent"/>
        <charset val="178"/>
      </rPr>
      <t>%</t>
    </r>
    <r>
      <rPr>
        <b/>
        <sz val="36"/>
        <rFont val="Arabic Transparent"/>
        <charset val="178"/>
      </rPr>
      <t xml:space="preserve"> : </t>
    </r>
  </si>
  <si>
    <r>
      <t>تأمين على البطالة1</t>
    </r>
    <r>
      <rPr>
        <sz val="36"/>
        <rFont val="Arabic Transparent"/>
        <charset val="178"/>
      </rPr>
      <t>%</t>
    </r>
    <r>
      <rPr>
        <b/>
        <sz val="36"/>
        <rFont val="Arabic Transparent"/>
        <charset val="178"/>
      </rPr>
      <t xml:space="preserve"> : </t>
    </r>
  </si>
  <si>
    <r>
      <t>التقاعد المسبق0,25</t>
    </r>
    <r>
      <rPr>
        <sz val="36"/>
        <rFont val="Arabic Transparent"/>
        <charset val="178"/>
      </rPr>
      <t>%</t>
    </r>
    <r>
      <rPr>
        <b/>
        <sz val="36"/>
        <rFont val="Arabic Transparent"/>
        <charset val="178"/>
      </rPr>
      <t xml:space="preserve"> : </t>
    </r>
  </si>
  <si>
    <t xml:space="preserve">الرتبة </t>
  </si>
  <si>
    <t>نوعية التعاقد توقيت كامل " ك " أو جزئي " ج "</t>
  </si>
  <si>
    <t>عدد سنوات الخبرة المهنية</t>
  </si>
  <si>
    <t>عمود مساعد للتفرقة بين مقرات الحساب للتوقيت ك و ج</t>
  </si>
  <si>
    <t>عمود مساعد عدد الساعات</t>
  </si>
  <si>
    <t>علاوة المنطقة</t>
  </si>
  <si>
    <t>المنحة الجزافية التعويضية</t>
  </si>
  <si>
    <t>عون الوقاية من المستوى الثاني</t>
  </si>
  <si>
    <t>AS2</t>
  </si>
  <si>
    <t>13.2</t>
  </si>
  <si>
    <t>عامل مهني من المستوى الرابع</t>
  </si>
  <si>
    <t>OP4</t>
  </si>
  <si>
    <t>11.1</t>
  </si>
  <si>
    <t>عون الوقاية من المستوى الأول</t>
  </si>
  <si>
    <t>AS1</t>
  </si>
  <si>
    <t>عون الخدمة من المستوى الثالث</t>
  </si>
  <si>
    <t>AC3</t>
  </si>
  <si>
    <t>عامل مهني من المستوى الثالث</t>
  </si>
  <si>
    <t>OP3</t>
  </si>
  <si>
    <t>سائق سيارة من المستوى الثالث و رئيس حضيرة</t>
  </si>
  <si>
    <t>CHCP</t>
  </si>
  <si>
    <t>عون الخدمة من المستوى الثاني</t>
  </si>
  <si>
    <t>AC2</t>
  </si>
  <si>
    <t>سائق سيارة من المستوى الثاني</t>
  </si>
  <si>
    <t>CH2</t>
  </si>
  <si>
    <t>عامل مهني من المستوى الثاني</t>
  </si>
  <si>
    <t>OP2</t>
  </si>
  <si>
    <t>سائق سيارة من المستوى الأول</t>
  </si>
  <si>
    <t>CH1</t>
  </si>
  <si>
    <t>حارس</t>
  </si>
  <si>
    <t>GR</t>
  </si>
  <si>
    <t>عون الخدمة من المستوى الأول</t>
  </si>
  <si>
    <t>AC1</t>
  </si>
  <si>
    <t>عامل مهني من المستوى الأول</t>
  </si>
  <si>
    <t>OP1</t>
  </si>
  <si>
    <t>عون الوقاية من المستوى الثاني 2عامل مهني من المستوى الرابع 3عون الوقاية من المستوى الأول4عون الخدمة من المستوى الثالث5عامل مهني من المستوى الثالث سائق سيارة من المستوى الثالث و رئيس حضيرة عون الخدمة من المستوى الثاني سائق سيارة من المستوى الثاني عامل مهني من المستوى الثاني سائق سيارة من المستوى الأول حارس عون الخدمة من المستوى الأول عامل مهني من المستوى الأول</t>
  </si>
  <si>
    <t>تعويض الخبرة المهنية</t>
  </si>
  <si>
    <t>الصنف و الدرجة</t>
  </si>
  <si>
    <t>إقتطاع ض.إ.ج</t>
  </si>
  <si>
    <t>الخام الخاضع لإشتراك ض.إ.ج</t>
  </si>
  <si>
    <t>الخام الخاضع IRG</t>
  </si>
  <si>
    <t>إقتطاع IRG</t>
  </si>
  <si>
    <t>ماي</t>
  </si>
  <si>
    <t>جانفي</t>
  </si>
  <si>
    <t>الشهر</t>
  </si>
  <si>
    <t>عدد أيام العمل الفعلية</t>
  </si>
  <si>
    <t>عدد ساعات العمل</t>
  </si>
  <si>
    <t>فيفري</t>
  </si>
  <si>
    <t>مارس</t>
  </si>
  <si>
    <t>أفريل</t>
  </si>
  <si>
    <t>جوان</t>
  </si>
  <si>
    <t>جويلية</t>
  </si>
  <si>
    <t>سبتمبر</t>
  </si>
  <si>
    <t>أكتوبر</t>
  </si>
  <si>
    <t>نوفمبر</t>
  </si>
  <si>
    <t>حالة الدفع</t>
  </si>
  <si>
    <t>إقتطاع الخدمات الإجتماعية</t>
  </si>
  <si>
    <r>
      <t xml:space="preserve">الباب ................................ </t>
    </r>
    <r>
      <rPr>
        <sz val="18"/>
        <rFont val="Traditional Arabic"/>
        <family val="1"/>
      </rPr>
      <t>31-13</t>
    </r>
  </si>
  <si>
    <t>تنازل عن سكن : ...................................</t>
  </si>
  <si>
    <t>صفة الحوالة</t>
  </si>
  <si>
    <r>
      <t>الضمان الإجتماعي23,75</t>
    </r>
    <r>
      <rPr>
        <sz val="14"/>
        <rFont val="Arabic Transparent"/>
        <charset val="178"/>
      </rPr>
      <t>%</t>
    </r>
    <r>
      <rPr>
        <b/>
        <sz val="14"/>
        <rFont val="Arabic Transparent"/>
        <charset val="178"/>
      </rPr>
      <t xml:space="preserve"> : </t>
    </r>
  </si>
  <si>
    <r>
      <t>تأمين على البطالة1</t>
    </r>
    <r>
      <rPr>
        <sz val="14"/>
        <rFont val="Arabic Transparent"/>
        <charset val="178"/>
      </rPr>
      <t>%</t>
    </r>
    <r>
      <rPr>
        <b/>
        <sz val="14"/>
        <rFont val="Arabic Transparent"/>
        <charset val="178"/>
      </rPr>
      <t xml:space="preserve"> : </t>
    </r>
  </si>
  <si>
    <r>
      <t>التقاعد المسبق0,25</t>
    </r>
    <r>
      <rPr>
        <sz val="14"/>
        <rFont val="Arabic Transparent"/>
        <charset val="178"/>
      </rPr>
      <t>%</t>
    </r>
    <r>
      <rPr>
        <b/>
        <sz val="14"/>
        <rFont val="Arabic Transparent"/>
        <charset val="178"/>
      </rPr>
      <t xml:space="preserve"> : </t>
    </r>
  </si>
  <si>
    <t>المنح العائلية 33-11    و 31-13 المادة04</t>
  </si>
  <si>
    <t>إقتطاع ض إ ج عمال متعاقدين</t>
  </si>
  <si>
    <t>الرقـــــــم :</t>
  </si>
  <si>
    <t>عمال دائمين</t>
  </si>
  <si>
    <t>عمال متعاقدين ت ك</t>
  </si>
  <si>
    <t>عمال متعاقدين ت ج</t>
  </si>
  <si>
    <t>بنك الفلاحة والتنمية الريفية</t>
  </si>
  <si>
    <t>البنك الوطني الجزائري</t>
  </si>
  <si>
    <t>الرقــــم :</t>
  </si>
  <si>
    <t>control</t>
  </si>
  <si>
    <t>الخام حالة إشتراك ض إ ج</t>
  </si>
  <si>
    <t>رقم حساب الدائن</t>
  </si>
  <si>
    <t>رقم الإرتباط</t>
  </si>
  <si>
    <t>الفرع ب/ف</t>
  </si>
  <si>
    <t>المــادة</t>
  </si>
  <si>
    <t>عدد العمال في حالة الدفع</t>
  </si>
  <si>
    <t>رقم التسجيل في التعاضدية</t>
  </si>
  <si>
    <t>الجزائر</t>
  </si>
  <si>
    <t>13-31</t>
  </si>
  <si>
    <t>التصفية للخصومات</t>
  </si>
  <si>
    <t>مبلغ الخصم للغياب</t>
  </si>
  <si>
    <t>الرقم التسلسلي</t>
  </si>
  <si>
    <t>سند التحصيل</t>
  </si>
  <si>
    <t>إشعار إرسال سند التحصيل</t>
  </si>
  <si>
    <t>السيــــد :</t>
  </si>
  <si>
    <t>المبلغ المذكور فيما يتبع ، للأسباب المبينة فيما يلي</t>
  </si>
  <si>
    <t xml:space="preserve">أسبـــاب الدفـــع </t>
  </si>
  <si>
    <t>مبلغ الدفع</t>
  </si>
  <si>
    <t>المجمـــــــــــــــــــــــوع</t>
  </si>
  <si>
    <t xml:space="preserve">     ميزانيـة الدولــــــة</t>
  </si>
  <si>
    <t>التسييـر:</t>
  </si>
  <si>
    <t>جدول رقم:</t>
  </si>
  <si>
    <t>الاسم واللقب</t>
  </si>
  <si>
    <t>التعيين</t>
  </si>
  <si>
    <t>الباب / المادة</t>
  </si>
  <si>
    <t>تاريخ الخصم</t>
  </si>
  <si>
    <t>مبلغ الخصم</t>
  </si>
  <si>
    <t>ملاحظات</t>
  </si>
  <si>
    <t>201007-07.10</t>
  </si>
  <si>
    <t>31-11/ 31-12</t>
  </si>
  <si>
    <t>مجموع الجدول</t>
  </si>
  <si>
    <t>مجموع الخصومات السابقة</t>
  </si>
  <si>
    <t>المجموع الكلي</t>
  </si>
  <si>
    <t>مطالب بدفع للخزينة للإدراج في الفصل :  07.10-201007</t>
  </si>
  <si>
    <t>ملزم بدفع لصندوق أمين الخزينة بولاية إيليزي ، المطالب أيضا وفقا لشروط  المرسوم رقم : 93/46 المؤرخ في 06 فيفري 1993 للتنظيم المالي الجزائري بقبض في الجدول (1) 07.10-201007</t>
  </si>
  <si>
    <t>T</t>
  </si>
  <si>
    <t>خصم عشرة ( 10 ) أيام بسبب عطلة مرضية إبتداءا من 01-05-2019 إلى غاية 10-05-2019غياب غير مبرر أيام 04و05 -05-2019</t>
  </si>
  <si>
    <t>ياباللبلالبابلا  لبالالبا لابل ا</t>
  </si>
  <si>
    <t>لبيييييييييييييييييييييييييييييييييييييييييييييييييييييييييييييييييييي</t>
  </si>
  <si>
    <t>غغغغغغغغغغغغغغغغغغغغغغغغغغغغغغغغغغغغغغغغغغغغغغغغغغغغغغ</t>
  </si>
  <si>
    <t>ققققققققققققققققققققققققققققققققققققققققق</t>
  </si>
  <si>
    <t>صصصصصصصصصصصصصصصصصصصصص</t>
  </si>
  <si>
    <t>ضضضضضضضضضضضضضضضضضضضضضضضضض</t>
  </si>
  <si>
    <t>غغغغغغغغغغغغغغغغغغغغغغغغغغغغغغغ</t>
  </si>
  <si>
    <t>تنكنلكتنكمي فغا شفغ قفقضصقيش ثق ثق  ثق ثص ق ث قثص صث  ثصقثص</t>
  </si>
  <si>
    <t>34321321321</t>
  </si>
  <si>
    <t>321321321321</t>
  </si>
  <si>
    <t>321321321321321321</t>
  </si>
  <si>
    <t>22222222222222</t>
  </si>
  <si>
    <t>222222222222222222223363256633266</t>
  </si>
  <si>
    <t>543,1232516514421,0321560,035</t>
  </si>
  <si>
    <t>تحديد رقم الموظف المخصوم له</t>
  </si>
  <si>
    <t>=SI(Z15="لبنك الوطني الجزائري";B15;"")</t>
  </si>
  <si>
    <t>BNA</t>
  </si>
  <si>
    <t>BDL</t>
  </si>
  <si>
    <t>BADR</t>
  </si>
  <si>
    <t>=SI(y15="لبنك الوطني الجزائري";B15;"")</t>
  </si>
  <si>
    <t>تعويض الضرر</t>
  </si>
  <si>
    <t>التعويض عن الخطر والإلزام</t>
  </si>
  <si>
    <t>التعويض الجزافي عن الخدمة</t>
  </si>
  <si>
    <t>تعويض دعم نشاطات الإدارة</t>
  </si>
  <si>
    <r>
      <t>الضمان الإجتماعي23,75</t>
    </r>
    <r>
      <rPr>
        <sz val="40"/>
        <rFont val="Arabic Transparent"/>
        <charset val="178"/>
      </rPr>
      <t>%</t>
    </r>
    <r>
      <rPr>
        <b/>
        <sz val="40"/>
        <rFont val="Arabic Transparent"/>
        <charset val="178"/>
      </rPr>
      <t xml:space="preserve"> : </t>
    </r>
  </si>
  <si>
    <r>
      <t>تأمين على البطالة1</t>
    </r>
    <r>
      <rPr>
        <sz val="40"/>
        <rFont val="Arabic Transparent"/>
        <charset val="178"/>
      </rPr>
      <t>%</t>
    </r>
    <r>
      <rPr>
        <b/>
        <sz val="40"/>
        <rFont val="Arabic Transparent"/>
        <charset val="178"/>
      </rPr>
      <t xml:space="preserve"> : </t>
    </r>
  </si>
  <si>
    <r>
      <t>التقاعد المسبق0,25</t>
    </r>
    <r>
      <rPr>
        <sz val="40"/>
        <rFont val="Arabic Transparent"/>
        <charset val="178"/>
      </rPr>
      <t>%</t>
    </r>
    <r>
      <rPr>
        <b/>
        <sz val="40"/>
        <rFont val="Arabic Transparent"/>
        <charset val="178"/>
      </rPr>
      <t xml:space="preserve"> : </t>
    </r>
  </si>
  <si>
    <t>التعويض عن الخطر والإلزام.</t>
  </si>
  <si>
    <t xml:space="preserve">حــالـــــــة دفـــــــــع </t>
  </si>
  <si>
    <t>- ت.خ.إ.م.            - ت.خ.ت.م.            - ت.ت.أ.د.ح.ع.      - ت.الضرر.          - ت.ج.عن الخدمة.</t>
  </si>
  <si>
    <r>
      <t>-منحة المسؤولية.</t>
    </r>
    <r>
      <rPr>
        <b/>
        <sz val="30"/>
        <rFont val="Arabic Transparent"/>
        <charset val="178"/>
      </rPr>
      <t xml:space="preserve">  -منحة الصندوق.</t>
    </r>
  </si>
  <si>
    <r>
      <t xml:space="preserve"> -منحة التمثيل.      </t>
    </r>
    <r>
      <rPr>
        <b/>
        <sz val="28"/>
        <rFont val="Arabic Transparent"/>
      </rPr>
      <t>-المنحة الجزافية التعويضية.</t>
    </r>
  </si>
  <si>
    <t>-علاوة الخطر.       -ت.د.نشطات الإدارة.  - تعويض الخاص عن الإلزام.</t>
  </si>
  <si>
    <t xml:space="preserve">                                     </t>
  </si>
  <si>
    <t xml:space="preserve">                                         جدول وصلات الإقتطاع  أصدر يوم :</t>
  </si>
  <si>
    <t>عمود مساعد مكان التعيين</t>
  </si>
  <si>
    <t xml:space="preserve">                                        </t>
  </si>
  <si>
    <t xml:space="preserve">جدول وصلات الإقتطاع  أصدر يوم : </t>
  </si>
  <si>
    <t>علي علي</t>
  </si>
  <si>
    <t>أحمد بن أحمد</t>
  </si>
  <si>
    <t>عبد الحميد بن عبد الحميد</t>
  </si>
  <si>
    <t>جمال بن جمال</t>
  </si>
  <si>
    <t>سليمان بن سليمان</t>
  </si>
  <si>
    <t>الوافي بن الوافي</t>
  </si>
  <si>
    <t>مصطفى بن مصطفى</t>
  </si>
  <si>
    <t>سليم بن سليم</t>
  </si>
  <si>
    <t>جميل بن جميل</t>
  </si>
  <si>
    <t>مبيىاكمتنيبىامني</t>
  </si>
  <si>
    <t>يمنباسىكامنىلبا</t>
  </si>
  <si>
    <t>مىلاورؤةلارؤوةلا</t>
  </si>
  <si>
    <t>لالالالالالالا</t>
  </si>
  <si>
    <t>لللللللللل</t>
  </si>
  <si>
    <t>قثققققثثقققثققثقث</t>
  </si>
  <si>
    <t>لبلبيليبلبيلبيلبي</t>
  </si>
  <si>
    <t>ؤوةلاىرؤزولاى</t>
  </si>
  <si>
    <t>ةوزرؤىلاوةزىؤرء</t>
  </si>
  <si>
    <t>ظوزةلاؤءروةلارؤلا</t>
  </si>
  <si>
    <t>ؤرزوءظةلانتكلمسنات</t>
  </si>
  <si>
    <t>منؤرءىلارؤ نمؤلارنلا</t>
  </si>
  <si>
    <t>ةوىلاؤةرءلاىزوؤةىروةى</t>
  </si>
  <si>
    <t>زنتؤءىلاورؤةىلازوةءؤرىلا</t>
  </si>
  <si>
    <t>نتيمسلابىلاكؤرمتنىلا</t>
  </si>
  <si>
    <t>ةىروؤزلاىؤرءزوةلا</t>
  </si>
  <si>
    <t>منتكبالاسماتلطبات</t>
  </si>
  <si>
    <t>كسمنتيبسشكيمنلتميبسل</t>
  </si>
  <si>
    <t>نتبلشبنيمتلنمبيل</t>
  </si>
  <si>
    <t>منيبتطلنبيشتطتمنتل</t>
  </si>
  <si>
    <t>المفتشية 1</t>
  </si>
  <si>
    <t>المفتشية 2</t>
  </si>
  <si>
    <t>المفتشية 3</t>
  </si>
  <si>
    <t>المفتشية 4</t>
  </si>
  <si>
    <t>المديرية</t>
  </si>
  <si>
    <t>المحافظة1</t>
  </si>
  <si>
    <t>المحافظة2</t>
  </si>
  <si>
    <t>المحافظة3</t>
  </si>
  <si>
    <t>المحافظة4</t>
  </si>
  <si>
    <t>المديرية2</t>
  </si>
  <si>
    <t>12452</t>
  </si>
  <si>
    <t>مديرية أ//////////</t>
  </si>
  <si>
    <t>لولاية //////////</t>
  </si>
  <si>
    <t>مديرية ,,,,,,,,,,,,,,,</t>
  </si>
  <si>
    <t>ولاية ,,,,,,,,,,,,,,,,,,</t>
  </si>
  <si>
    <t>مديرية أ,,,,,,,,,, لولاية ,,,,,,,,,</t>
  </si>
  <si>
    <t>الولاية في :</t>
  </si>
  <si>
    <t>ولاية ,,,,,,,,,,,,,,,,,</t>
  </si>
  <si>
    <t>رقم الحساب : 2222222222CLE 3333333</t>
  </si>
  <si>
    <t>مديرية ,,,,,,,,,, لولاية ,,,,,,,,,,,,,,,,</t>
  </si>
  <si>
    <t>مديرية ,,,,,,,,,,,,,,,,</t>
  </si>
  <si>
    <t>لولايــة ,,,,,,,,,,,,,,,,,</t>
  </si>
  <si>
    <t>ولاية ,,,,,,,,,,,,,</t>
  </si>
  <si>
    <t>مديرية ,,,,,,,,,,,,,, لولاية ,,,,,,,,,,,,</t>
  </si>
  <si>
    <t>وزارة :    ,,,,,,,,,,,,,,,</t>
  </si>
  <si>
    <t>صنف المستخدمين :  مديرية 33333333 لولاية 3333333333333</t>
  </si>
  <si>
    <t>الآمر بالصرف 222222222222</t>
  </si>
  <si>
    <t>فصل  222222</t>
  </si>
  <si>
    <t>مديرية,,,,,,,,,,,,,,,,,,,,,,,,</t>
  </si>
  <si>
    <t>وزارة ,,,,,,,,,,,,,,,,,,</t>
  </si>
  <si>
    <t>مديـــرية,,,,,,,,,,,,,,,,,,,,,,,,,,,,,,,,,,,</t>
  </si>
  <si>
    <t>مديرية ,,,,,,,,,,,,,,</t>
  </si>
  <si>
    <t>وزارة ,,,,,,,,,,,,,,,,</t>
  </si>
  <si>
    <t>مديرية ,,,,,,,,,,, لولاية ,,,,,,,,,,,,</t>
  </si>
  <si>
    <r>
      <t xml:space="preserve">الولاية في  </t>
    </r>
    <r>
      <rPr>
        <sz val="36"/>
        <color rgb="FF0070C0"/>
        <rFont val="Traditional Arabic"/>
        <family val="1"/>
      </rPr>
      <t>:</t>
    </r>
  </si>
  <si>
    <t>رقم الحساب : 123456574545CLE 32353</t>
  </si>
  <si>
    <t>مديرية ,,,,,,,,,,,,,,,,,,,,,,,</t>
  </si>
  <si>
    <t>المديرية العامة ,,,,,,,,,,,,,</t>
  </si>
  <si>
    <t>المشترك رقم: 123456789    المفتاح :  123</t>
  </si>
  <si>
    <t>العنوان الإجتماعي : ايبايايشاليابلابلاسبالبابسابلالبابلا -</t>
  </si>
  <si>
    <t>للعمال المتعاقدين</t>
  </si>
  <si>
    <t>الولاية في:</t>
  </si>
  <si>
    <t>مديرية ,,,,,,,,,,,,,,,,,,,</t>
  </si>
  <si>
    <t>لولايــة ,,,,,,,,,,,,,,</t>
  </si>
  <si>
    <t>رقم :  الأمر بالصرف :  2222222222</t>
  </si>
  <si>
    <r>
      <t xml:space="preserve">وزارة :     </t>
    </r>
    <r>
      <rPr>
        <sz val="26"/>
        <color rgb="FF0070C0"/>
        <rFont val="Traditional Arabic"/>
        <family val="1"/>
      </rPr>
      <t>222222222222222</t>
    </r>
  </si>
  <si>
    <t>ولاية ,,,,,,,,,,,,,,</t>
  </si>
  <si>
    <t>مديرية ,,,,,,,,,,,,,,,,,</t>
  </si>
  <si>
    <t>صنف المستخدمين :  مديرية أ,,,,,,,,,,,,,,,,,</t>
  </si>
  <si>
    <t>تسييــــر 2019</t>
  </si>
  <si>
    <t>مديرية,,;;;;;;;;;;;;;;</t>
  </si>
  <si>
    <t>الآمر بالصرف /222222222</t>
  </si>
  <si>
    <t>وزارة ,,,,,,,,,,,,,,</t>
  </si>
  <si>
    <t>مديـرية ,,,,,,,,,,,,,,,,,,,,,,,,,,,,,,</t>
  </si>
  <si>
    <t>مديرية,,,,,,,,,,,,,,,,,,,,</t>
  </si>
  <si>
    <t>وزارة ,,,,,,,,,,,,,,,,,,,,,,</t>
  </si>
  <si>
    <t>الآمر بالصرف / 222222222222</t>
  </si>
  <si>
    <t>مكان التعيين</t>
  </si>
  <si>
    <t>الفرع1</t>
  </si>
  <si>
    <t>الفرع2</t>
  </si>
  <si>
    <t>الفرع3</t>
  </si>
  <si>
    <t>الفرع4</t>
  </si>
  <si>
    <t>الفرع5</t>
  </si>
  <si>
    <t>الفرع6</t>
  </si>
  <si>
    <t>الفرع7</t>
  </si>
  <si>
    <t>الفرع8</t>
  </si>
  <si>
    <t>الفرع9</t>
  </si>
  <si>
    <t>الفرع10</t>
  </si>
  <si>
    <t>الفرع11</t>
  </si>
  <si>
    <t>الفرع12</t>
  </si>
  <si>
    <t>الفرع13</t>
  </si>
  <si>
    <t>الفرع14</t>
  </si>
  <si>
    <t>الفرع15</t>
  </si>
  <si>
    <t>الفرع16</t>
  </si>
  <si>
    <t>الفرع17</t>
  </si>
  <si>
    <t>الفرع18</t>
  </si>
  <si>
    <t>الفرع19</t>
  </si>
  <si>
    <t>الفرع20</t>
  </si>
  <si>
    <t>الفرع21</t>
  </si>
  <si>
    <t>الفرع22</t>
  </si>
  <si>
    <t>المديرية الفرعية1</t>
  </si>
  <si>
    <t>المديرية الفرعية2</t>
  </si>
  <si>
    <t>المديرية الفرعية3</t>
  </si>
  <si>
    <t>المديرية الفرعية4</t>
  </si>
  <si>
    <t>المديرية الفرعية5</t>
  </si>
  <si>
    <t>المديرية الفرعية6</t>
  </si>
  <si>
    <t>المديرية الفرعية7</t>
  </si>
  <si>
    <t>المديرية الفرعية8</t>
  </si>
  <si>
    <t>المديرية الفرعية9</t>
  </si>
  <si>
    <t>المديرية الفرعية10</t>
  </si>
  <si>
    <t>المديرية الفرعية11</t>
  </si>
  <si>
    <t>المديرية الفرعية12</t>
  </si>
  <si>
    <t>المديرية الفرعية13</t>
  </si>
  <si>
    <t>المديرية الفرعية14</t>
  </si>
  <si>
    <t>المديرية الفرعية15</t>
  </si>
  <si>
    <t>المديرية الفرعية16</t>
  </si>
  <si>
    <t>المديرية الفرعية17</t>
  </si>
  <si>
    <t>المديرية الفرعية18</t>
  </si>
  <si>
    <t>المديرية الفرعية19</t>
  </si>
  <si>
    <t>المديرية الفرعية20</t>
  </si>
  <si>
    <t>المديرية الفرعية21</t>
  </si>
  <si>
    <t>المديرية الفرعية22</t>
  </si>
  <si>
    <t>المديرية الفرعية23</t>
  </si>
  <si>
    <t>المديرية الفرعية24</t>
  </si>
  <si>
    <t>المديرية الفرعية25</t>
  </si>
  <si>
    <t>المديرية الفرعية26</t>
  </si>
  <si>
    <t>المديرية الفرعية27</t>
  </si>
  <si>
    <t>المديرية الفرعية28</t>
  </si>
  <si>
    <t>المديرية الفرعية29</t>
  </si>
  <si>
    <t>المديرية الفرعية30</t>
  </si>
  <si>
    <t>المديرية الفرعية31</t>
  </si>
  <si>
    <t>المديرية الفرعية32</t>
  </si>
  <si>
    <t>المديرية الفرعية33</t>
  </si>
  <si>
    <t>المديرية الفرعية34</t>
  </si>
  <si>
    <t>المديرية الفرعية35</t>
  </si>
  <si>
    <t>المديرية الفرعية36</t>
  </si>
  <si>
    <t>لللللللل</t>
  </si>
  <si>
    <t>لللللللللللللل</t>
  </si>
  <si>
    <t>فففففففف</t>
  </si>
  <si>
    <t>فففففففففففف</t>
  </si>
  <si>
    <t>سيييييييي</t>
  </si>
  <si>
    <t>يسللللللل</t>
  </si>
  <si>
    <t>ليسليسليسل</t>
  </si>
  <si>
    <t>ررءرءؤرؤءر</t>
  </si>
  <si>
    <t>شللبيسلبيشل</t>
  </si>
  <si>
    <t>صثقصقثصقض</t>
  </si>
  <si>
    <t>رسيبرشبيسب</t>
  </si>
  <si>
    <t>صثقثصقثصقصث</t>
  </si>
  <si>
    <t>بيسلبيليبسل</t>
  </si>
  <si>
    <t>ولاية ,,,,,,,,,,,,,,,,,,,</t>
  </si>
  <si>
    <t>مديرية,,,,,,,,,,,,,,,,,,,,,</t>
  </si>
  <si>
    <t>مديرية أ,,,,,,,,,,,,,,,,,,,,,,,,,,,,,,,,,,,</t>
  </si>
  <si>
    <t>فصل  111111111</t>
  </si>
  <si>
    <t>مديـــرية ,,,,,,,,,,,,,,,,,,,,,,,,,,,,,,,,,,,,,,,,,,,</t>
  </si>
  <si>
    <t>الآمر بالصرف 2222222222</t>
  </si>
  <si>
    <t>رقم :  الأمر بالصرف :  222222222222</t>
  </si>
  <si>
    <r>
      <t xml:space="preserve">وزارة :     </t>
    </r>
    <r>
      <rPr>
        <sz val="26"/>
        <color rgb="FF0070C0"/>
        <rFont val="Traditional Arabic"/>
        <family val="1"/>
      </rPr>
      <t>2222222222222</t>
    </r>
  </si>
  <si>
    <t>ولاية 22222222222</t>
  </si>
  <si>
    <t>مديرية 33333333333333</t>
  </si>
  <si>
    <t>صنف المستخدمين :  مديرية ,,,,,,,,,,,,,,,,,,,</t>
  </si>
  <si>
    <t>مديرية,,,,,,,,,,,,,,,,,,,,,,,,,,,,,,,,,</t>
  </si>
  <si>
    <t>مديرية ,,,,,,,,,,,,,,,,,,,,,</t>
  </si>
  <si>
    <t>وزارة ,,,,,,,,,,,,,,,</t>
  </si>
  <si>
    <t xml:space="preserve">المديرية ,,,,,,,,,,,,,,,,,,,,,, </t>
  </si>
  <si>
    <t>مديرية ,,,,,,,,,,,,,,,,,,,, ,,,,,,,,,,,,,,</t>
  </si>
  <si>
    <t>مديرية أ,,,,,,,,,,,,,,,,,,10100014</t>
  </si>
  <si>
    <t>ئلالرئلاؤيلاء\رؤلاء\ؤلاؤء\لاءرؤلارؤئلارؤئلارؤئلاؤر</t>
  </si>
  <si>
    <t>وزارة ,,,,,,,,,,,,,</t>
  </si>
  <si>
    <t>رقم الحساب : 2222222226CLE 222222</t>
  </si>
  <si>
    <t>لولايــة ,,,,,,,,,,,,,,,</t>
  </si>
  <si>
    <t>المديرية العامة ,,,,,,,,,,,,,,</t>
  </si>
  <si>
    <t>مديرية أ,,,,,,,,,,,,,,,,,,,,,</t>
  </si>
  <si>
    <t>المشترك رقم: 3333333333    المفتاح :  3333333</t>
  </si>
  <si>
    <t>العنوان الإجتماعي : ارؤىلارؤىؤئىؤىئىؤ ءؤلالا\</t>
  </si>
  <si>
    <t xml:space="preserve">       وزارة ,,,,,,,,,,,,,,,,</t>
  </si>
  <si>
    <t xml:space="preserve">      مديرية ,,,,,,,,,,,,,,,,,,,,,,</t>
  </si>
  <si>
    <t>السيد أمين خزينة ولاية ,,,,,,,,,, رقم الحساب المدين ح/ب/ج</t>
  </si>
</sst>
</file>

<file path=xl/styles.xml><?xml version="1.0" encoding="utf-8"?>
<styleSheet xmlns="http://schemas.openxmlformats.org/spreadsheetml/2006/main">
  <numFmts count="18">
    <numFmt numFmtId="41" formatCode="_-* #,##0\ _€_-;\-* #,##0\ _€_-;_-* &quot;-&quot;\ _€_-;_-@_-"/>
    <numFmt numFmtId="43" formatCode="_-* #,##0.00\ _€_-;\-* #,##0.00\ _€_-;_-* &quot;-&quot;??\ _€_-;_-@_-"/>
    <numFmt numFmtId="164" formatCode="#,##0.00\ _€"/>
    <numFmt numFmtId="165" formatCode="0.00_ ;[Red]\-0.00\ "/>
    <numFmt numFmtId="166" formatCode="_ [$€]* #,##0.00_ ;_ [$€]* \-#,##0.00_ ;_ [$€]* &quot;-&quot;??_ ;_ @_ "/>
    <numFmt numFmtId="167" formatCode="_ * #,##0.00_ ;_ * \-#,##0.00_ ;_ * &quot;-&quot;??_ ;_ @_ "/>
    <numFmt numFmtId="168" formatCode="0_ ;[Red]\-0\ "/>
    <numFmt numFmtId="169" formatCode="_-* #,##0.00_-;_-* #,##0.00\-;_-* &quot;-&quot;??_-;_-@_-"/>
    <numFmt numFmtId="170" formatCode="_-* #,##0_-;_-* #,##0\-;_-* &quot;-&quot;??_-;_-@_-"/>
    <numFmt numFmtId="171" formatCode="000"/>
    <numFmt numFmtId="172" formatCode="####;\(####.\-#.##\)"/>
    <numFmt numFmtId="173" formatCode="#,##0.00_ ;[Red]\-#,##0.00\ "/>
    <numFmt numFmtId="174" formatCode="#,##0_ ;[Red]\-#,##0\ "/>
    <numFmt numFmtId="175" formatCode="_ * #,##0_ ;_ * \-#,##0_ ;_ * &quot;-&quot;??_ ;_ @_ "/>
    <numFmt numFmtId="176" formatCode="#,##0.00_ ;\-#,##0.00\ "/>
    <numFmt numFmtId="177" formatCode="#,##0.00;[Red]#,##0.00"/>
    <numFmt numFmtId="178" formatCode="00"/>
    <numFmt numFmtId="179" formatCode="_-* #,##0\ _€_-;\-* #,##0\ _€_-;_-* &quot;-&quot;??\ _€_-;_-@_-"/>
  </numFmts>
  <fonts count="324">
    <font>
      <sz val="10"/>
      <name val="Arial"/>
    </font>
    <font>
      <sz val="10"/>
      <name val="Arial"/>
      <family val="2"/>
    </font>
    <font>
      <sz val="8"/>
      <name val="Arial"/>
      <family val="2"/>
    </font>
    <font>
      <b/>
      <sz val="12"/>
      <name val="Arial"/>
      <family val="2"/>
    </font>
    <font>
      <b/>
      <sz val="14"/>
      <name val="Arial"/>
      <family val="2"/>
    </font>
    <font>
      <b/>
      <sz val="10"/>
      <name val="Arial"/>
      <family val="2"/>
    </font>
    <font>
      <sz val="14"/>
      <name val="Arial"/>
      <family val="2"/>
    </font>
    <font>
      <sz val="11"/>
      <color indexed="8"/>
      <name val="Calibri"/>
      <family val="2"/>
    </font>
    <font>
      <sz val="10"/>
      <name val="Arial"/>
      <family val="2"/>
    </font>
    <font>
      <b/>
      <sz val="36"/>
      <name val="Arabic Transparent"/>
      <charset val="178"/>
    </font>
    <font>
      <b/>
      <sz val="19"/>
      <name val="Arial"/>
      <family val="2"/>
    </font>
    <font>
      <b/>
      <sz val="22"/>
      <name val="Arial"/>
      <family val="2"/>
    </font>
    <font>
      <sz val="18"/>
      <name val="Arial"/>
      <family val="2"/>
    </font>
    <font>
      <b/>
      <sz val="18"/>
      <name val="Arial"/>
      <family val="2"/>
    </font>
    <font>
      <b/>
      <sz val="24"/>
      <name val="Arabic Transparent"/>
      <charset val="178"/>
    </font>
    <font>
      <b/>
      <sz val="24"/>
      <name val="Arial"/>
      <family val="2"/>
    </font>
    <font>
      <b/>
      <sz val="26"/>
      <name val="Arial"/>
      <family val="2"/>
    </font>
    <font>
      <sz val="10"/>
      <color indexed="8"/>
      <name val="Arial"/>
      <family val="2"/>
    </font>
    <font>
      <sz val="10"/>
      <name val="Arial"/>
      <family val="2"/>
    </font>
    <font>
      <b/>
      <sz val="13"/>
      <name val="Arabic Transparent"/>
      <charset val="178"/>
    </font>
    <font>
      <sz val="10"/>
      <name val="Arial"/>
      <family val="2"/>
      <charset val="178"/>
    </font>
    <font>
      <b/>
      <sz val="11"/>
      <name val="Arabic Transparent"/>
      <charset val="178"/>
    </font>
    <font>
      <b/>
      <sz val="18"/>
      <name val="Arabic Transparent"/>
      <charset val="178"/>
    </font>
    <font>
      <sz val="14"/>
      <name val="Arabic Transparent"/>
      <charset val="178"/>
    </font>
    <font>
      <b/>
      <sz val="14"/>
      <name val="Arabic Transparent"/>
      <charset val="178"/>
    </font>
    <font>
      <sz val="17"/>
      <name val="Arial"/>
      <family val="2"/>
    </font>
    <font>
      <b/>
      <sz val="16"/>
      <name val="Arabic Transparent"/>
      <charset val="178"/>
    </font>
    <font>
      <sz val="12"/>
      <name val="Arabic Transparent"/>
      <charset val="178"/>
    </font>
    <font>
      <b/>
      <sz val="12"/>
      <name val="Arabic Transparent"/>
      <charset val="178"/>
    </font>
    <font>
      <b/>
      <sz val="10"/>
      <name val="Arial"/>
      <family val="2"/>
      <charset val="178"/>
    </font>
    <font>
      <b/>
      <sz val="20"/>
      <name val="Arabic Transparent"/>
      <charset val="178"/>
    </font>
    <font>
      <b/>
      <sz val="10"/>
      <name val="Arabic Transparent"/>
      <charset val="178"/>
    </font>
    <font>
      <b/>
      <sz val="18"/>
      <name val="Mudir MT"/>
      <charset val="178"/>
    </font>
    <font>
      <b/>
      <sz val="20"/>
      <name val="Mudir MT"/>
      <charset val="178"/>
    </font>
    <font>
      <b/>
      <sz val="20"/>
      <name val="Arial"/>
      <family val="2"/>
      <charset val="178"/>
    </font>
    <font>
      <b/>
      <sz val="18"/>
      <name val="Arial"/>
      <family val="2"/>
      <charset val="178"/>
    </font>
    <font>
      <b/>
      <sz val="28"/>
      <name val="Arabic Transparent"/>
      <charset val="178"/>
    </font>
    <font>
      <b/>
      <sz val="27"/>
      <name val="Arial"/>
      <family val="2"/>
    </font>
    <font>
      <b/>
      <sz val="25"/>
      <name val="Mudir MT"/>
      <charset val="178"/>
    </font>
    <font>
      <b/>
      <sz val="28"/>
      <name val="Times New Roman"/>
      <family val="1"/>
    </font>
    <font>
      <b/>
      <sz val="28"/>
      <name val="Arial"/>
      <family val="2"/>
    </font>
    <font>
      <sz val="27"/>
      <name val="Arial"/>
      <family val="2"/>
      <charset val="178"/>
    </font>
    <font>
      <b/>
      <i/>
      <u/>
      <sz val="36"/>
      <name val="Simplified Arabic"/>
      <family val="1"/>
    </font>
    <font>
      <i/>
      <u/>
      <sz val="36"/>
      <name val="Simplified Arabic"/>
      <family val="1"/>
    </font>
    <font>
      <b/>
      <sz val="48"/>
      <name val="Simplified Arabic"/>
      <family val="1"/>
    </font>
    <font>
      <b/>
      <i/>
      <u/>
      <sz val="20"/>
      <name val="Arabic Transparent"/>
      <charset val="178"/>
    </font>
    <font>
      <b/>
      <sz val="28"/>
      <name val="Arial"/>
      <family val="2"/>
    </font>
    <font>
      <b/>
      <sz val="28"/>
      <name val="Arial"/>
      <family val="2"/>
      <charset val="178"/>
    </font>
    <font>
      <sz val="28"/>
      <name val="Arial"/>
      <family val="2"/>
    </font>
    <font>
      <b/>
      <sz val="28"/>
      <color indexed="9"/>
      <name val="Arabic Transparent"/>
      <charset val="178"/>
    </font>
    <font>
      <b/>
      <sz val="36"/>
      <name val="Mudir MT"/>
      <charset val="178"/>
    </font>
    <font>
      <b/>
      <sz val="18"/>
      <color indexed="8"/>
      <name val="Arial"/>
      <family val="2"/>
    </font>
    <font>
      <sz val="28"/>
      <color indexed="8"/>
      <name val="Arial"/>
      <family val="2"/>
    </font>
    <font>
      <b/>
      <sz val="28"/>
      <color indexed="8"/>
      <name val="Arial"/>
      <family val="2"/>
    </font>
    <font>
      <sz val="27"/>
      <color indexed="8"/>
      <name val="Arial"/>
      <family val="2"/>
    </font>
    <font>
      <sz val="10"/>
      <color indexed="8"/>
      <name val="Arial"/>
      <family val="2"/>
    </font>
    <font>
      <sz val="28"/>
      <color indexed="8"/>
      <name val="Arial"/>
      <family val="2"/>
    </font>
    <font>
      <b/>
      <sz val="28"/>
      <color indexed="8"/>
      <name val="Arial"/>
      <family val="2"/>
    </font>
    <font>
      <sz val="18"/>
      <name val="Arial"/>
      <family val="2"/>
    </font>
    <font>
      <b/>
      <u/>
      <sz val="26"/>
      <name val="Traditional Arabic"/>
      <family val="1"/>
    </font>
    <font>
      <b/>
      <sz val="26"/>
      <name val="Traditional Arabic"/>
      <family val="1"/>
    </font>
    <font>
      <b/>
      <sz val="18"/>
      <name val="Traditional Arabic"/>
      <family val="1"/>
    </font>
    <font>
      <sz val="18"/>
      <name val="Arabic Transparent"/>
      <charset val="178"/>
    </font>
    <font>
      <sz val="18"/>
      <name val="Traditional Arabic"/>
      <family val="1"/>
    </font>
    <font>
      <b/>
      <sz val="22"/>
      <name val="Arabic Transparent"/>
      <charset val="178"/>
    </font>
    <font>
      <b/>
      <sz val="22"/>
      <name val="Traditional Arabic"/>
      <family val="1"/>
    </font>
    <font>
      <sz val="26"/>
      <name val="Arial"/>
      <family val="2"/>
    </font>
    <font>
      <b/>
      <sz val="18"/>
      <name val="Traditional Arabic"/>
      <family val="1"/>
    </font>
    <font>
      <sz val="18"/>
      <name val="Arial"/>
      <family val="2"/>
      <charset val="178"/>
    </font>
    <font>
      <b/>
      <sz val="14"/>
      <color indexed="8"/>
      <name val="Arial"/>
      <family val="2"/>
    </font>
    <font>
      <b/>
      <u/>
      <sz val="36"/>
      <name val="Traditional Arabic"/>
      <family val="1"/>
    </font>
    <font>
      <b/>
      <sz val="16"/>
      <name val="Arial"/>
      <family val="2"/>
      <charset val="178"/>
    </font>
    <font>
      <b/>
      <sz val="17"/>
      <name val="Arabic Transparent"/>
      <charset val="178"/>
    </font>
    <font>
      <b/>
      <i/>
      <u/>
      <sz val="15"/>
      <name val="Arabic Transparent"/>
      <charset val="178"/>
    </font>
    <font>
      <b/>
      <sz val="16"/>
      <color indexed="10"/>
      <name val="Arabic Transparent"/>
      <charset val="178"/>
    </font>
    <font>
      <sz val="20"/>
      <name val="Arial"/>
      <family val="2"/>
    </font>
    <font>
      <sz val="10"/>
      <name val="Arial"/>
      <family val="2"/>
    </font>
    <font>
      <b/>
      <sz val="48"/>
      <name val="Arabic Transparent"/>
      <charset val="178"/>
    </font>
    <font>
      <sz val="24"/>
      <name val="Arial"/>
      <family val="2"/>
    </font>
    <font>
      <b/>
      <sz val="20"/>
      <name val="Arial"/>
      <family val="2"/>
    </font>
    <font>
      <sz val="10"/>
      <name val="Arial"/>
      <family val="2"/>
    </font>
    <font>
      <sz val="20"/>
      <name val="Arabic Transparent"/>
      <charset val="178"/>
    </font>
    <font>
      <b/>
      <sz val="26"/>
      <name val="Simplified Arabic"/>
      <family val="1"/>
    </font>
    <font>
      <b/>
      <u/>
      <sz val="26"/>
      <name val="Arial"/>
      <family val="2"/>
    </font>
    <font>
      <b/>
      <sz val="24"/>
      <name val="Simplified Arabic"/>
      <family val="1"/>
    </font>
    <font>
      <sz val="18"/>
      <name val="Simplified Arabic"/>
      <family val="1"/>
    </font>
    <font>
      <b/>
      <sz val="18"/>
      <name val="Simplified Arabic"/>
      <family val="1"/>
    </font>
    <font>
      <sz val="10"/>
      <name val="Arial"/>
      <family val="2"/>
    </font>
    <font>
      <sz val="24"/>
      <name val="Arial"/>
      <family val="2"/>
      <charset val="178"/>
    </font>
    <font>
      <b/>
      <sz val="9"/>
      <name val="Arabic Transparent"/>
      <charset val="178"/>
    </font>
    <font>
      <sz val="22"/>
      <name val="Arial"/>
      <family val="2"/>
    </font>
    <font>
      <sz val="12"/>
      <name val="Arial"/>
      <family val="2"/>
    </font>
    <font>
      <b/>
      <sz val="10"/>
      <name val="Arial"/>
      <family val="2"/>
    </font>
    <font>
      <b/>
      <u/>
      <sz val="18"/>
      <name val="Arabic Transparent"/>
      <charset val="178"/>
    </font>
    <font>
      <b/>
      <sz val="26"/>
      <name val="Arial"/>
      <family val="2"/>
    </font>
    <font>
      <b/>
      <sz val="24"/>
      <name val="Arial"/>
      <family val="2"/>
    </font>
    <font>
      <sz val="10"/>
      <name val="Arial"/>
      <family val="2"/>
    </font>
    <font>
      <b/>
      <sz val="18"/>
      <name val="Arial"/>
      <family val="2"/>
    </font>
    <font>
      <b/>
      <sz val="28"/>
      <name val="Arial"/>
      <family val="2"/>
    </font>
    <font>
      <sz val="10"/>
      <name val="Arial"/>
      <family val="2"/>
    </font>
    <font>
      <b/>
      <u/>
      <sz val="13"/>
      <name val="Arabic Transparent"/>
      <charset val="178"/>
    </font>
    <font>
      <b/>
      <u/>
      <sz val="8"/>
      <name val="Times New Roman"/>
      <family val="1"/>
    </font>
    <font>
      <sz val="8"/>
      <name val="Arial"/>
      <family val="2"/>
    </font>
    <font>
      <b/>
      <sz val="11"/>
      <name val="Arial"/>
      <family val="2"/>
    </font>
    <font>
      <b/>
      <u/>
      <sz val="10"/>
      <name val="Arial"/>
      <family val="2"/>
    </font>
    <font>
      <u/>
      <sz val="6"/>
      <name val="Times New Roman"/>
      <family val="1"/>
    </font>
    <font>
      <b/>
      <sz val="8"/>
      <name val="Arial"/>
      <family val="2"/>
    </font>
    <font>
      <u/>
      <sz val="10"/>
      <name val="Arial"/>
      <family val="2"/>
    </font>
    <font>
      <sz val="6"/>
      <name val="Arial"/>
      <family val="2"/>
    </font>
    <font>
      <sz val="7"/>
      <name val="Arial"/>
      <family val="2"/>
    </font>
    <font>
      <b/>
      <u/>
      <sz val="8"/>
      <name val="Arial"/>
      <family val="2"/>
    </font>
    <font>
      <b/>
      <sz val="9"/>
      <name val="Arial"/>
      <family val="2"/>
    </font>
    <font>
      <sz val="10"/>
      <name val="Times New Roman"/>
      <family val="1"/>
    </font>
    <font>
      <sz val="9"/>
      <name val="Arial"/>
      <family val="2"/>
    </font>
    <font>
      <sz val="9"/>
      <name val="Times New Roman"/>
      <family val="1"/>
    </font>
    <font>
      <sz val="8"/>
      <name val="Times New Roman"/>
      <family val="1"/>
    </font>
    <font>
      <b/>
      <sz val="7"/>
      <name val="Arial"/>
      <family val="2"/>
    </font>
    <font>
      <sz val="7"/>
      <name val="Times New Roman"/>
      <family val="1"/>
    </font>
    <font>
      <b/>
      <i/>
      <u/>
      <sz val="14"/>
      <name val="Arabic Transparent"/>
      <charset val="178"/>
    </font>
    <font>
      <sz val="14"/>
      <name val="Arial"/>
      <family val="2"/>
    </font>
    <font>
      <b/>
      <sz val="15"/>
      <name val="Arabic Transparent"/>
      <charset val="178"/>
    </font>
    <font>
      <sz val="10"/>
      <name val="Arabic Transparent"/>
      <charset val="178"/>
    </font>
    <font>
      <b/>
      <sz val="18"/>
      <name val="Arial Black"/>
      <family val="2"/>
    </font>
    <font>
      <sz val="14"/>
      <name val="Arial"/>
      <family val="2"/>
      <charset val="178"/>
    </font>
    <font>
      <b/>
      <sz val="13"/>
      <name val="Arial"/>
      <family val="2"/>
    </font>
    <font>
      <b/>
      <u/>
      <sz val="20"/>
      <name val="Arabic Transparent"/>
      <charset val="178"/>
    </font>
    <font>
      <b/>
      <sz val="12"/>
      <name val="Arial"/>
      <family val="2"/>
      <charset val="178"/>
    </font>
    <font>
      <b/>
      <sz val="16"/>
      <name val="Arial"/>
      <family val="2"/>
    </font>
    <font>
      <b/>
      <i/>
      <u/>
      <sz val="16"/>
      <name val="Simplified Arabic"/>
      <family val="1"/>
    </font>
    <font>
      <b/>
      <i/>
      <u/>
      <sz val="22"/>
      <name val="Arabic Transparent"/>
      <charset val="178"/>
    </font>
    <font>
      <b/>
      <u/>
      <sz val="18"/>
      <name val="Arial"/>
      <family val="2"/>
    </font>
    <font>
      <b/>
      <sz val="14"/>
      <name val="Arial"/>
      <family val="2"/>
      <charset val="178"/>
    </font>
    <font>
      <b/>
      <sz val="14"/>
      <name val="Simplified Arabic"/>
      <family val="1"/>
    </font>
    <font>
      <b/>
      <sz val="18"/>
      <name val="Monotype Koufi"/>
      <charset val="178"/>
    </font>
    <font>
      <b/>
      <sz val="10"/>
      <name val="Simplified Arabic"/>
      <family val="1"/>
    </font>
    <font>
      <b/>
      <sz val="14"/>
      <name val="Mudir MT"/>
      <charset val="178"/>
    </font>
    <font>
      <b/>
      <u/>
      <sz val="14"/>
      <name val="Arabic Transparent"/>
      <charset val="178"/>
    </font>
    <font>
      <b/>
      <i/>
      <u/>
      <sz val="22"/>
      <name val="Mudir MT"/>
      <charset val="179"/>
    </font>
    <font>
      <b/>
      <i/>
      <sz val="28"/>
      <name val="Times New Roman"/>
      <family val="1"/>
    </font>
    <font>
      <b/>
      <sz val="10"/>
      <name val="Times New Roman"/>
      <family val="1"/>
    </font>
    <font>
      <b/>
      <sz val="14"/>
      <name val="Times New Roman"/>
      <family val="1"/>
    </font>
    <font>
      <b/>
      <sz val="16"/>
      <name val="Times New Roman"/>
      <family val="1"/>
    </font>
    <font>
      <b/>
      <sz val="18"/>
      <name val="Times New Roman"/>
      <family val="1"/>
    </font>
    <font>
      <b/>
      <sz val="12"/>
      <color indexed="62"/>
      <name val="Arial"/>
      <family val="2"/>
    </font>
    <font>
      <b/>
      <sz val="14"/>
      <name val="Calibri"/>
      <family val="2"/>
    </font>
    <font>
      <sz val="12"/>
      <color indexed="60"/>
      <name val="Arabic Transparent"/>
    </font>
    <font>
      <b/>
      <sz val="12"/>
      <color indexed="60"/>
      <name val="Arabic Transparent"/>
    </font>
    <font>
      <b/>
      <sz val="12"/>
      <name val="Arabic Transparent"/>
    </font>
    <font>
      <b/>
      <sz val="14"/>
      <color indexed="62"/>
      <name val="Arial"/>
      <family val="2"/>
    </font>
    <font>
      <sz val="14"/>
      <color indexed="62"/>
      <name val="Arial"/>
      <family val="2"/>
    </font>
    <font>
      <b/>
      <sz val="18"/>
      <color indexed="60"/>
      <name val="Arabic Transparent"/>
    </font>
    <font>
      <sz val="9"/>
      <color indexed="81"/>
      <name val="Tahoma"/>
      <family val="2"/>
    </font>
    <font>
      <b/>
      <sz val="9"/>
      <color indexed="81"/>
      <name val="Tahoma"/>
      <family val="2"/>
    </font>
    <font>
      <b/>
      <sz val="10"/>
      <color indexed="81"/>
      <name val="System"/>
      <family val="2"/>
      <charset val="178"/>
    </font>
    <font>
      <b/>
      <sz val="12"/>
      <color indexed="81"/>
      <name val="System"/>
      <family val="2"/>
      <charset val="178"/>
    </font>
    <font>
      <sz val="14"/>
      <color theme="3"/>
      <name val="Arial"/>
      <family val="2"/>
    </font>
    <font>
      <b/>
      <sz val="36"/>
      <name val="Arial"/>
      <family val="2"/>
    </font>
    <font>
      <sz val="14"/>
      <color rgb="FFFF0000"/>
      <name val="Arial"/>
      <family val="2"/>
    </font>
    <font>
      <b/>
      <sz val="27"/>
      <color indexed="8"/>
      <name val="Arial"/>
      <family val="2"/>
    </font>
    <font>
      <sz val="28"/>
      <name val="Arial"/>
      <family val="2"/>
    </font>
    <font>
      <b/>
      <sz val="48"/>
      <name val="Arial"/>
      <family val="2"/>
    </font>
    <font>
      <b/>
      <i/>
      <u/>
      <sz val="36"/>
      <name val="Simplified Arabic"/>
      <family val="1"/>
    </font>
    <font>
      <b/>
      <sz val="72"/>
      <name val="Arial"/>
      <family val="2"/>
      <charset val="178"/>
    </font>
    <font>
      <sz val="36"/>
      <name val="Arabic Transparent"/>
      <charset val="178"/>
    </font>
    <font>
      <b/>
      <sz val="48"/>
      <name val="Simplified Arabic"/>
      <family val="1"/>
    </font>
    <font>
      <sz val="14"/>
      <color indexed="12"/>
      <name val="Arial"/>
      <family val="2"/>
    </font>
    <font>
      <sz val="14"/>
      <color indexed="10"/>
      <name val="Arial"/>
      <family val="2"/>
    </font>
    <font>
      <sz val="10"/>
      <color indexed="81"/>
      <name val="Tahoma"/>
      <family val="2"/>
    </font>
    <font>
      <b/>
      <sz val="11"/>
      <color indexed="81"/>
      <name val="Simplified Arabic"/>
      <family val="1"/>
    </font>
    <font>
      <b/>
      <sz val="10"/>
      <color indexed="81"/>
      <name val="Simplified Arabic"/>
      <family val="1"/>
    </font>
    <font>
      <b/>
      <sz val="9"/>
      <color indexed="81"/>
      <name val="Simplified Arabic"/>
      <family val="1"/>
    </font>
    <font>
      <b/>
      <sz val="8"/>
      <color indexed="81"/>
      <name val="Simplified Arabic"/>
      <family val="1"/>
    </font>
    <font>
      <b/>
      <u/>
      <sz val="9"/>
      <color indexed="81"/>
      <name val="Simplified Arabic"/>
      <family val="1"/>
    </font>
    <font>
      <b/>
      <u/>
      <sz val="11"/>
      <color indexed="81"/>
      <name val="Simplified Arabic"/>
      <family val="1"/>
    </font>
    <font>
      <b/>
      <sz val="14"/>
      <color indexed="81"/>
      <name val="Simplified Arabic"/>
      <family val="1"/>
    </font>
    <font>
      <b/>
      <sz val="9"/>
      <color indexed="81"/>
      <name val="Times New Roman"/>
      <family val="1"/>
    </font>
    <font>
      <b/>
      <u/>
      <sz val="9"/>
      <color indexed="81"/>
      <name val="Times New Roman"/>
      <family val="1"/>
    </font>
    <font>
      <b/>
      <u/>
      <sz val="9"/>
      <color indexed="81"/>
      <name val="Tahoma"/>
      <family val="2"/>
    </font>
    <font>
      <b/>
      <u/>
      <sz val="10"/>
      <color indexed="81"/>
      <name val="Tahoma"/>
      <family val="2"/>
    </font>
    <font>
      <b/>
      <u/>
      <sz val="10"/>
      <color indexed="81"/>
      <name val="Simplified Arabic"/>
      <family val="1"/>
    </font>
    <font>
      <b/>
      <sz val="14"/>
      <color indexed="81"/>
      <name val="Times New Roman"/>
      <family val="1"/>
    </font>
    <font>
      <b/>
      <sz val="14"/>
      <color rgb="FFFF0000"/>
      <name val="Arial"/>
      <family val="2"/>
    </font>
    <font>
      <b/>
      <sz val="48"/>
      <color rgb="FFFF0000"/>
      <name val="Arial"/>
      <family val="2"/>
    </font>
    <font>
      <sz val="14"/>
      <color rgb="FF002060"/>
      <name val="Arial"/>
      <family val="2"/>
    </font>
    <font>
      <b/>
      <sz val="14"/>
      <color theme="4" tint="-0.249977111117893"/>
      <name val="Arial"/>
      <family val="2"/>
    </font>
    <font>
      <b/>
      <sz val="14"/>
      <color rgb="FF002060"/>
      <name val="Arial"/>
      <family val="2"/>
    </font>
    <font>
      <b/>
      <u/>
      <sz val="26"/>
      <name val="Traditional Arabic"/>
      <family val="1"/>
    </font>
    <font>
      <b/>
      <sz val="26"/>
      <name val="Traditional Arabic"/>
      <family val="1"/>
    </font>
    <font>
      <b/>
      <sz val="18"/>
      <name val="Traditional Arabic"/>
      <family val="1"/>
    </font>
    <font>
      <sz val="18"/>
      <name val="Traditional Arabic"/>
      <family val="1"/>
    </font>
    <font>
      <b/>
      <sz val="22"/>
      <name val="Traditional Arabic"/>
      <family val="1"/>
    </font>
    <font>
      <sz val="26"/>
      <name val="Arial"/>
      <family val="2"/>
    </font>
    <font>
      <b/>
      <sz val="22"/>
      <name val="Simplified Arabic"/>
      <family val="1"/>
    </font>
    <font>
      <b/>
      <sz val="21"/>
      <name val="Simplified Arabic"/>
      <family val="1"/>
    </font>
    <font>
      <b/>
      <u/>
      <sz val="36"/>
      <name val="Traditional Arabic"/>
      <family val="1"/>
    </font>
    <font>
      <b/>
      <sz val="14"/>
      <color rgb="FFC00000"/>
      <name val="Arial"/>
      <family val="2"/>
    </font>
    <font>
      <b/>
      <sz val="28"/>
      <name val="Traditional Arabic"/>
      <family val="1"/>
    </font>
    <font>
      <b/>
      <sz val="17"/>
      <color rgb="FFFF0000"/>
      <name val="Arabic Transparent"/>
      <charset val="178"/>
    </font>
    <font>
      <b/>
      <sz val="14"/>
      <color rgb="FF0070C0"/>
      <name val="Arial"/>
      <family val="2"/>
    </font>
    <font>
      <b/>
      <sz val="12"/>
      <color rgb="FFFF0000"/>
      <name val="Arial"/>
      <family val="2"/>
    </font>
    <font>
      <sz val="12"/>
      <name val="Arial"/>
      <family val="2"/>
    </font>
    <font>
      <b/>
      <sz val="11"/>
      <color indexed="81"/>
      <name val="Times New Roman"/>
      <family val="1"/>
    </font>
    <font>
      <b/>
      <sz val="12"/>
      <color indexed="81"/>
      <name val="Times New Roman"/>
      <family val="1"/>
    </font>
    <font>
      <sz val="12"/>
      <name val="Arabic Transparent"/>
    </font>
    <font>
      <b/>
      <sz val="26"/>
      <color rgb="FF002060"/>
      <name val="Arial"/>
      <family val="2"/>
    </font>
    <font>
      <b/>
      <sz val="16"/>
      <name val="Arabic Transparent"/>
    </font>
    <font>
      <b/>
      <sz val="20"/>
      <name val="Arial Black"/>
      <family val="2"/>
    </font>
    <font>
      <b/>
      <sz val="18"/>
      <name val="Arabic Transparent"/>
    </font>
    <font>
      <b/>
      <sz val="14"/>
      <name val="Arabic Transparent"/>
    </font>
    <font>
      <sz val="10"/>
      <name val="Arial"/>
      <family val="2"/>
    </font>
    <font>
      <sz val="16"/>
      <name val="Arial"/>
      <family val="2"/>
    </font>
    <font>
      <b/>
      <sz val="24"/>
      <name val="Copperplate Gothic Bold"/>
      <family val="2"/>
    </font>
    <font>
      <b/>
      <sz val="16"/>
      <name val="Copperplate Gothic Bold"/>
      <family val="2"/>
    </font>
    <font>
      <b/>
      <sz val="14"/>
      <name val="Arial"/>
      <family val="2"/>
    </font>
    <font>
      <b/>
      <sz val="18"/>
      <name val="Arial"/>
      <family val="2"/>
    </font>
    <font>
      <b/>
      <sz val="16"/>
      <name val="Arial"/>
      <family val="2"/>
    </font>
    <font>
      <b/>
      <sz val="10"/>
      <name val="Arial"/>
      <family val="2"/>
    </font>
    <font>
      <b/>
      <sz val="22"/>
      <name val="Arabic Transparent"/>
    </font>
    <font>
      <sz val="18"/>
      <name val="Estrangelo Edessa"/>
      <family val="4"/>
    </font>
    <font>
      <sz val="22"/>
      <name val="Estrangelo Edessa"/>
      <family val="4"/>
    </font>
    <font>
      <b/>
      <sz val="14"/>
      <name val="Estrangelo Edessa"/>
      <family val="4"/>
    </font>
    <font>
      <b/>
      <sz val="18"/>
      <name val="Estrangelo Edessa"/>
      <family val="4"/>
    </font>
    <font>
      <sz val="16"/>
      <color indexed="81"/>
      <name val="Estrangelo Edessa"/>
      <family val="4"/>
    </font>
    <font>
      <b/>
      <sz val="24"/>
      <color indexed="81"/>
      <name val="Times New Roman"/>
      <family val="1"/>
    </font>
    <font>
      <sz val="24"/>
      <color indexed="81"/>
      <name val="Times New Roman"/>
      <family val="1"/>
    </font>
    <font>
      <sz val="10"/>
      <name val="Arial"/>
      <family val="2"/>
    </font>
    <font>
      <sz val="18"/>
      <name val="Arial"/>
      <family val="2"/>
    </font>
    <font>
      <sz val="18"/>
      <name val="Arial"/>
      <family val="2"/>
    </font>
    <font>
      <b/>
      <sz val="28"/>
      <color theme="0"/>
      <name val="Arial"/>
      <family val="2"/>
    </font>
    <font>
      <sz val="10"/>
      <color theme="0"/>
      <name val="Arial"/>
      <family val="2"/>
    </font>
    <font>
      <sz val="28"/>
      <color theme="0"/>
      <name val="Arial"/>
      <family val="2"/>
    </font>
    <font>
      <b/>
      <sz val="27"/>
      <color theme="0"/>
      <name val="Arial"/>
      <family val="2"/>
    </font>
    <font>
      <sz val="16"/>
      <name val="Arial"/>
      <family val="2"/>
    </font>
    <font>
      <b/>
      <i/>
      <sz val="28"/>
      <color theme="0"/>
      <name val="Times New Roman"/>
      <family val="1"/>
    </font>
    <font>
      <b/>
      <sz val="16"/>
      <color theme="0"/>
      <name val="Arial"/>
      <family val="2"/>
    </font>
    <font>
      <b/>
      <sz val="14"/>
      <color theme="0"/>
      <name val="Times New Roman"/>
      <family val="1"/>
    </font>
    <font>
      <b/>
      <sz val="24"/>
      <color theme="0"/>
      <name val="Arial"/>
      <family val="2"/>
    </font>
    <font>
      <b/>
      <sz val="10"/>
      <color theme="0"/>
      <name val="Times New Roman"/>
      <family val="1"/>
    </font>
    <font>
      <b/>
      <sz val="16"/>
      <color theme="0"/>
      <name val="Times New Roman"/>
      <family val="1"/>
    </font>
    <font>
      <sz val="16"/>
      <color theme="0"/>
      <name val="Arial"/>
      <family val="2"/>
    </font>
    <font>
      <b/>
      <sz val="18"/>
      <color theme="0"/>
      <name val="Times New Roman"/>
      <family val="1"/>
    </font>
    <font>
      <b/>
      <sz val="26"/>
      <color indexed="81"/>
      <name val="Times New Roman"/>
      <family val="1"/>
    </font>
    <font>
      <sz val="26"/>
      <color indexed="81"/>
      <name val="Times New Roman"/>
      <family val="1"/>
    </font>
    <font>
      <b/>
      <sz val="26"/>
      <color indexed="8"/>
      <name val="Arial"/>
      <family val="2"/>
    </font>
    <font>
      <b/>
      <sz val="40"/>
      <color rgb="FFFF0000"/>
      <name val="Arial"/>
      <family val="2"/>
    </font>
    <font>
      <b/>
      <sz val="48"/>
      <color rgb="FFFF0000"/>
      <name val="Arabic Transparent"/>
      <charset val="178"/>
    </font>
    <font>
      <b/>
      <sz val="30"/>
      <name val="Arabic Transparent"/>
      <charset val="178"/>
    </font>
    <font>
      <sz val="36"/>
      <name val="Arial"/>
      <family val="2"/>
    </font>
    <font>
      <b/>
      <sz val="30"/>
      <name val="Arial"/>
      <family val="2"/>
    </font>
    <font>
      <b/>
      <sz val="30"/>
      <name val="Mudir MT"/>
      <charset val="178"/>
    </font>
    <font>
      <b/>
      <sz val="30"/>
      <name val="Times New Roman"/>
      <family val="1"/>
    </font>
    <font>
      <sz val="30"/>
      <color indexed="8"/>
      <name val="Arial"/>
      <family val="2"/>
    </font>
    <font>
      <sz val="30"/>
      <name val="Arial"/>
      <family val="2"/>
    </font>
    <font>
      <b/>
      <sz val="30"/>
      <color theme="0"/>
      <name val="Arial"/>
      <family val="2"/>
    </font>
    <font>
      <b/>
      <sz val="32"/>
      <name val="Arial"/>
      <family val="2"/>
    </font>
    <font>
      <b/>
      <sz val="32"/>
      <name val="Times New Roman"/>
      <family val="1"/>
    </font>
    <font>
      <b/>
      <sz val="32"/>
      <color indexed="8"/>
      <name val="Arial"/>
      <family val="2"/>
    </font>
    <font>
      <b/>
      <sz val="72"/>
      <name val="Arial"/>
      <family val="2"/>
    </font>
    <font>
      <b/>
      <sz val="40"/>
      <name val="Arabic Transparent"/>
      <charset val="178"/>
    </font>
    <font>
      <sz val="40"/>
      <name val="Arabic Transparent"/>
      <charset val="178"/>
    </font>
    <font>
      <b/>
      <sz val="38"/>
      <name val="Arabic Transparent"/>
      <charset val="178"/>
    </font>
    <font>
      <b/>
      <sz val="36"/>
      <name val="Times New Roman"/>
      <family val="1"/>
    </font>
    <font>
      <b/>
      <sz val="32"/>
      <name val="Mudir MT"/>
      <charset val="178"/>
    </font>
    <font>
      <b/>
      <sz val="28"/>
      <name val="Arabic Transparent"/>
    </font>
    <font>
      <b/>
      <sz val="36"/>
      <color indexed="81"/>
      <name val="Times New Roman"/>
      <family val="1"/>
    </font>
    <font>
      <b/>
      <sz val="28"/>
      <color rgb="FFFF0000"/>
      <name val="Arial"/>
      <family val="2"/>
    </font>
    <font>
      <b/>
      <sz val="26"/>
      <color rgb="FFFF0000"/>
      <name val="Arial"/>
      <family val="2"/>
    </font>
    <font>
      <b/>
      <sz val="36"/>
      <color rgb="FFFF0000"/>
      <name val="Arial"/>
      <family val="2"/>
    </font>
    <font>
      <b/>
      <sz val="24"/>
      <color rgb="FFFF0000"/>
      <name val="Simplified Arabic"/>
      <family val="1"/>
    </font>
    <font>
      <b/>
      <sz val="24"/>
      <color rgb="FFFF0000"/>
      <name val="Simplified Arabic Fixed"/>
      <family val="3"/>
    </font>
    <font>
      <b/>
      <sz val="20"/>
      <color rgb="FFFF0000"/>
      <name val="Arabic Transparent"/>
      <charset val="178"/>
    </font>
    <font>
      <b/>
      <sz val="22"/>
      <color rgb="FFFF0000"/>
      <name val="Arabic Transparent"/>
      <charset val="178"/>
    </font>
    <font>
      <b/>
      <sz val="16"/>
      <color rgb="FFFF0000"/>
      <name val="Arabic Transparent"/>
      <charset val="178"/>
    </font>
    <font>
      <b/>
      <sz val="18"/>
      <color rgb="FFFF0000"/>
      <name val="Arial"/>
      <family val="2"/>
    </font>
    <font>
      <b/>
      <sz val="17"/>
      <color rgb="FF0070C0"/>
      <name val="Arabic Transparent"/>
      <charset val="178"/>
    </font>
    <font>
      <b/>
      <sz val="22"/>
      <color rgb="FFFF0000"/>
      <name val="Arial"/>
      <family val="2"/>
    </font>
    <font>
      <b/>
      <sz val="18"/>
      <color indexed="81"/>
      <name val="Times New Roman"/>
      <family val="1"/>
    </font>
    <font>
      <sz val="18"/>
      <color indexed="81"/>
      <name val="Times New Roman"/>
      <family val="1"/>
    </font>
    <font>
      <sz val="12"/>
      <color theme="0"/>
      <name val="Arial"/>
      <family val="2"/>
    </font>
    <font>
      <sz val="12"/>
      <color rgb="FF0070C0"/>
      <name val="Arial"/>
      <family val="2"/>
    </font>
    <font>
      <b/>
      <sz val="16"/>
      <color indexed="81"/>
      <name val="Times New Roman"/>
      <family val="1"/>
    </font>
    <font>
      <b/>
      <sz val="12"/>
      <color theme="0"/>
      <name val="Arial"/>
      <family val="2"/>
    </font>
    <font>
      <b/>
      <sz val="15"/>
      <color rgb="FFFF0000"/>
      <name val="Arabic Transparent"/>
      <charset val="178"/>
    </font>
    <font>
      <sz val="16"/>
      <color indexed="81"/>
      <name val="Times New Roman"/>
      <family val="1"/>
    </font>
    <font>
      <sz val="14"/>
      <color indexed="81"/>
      <name val="Times New Roman"/>
      <family val="1"/>
    </font>
    <font>
      <b/>
      <sz val="14"/>
      <color theme="0"/>
      <name val="Arial"/>
      <family val="2"/>
    </font>
    <font>
      <b/>
      <sz val="16"/>
      <color rgb="FFFF0000"/>
      <name val="Arabic Transparent"/>
    </font>
    <font>
      <b/>
      <u/>
      <sz val="18"/>
      <name val="Estrangelo Edessa"/>
      <family val="4"/>
    </font>
    <font>
      <sz val="14"/>
      <color theme="3" tint="0.39997558519241921"/>
      <name val="Arial"/>
      <family val="2"/>
    </font>
    <font>
      <sz val="12"/>
      <color theme="3" tint="0.39997558519241921"/>
      <name val="Arial"/>
      <family val="2"/>
    </font>
    <font>
      <sz val="16"/>
      <name val="Simplified Arabic"/>
      <family val="1"/>
    </font>
    <font>
      <b/>
      <sz val="11"/>
      <color rgb="FFFF0000"/>
      <name val="Arial"/>
      <family val="2"/>
    </font>
    <font>
      <b/>
      <sz val="20"/>
      <name val="Times New Roman"/>
      <family val="1"/>
    </font>
    <font>
      <b/>
      <sz val="36"/>
      <color rgb="FFFF0000"/>
      <name val="Arial"/>
      <family val="2"/>
      <charset val="178"/>
    </font>
    <font>
      <b/>
      <sz val="16"/>
      <color rgb="FFFF0000"/>
      <name val="Arial"/>
      <family val="2"/>
      <charset val="178"/>
    </font>
    <font>
      <b/>
      <sz val="12"/>
      <color rgb="FF0070C0"/>
      <name val="Arial"/>
      <family val="2"/>
    </font>
    <font>
      <sz val="16"/>
      <color rgb="FFFF0000"/>
      <name val="Arial"/>
      <family val="2"/>
    </font>
    <font>
      <sz val="18"/>
      <color rgb="FF0070C0"/>
      <name val="Arial"/>
      <family val="2"/>
    </font>
    <font>
      <sz val="16"/>
      <color rgb="FF0070C0"/>
      <name val="Times New Roman"/>
      <family val="1"/>
    </font>
    <font>
      <sz val="16"/>
      <color rgb="FFFF0000"/>
      <name val="Times New Roman"/>
      <family val="1"/>
    </font>
    <font>
      <b/>
      <sz val="9"/>
      <color rgb="FFFF0000"/>
      <name val="Arial"/>
      <family val="2"/>
    </font>
    <font>
      <b/>
      <sz val="20"/>
      <color rgb="FFFF0000"/>
      <name val="Copperplate Gothic Bold"/>
      <family val="2"/>
    </font>
    <font>
      <b/>
      <sz val="18"/>
      <color rgb="FF0070C0"/>
      <name val="Estrangelo Edessa"/>
      <family val="4"/>
    </font>
    <font>
      <b/>
      <sz val="14"/>
      <color rgb="FF0070C0"/>
      <name val="Arabic Transparent"/>
    </font>
    <font>
      <b/>
      <sz val="16"/>
      <color rgb="FF0070C0"/>
      <name val="Arabic Transparent"/>
      <charset val="178"/>
    </font>
    <font>
      <b/>
      <sz val="12"/>
      <color rgb="FF00B050"/>
      <name val="Arial"/>
      <family val="2"/>
    </font>
    <font>
      <sz val="16"/>
      <color rgb="FF0070C0"/>
      <name val="Arabic Transparent"/>
      <charset val="178"/>
    </font>
    <font>
      <b/>
      <sz val="14"/>
      <color rgb="FF0070C0"/>
      <name val="Arabic Transparent"/>
      <charset val="178"/>
    </font>
    <font>
      <b/>
      <sz val="26"/>
      <color rgb="FF0070C0"/>
      <name val="Traditional Arabic"/>
      <family val="1"/>
    </font>
    <font>
      <b/>
      <u/>
      <sz val="26"/>
      <color rgb="FF0070C0"/>
      <name val="Traditional Arabic"/>
      <family val="1"/>
    </font>
    <font>
      <b/>
      <sz val="36"/>
      <color rgb="FF0070C0"/>
      <name val="Arabic Transparent"/>
      <charset val="178"/>
    </font>
    <font>
      <b/>
      <sz val="36"/>
      <color rgb="FF0070C0"/>
      <name val="Mudir MT"/>
      <charset val="178"/>
    </font>
    <font>
      <b/>
      <sz val="18"/>
      <color rgb="FF0070C0"/>
      <name val="Arabic Transparent"/>
      <charset val="178"/>
    </font>
    <font>
      <b/>
      <sz val="12"/>
      <color rgb="FF0070C0"/>
      <name val="Arial"/>
      <family val="2"/>
      <charset val="178"/>
    </font>
    <font>
      <b/>
      <sz val="36"/>
      <color rgb="FF0070C0"/>
      <name val="Traditional Arabic"/>
      <family val="1"/>
    </font>
    <font>
      <sz val="36"/>
      <color rgb="FF0070C0"/>
      <name val="Traditional Arabic"/>
      <family val="1"/>
    </font>
    <font>
      <b/>
      <sz val="10"/>
      <color rgb="FF0070C0"/>
      <name val="Arabic Transparent"/>
      <charset val="178"/>
    </font>
    <font>
      <sz val="14"/>
      <color rgb="FF0070C0"/>
      <name val="Arabic Transparent"/>
      <charset val="178"/>
    </font>
    <font>
      <sz val="26"/>
      <color rgb="FF0070C0"/>
      <name val="Traditional Arabic"/>
      <family val="1"/>
    </font>
    <font>
      <b/>
      <sz val="20"/>
      <color rgb="FF0070C0"/>
      <name val="Copperplate Gothic Bold"/>
      <family val="2"/>
    </font>
    <font>
      <b/>
      <sz val="14"/>
      <color rgb="FF0070C0"/>
      <name val="Simplified Arabic"/>
      <family val="1"/>
    </font>
    <font>
      <b/>
      <sz val="12"/>
      <color rgb="FF0070C0"/>
      <name val="Arabic Transparent"/>
      <charset val="178"/>
    </font>
    <font>
      <b/>
      <sz val="22"/>
      <color rgb="FF0070C0"/>
      <name val="Arabic Transparent"/>
      <charset val="178"/>
    </font>
    <font>
      <b/>
      <sz val="20"/>
      <color rgb="FF0070C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5"/>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FF00"/>
        <bgColor indexed="64"/>
      </patternFill>
    </fill>
    <fill>
      <patternFill patternType="solid">
        <fgColor indexed="1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3" tint="0.59999389629810485"/>
        <bgColor indexed="64"/>
      </patternFill>
    </fill>
  </fills>
  <borders count="6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dashed">
        <color indexed="64"/>
      </bottom>
      <diagonal/>
    </border>
    <border>
      <left style="hair">
        <color indexed="64"/>
      </left>
      <right style="hair">
        <color indexed="64"/>
      </right>
      <top style="dashed">
        <color indexed="64"/>
      </top>
      <bottom style="dashed">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thin">
        <color indexed="64"/>
      </top>
      <bottom style="dashed">
        <color indexed="64"/>
      </bottom>
      <diagonal/>
    </border>
    <border>
      <left/>
      <right/>
      <top style="dashed">
        <color indexed="64"/>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dashed">
        <color indexed="64"/>
      </bottom>
      <diagonal/>
    </border>
    <border>
      <left style="hair">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hair">
        <color indexed="64"/>
      </left>
      <right/>
      <top/>
      <bottom/>
      <diagonal/>
    </border>
    <border>
      <left/>
      <right style="hair">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dashDotDot">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style="thin">
        <color indexed="60"/>
      </bottom>
      <diagonal/>
    </border>
    <border>
      <left/>
      <right style="medium">
        <color indexed="64"/>
      </right>
      <top style="thin">
        <color indexed="64"/>
      </top>
      <bottom/>
      <diagonal/>
    </border>
    <border>
      <left/>
      <right style="medium">
        <color indexed="64"/>
      </right>
      <top style="thin">
        <color indexed="60"/>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3"/>
      </left>
      <right style="thin">
        <color theme="3"/>
      </right>
      <top style="thin">
        <color theme="3"/>
      </top>
      <bottom style="thin">
        <color theme="3"/>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10">
    <xf numFmtId="0" fontId="0" fillId="0" borderId="0"/>
    <xf numFmtId="166" fontId="8" fillId="0" borderId="0" applyFont="0" applyFill="0" applyBorder="0" applyAlignment="0" applyProtection="0"/>
    <xf numFmtId="43" fontId="1" fillId="0" borderId="0" applyFont="0" applyFill="0" applyBorder="0" applyAlignment="0" applyProtection="0"/>
    <xf numFmtId="0" fontId="8" fillId="0" borderId="0"/>
    <xf numFmtId="0" fontId="7" fillId="0" borderId="0"/>
    <xf numFmtId="0" fontId="8" fillId="0" borderId="0"/>
    <xf numFmtId="0" fontId="7" fillId="0" borderId="0"/>
    <xf numFmtId="2" fontId="8" fillId="0" borderId="0"/>
    <xf numFmtId="43" fontId="8" fillId="0" borderId="0" applyFont="0" applyFill="0" applyBorder="0" applyAlignment="0" applyProtection="0"/>
    <xf numFmtId="43" fontId="225" fillId="0" borderId="0" applyFont="0" applyFill="0" applyBorder="0" applyAlignment="0" applyProtection="0"/>
  </cellStyleXfs>
  <cellXfs count="1759">
    <xf numFmtId="0" fontId="0" fillId="0" borderId="0" xfId="0"/>
    <xf numFmtId="0" fontId="4" fillId="0" borderId="0" xfId="0" applyFont="1"/>
    <xf numFmtId="0" fontId="0" fillId="0" borderId="0" xfId="0" applyFill="1"/>
    <xf numFmtId="0" fontId="0" fillId="0" borderId="0" xfId="0" applyBorder="1"/>
    <xf numFmtId="0" fontId="0" fillId="0" borderId="1" xfId="0" applyBorder="1"/>
    <xf numFmtId="170" fontId="0" fillId="0" borderId="0" xfId="0" applyNumberFormat="1" applyFill="1"/>
    <xf numFmtId="0" fontId="0" fillId="0" borderId="0" xfId="0" applyFill="1" applyAlignment="1">
      <alignment horizontal="center" vertical="center"/>
    </xf>
    <xf numFmtId="0" fontId="31" fillId="0" borderId="0" xfId="0" applyFont="1" applyFill="1" applyAlignment="1">
      <alignment horizontal="left" vertical="center"/>
    </xf>
    <xf numFmtId="0" fontId="32" fillId="0" borderId="0" xfId="0" applyFont="1" applyFill="1" applyBorder="1" applyAlignment="1">
      <alignment horizontal="right" vertical="center"/>
    </xf>
    <xf numFmtId="0" fontId="33" fillId="0" borderId="0" xfId="0" applyFont="1" applyFill="1" applyBorder="1" applyAlignment="1">
      <alignment horizontal="right" vertical="center"/>
    </xf>
    <xf numFmtId="0" fontId="22" fillId="0" borderId="0" xfId="0" applyFont="1" applyFill="1"/>
    <xf numFmtId="0" fontId="18" fillId="0" borderId="0" xfId="0" applyFont="1" applyFill="1"/>
    <xf numFmtId="0" fontId="18" fillId="0" borderId="0" xfId="0" applyFont="1" applyFill="1" applyAlignment="1">
      <alignment horizontal="center"/>
    </xf>
    <xf numFmtId="0" fontId="29" fillId="0" borderId="0" xfId="0" applyFont="1" applyFill="1" applyAlignment="1">
      <alignment horizontal="left" vertical="center"/>
    </xf>
    <xf numFmtId="0" fontId="29" fillId="0" borderId="0" xfId="0" applyFont="1" applyFill="1"/>
    <xf numFmtId="0" fontId="29" fillId="0" borderId="0" xfId="0" applyFont="1" applyFill="1" applyAlignment="1">
      <alignment horizontal="center"/>
    </xf>
    <xf numFmtId="2" fontId="29" fillId="0" borderId="0" xfId="0" applyNumberFormat="1" applyFont="1" applyFill="1"/>
    <xf numFmtId="0" fontId="34" fillId="0" borderId="1" xfId="0" applyFont="1" applyFill="1" applyBorder="1"/>
    <xf numFmtId="0" fontId="35" fillId="0" borderId="1" xfId="0" applyFont="1" applyFill="1" applyBorder="1" applyAlignment="1">
      <alignment horizontal="center" vertical="center"/>
    </xf>
    <xf numFmtId="0" fontId="29" fillId="0" borderId="1" xfId="0" applyFont="1" applyFill="1" applyBorder="1"/>
    <xf numFmtId="0" fontId="29" fillId="0" borderId="0" xfId="0" applyFont="1" applyFill="1" applyBorder="1"/>
    <xf numFmtId="0" fontId="36" fillId="0" borderId="4" xfId="0" quotePrefix="1" applyFont="1" applyFill="1" applyBorder="1" applyAlignment="1">
      <alignment horizontal="right" vertical="center"/>
    </xf>
    <xf numFmtId="43" fontId="39" fillId="3" borderId="2" xfId="2" applyFont="1" applyFill="1" applyBorder="1" applyAlignment="1">
      <alignment horizontal="center" vertical="center"/>
    </xf>
    <xf numFmtId="43" fontId="39" fillId="0" borderId="2" xfId="2" applyFont="1" applyFill="1" applyBorder="1" applyAlignment="1">
      <alignment horizontal="center" vertical="center"/>
    </xf>
    <xf numFmtId="0" fontId="40" fillId="0" borderId="0" xfId="0" applyFont="1" applyFill="1"/>
    <xf numFmtId="0" fontId="40" fillId="0" borderId="0" xfId="0" applyFont="1" applyFill="1" applyAlignment="1">
      <alignment horizontal="center" vertical="center"/>
    </xf>
    <xf numFmtId="2" fontId="40" fillId="0" borderId="0" xfId="0" applyNumberFormat="1" applyFont="1" applyFill="1"/>
    <xf numFmtId="0" fontId="35" fillId="0" borderId="0" xfId="0" applyFont="1" applyFill="1"/>
    <xf numFmtId="2" fontId="0" fillId="0" borderId="0" xfId="0" applyNumberFormat="1" applyFill="1"/>
    <xf numFmtId="0" fontId="42" fillId="0" borderId="0" xfId="0" quotePrefix="1" applyFont="1" applyFill="1" applyAlignment="1">
      <alignment horizontal="left" vertical="center"/>
    </xf>
    <xf numFmtId="0" fontId="44" fillId="0" borderId="0" xfId="0" quotePrefix="1" applyFont="1" applyAlignment="1">
      <alignment vertical="center"/>
    </xf>
    <xf numFmtId="43" fontId="29" fillId="0" borderId="0" xfId="0" applyNumberFormat="1" applyFont="1" applyFill="1" applyAlignment="1">
      <alignment horizontal="center"/>
    </xf>
    <xf numFmtId="43" fontId="24" fillId="0" borderId="0" xfId="2" applyFont="1" applyFill="1"/>
    <xf numFmtId="0" fontId="45" fillId="0" borderId="0" xfId="0" quotePrefix="1" applyFont="1" applyFill="1" applyAlignment="1">
      <alignment horizontal="right" vertical="center"/>
    </xf>
    <xf numFmtId="0" fontId="46" fillId="0" borderId="0" xfId="0" applyFont="1" applyFill="1"/>
    <xf numFmtId="0" fontId="46" fillId="0" borderId="0" xfId="0" applyFont="1" applyFill="1" applyAlignment="1">
      <alignment horizontal="center" vertical="center"/>
    </xf>
    <xf numFmtId="0" fontId="48" fillId="0" borderId="0" xfId="0" applyFont="1" applyFill="1"/>
    <xf numFmtId="0" fontId="47" fillId="0" borderId="11" xfId="0" applyFont="1" applyFill="1" applyBorder="1" applyAlignment="1">
      <alignment horizontal="left" vertical="center"/>
    </xf>
    <xf numFmtId="0" fontId="47" fillId="0" borderId="0" xfId="0" applyFont="1" applyFill="1" applyBorder="1"/>
    <xf numFmtId="0" fontId="47" fillId="0" borderId="0" xfId="0" applyFont="1" applyFill="1"/>
    <xf numFmtId="170" fontId="48" fillId="0" borderId="0" xfId="0" applyNumberFormat="1" applyFont="1" applyFill="1"/>
    <xf numFmtId="0" fontId="48" fillId="0" borderId="0" xfId="0" applyFont="1" applyFill="1" applyAlignment="1">
      <alignment horizontal="center" vertical="center"/>
    </xf>
    <xf numFmtId="0" fontId="47" fillId="0" borderId="4" xfId="0" applyFont="1" applyFill="1" applyBorder="1" applyAlignment="1">
      <alignment horizontal="right" vertical="center"/>
    </xf>
    <xf numFmtId="0" fontId="47" fillId="0" borderId="4" xfId="0" applyFont="1" applyFill="1" applyBorder="1"/>
    <xf numFmtId="2" fontId="36" fillId="0" borderId="0" xfId="0" applyNumberFormat="1" applyFont="1" applyFill="1" applyBorder="1" applyAlignment="1">
      <alignment vertical="center"/>
    </xf>
    <xf numFmtId="0" fontId="36" fillId="0" borderId="0" xfId="0" quotePrefix="1" applyFont="1" applyFill="1" applyBorder="1" applyAlignment="1">
      <alignment horizontal="right" vertical="center" readingOrder="2"/>
    </xf>
    <xf numFmtId="0" fontId="36" fillId="0" borderId="4" xfId="0" applyFont="1" applyFill="1" applyBorder="1" applyAlignment="1">
      <alignment horizontal="right" vertical="center"/>
    </xf>
    <xf numFmtId="0" fontId="36" fillId="0" borderId="4" xfId="0" quotePrefix="1" applyFont="1" applyFill="1" applyBorder="1" applyAlignment="1">
      <alignment vertical="center"/>
    </xf>
    <xf numFmtId="49" fontId="41" fillId="0" borderId="0" xfId="0" applyNumberFormat="1" applyFont="1" applyFill="1"/>
    <xf numFmtId="49" fontId="41" fillId="0" borderId="0" xfId="0" applyNumberFormat="1" applyFont="1" applyFill="1" applyAlignment="1">
      <alignment horizontal="center" vertical="center"/>
    </xf>
    <xf numFmtId="0" fontId="38" fillId="0" borderId="2" xfId="0" applyNumberFormat="1" applyFont="1" applyFill="1" applyBorder="1" applyAlignment="1">
      <alignment horizontal="right" vertical="center"/>
    </xf>
    <xf numFmtId="43" fontId="39" fillId="0" borderId="2" xfId="2" applyNumberFormat="1" applyFont="1" applyFill="1" applyBorder="1" applyAlignment="1">
      <alignment horizontal="center" vertical="center"/>
    </xf>
    <xf numFmtId="0" fontId="0" fillId="0" borderId="0" xfId="0" applyBorder="1" applyAlignment="1">
      <alignment horizontal="center"/>
    </xf>
    <xf numFmtId="0" fontId="50" fillId="0" borderId="0" xfId="0" applyFont="1" applyFill="1" applyBorder="1" applyAlignment="1">
      <alignment horizontal="right" vertical="center"/>
    </xf>
    <xf numFmtId="43" fontId="39" fillId="0" borderId="2" xfId="2" quotePrefix="1" applyNumberFormat="1" applyFont="1" applyFill="1" applyBorder="1" applyAlignment="1">
      <alignment horizontal="center" vertical="center"/>
    </xf>
    <xf numFmtId="0" fontId="40" fillId="0" borderId="13" xfId="0" applyFont="1" applyFill="1" applyBorder="1" applyAlignment="1">
      <alignment horizontal="center" vertical="center"/>
    </xf>
    <xf numFmtId="0" fontId="13" fillId="0" borderId="0" xfId="0" applyFont="1" applyFill="1"/>
    <xf numFmtId="0" fontId="31" fillId="0" borderId="0" xfId="0" applyFont="1" applyFill="1" applyAlignment="1">
      <alignment vertical="center"/>
    </xf>
    <xf numFmtId="0" fontId="36" fillId="0" borderId="0" xfId="0" applyFont="1" applyFill="1" applyBorder="1" applyAlignment="1">
      <alignment horizontal="right" vertical="center"/>
    </xf>
    <xf numFmtId="0" fontId="36" fillId="0" borderId="0" xfId="0" applyFont="1" applyFill="1" applyBorder="1" applyAlignment="1">
      <alignment horizontal="left" vertical="center"/>
    </xf>
    <xf numFmtId="0" fontId="36" fillId="0" borderId="4" xfId="0" quotePrefix="1" applyFont="1" applyFill="1" applyBorder="1" applyAlignment="1">
      <alignment horizontal="left" vertical="center"/>
    </xf>
    <xf numFmtId="0" fontId="36" fillId="0" borderId="0" xfId="0" quotePrefix="1" applyFont="1" applyFill="1" applyBorder="1" applyAlignment="1">
      <alignment horizontal="left" vertical="center"/>
    </xf>
    <xf numFmtId="169" fontId="60" fillId="0" borderId="0" xfId="0" applyNumberFormat="1" applyFont="1" applyFill="1" applyAlignment="1">
      <alignment horizontal="center" readingOrder="2"/>
    </xf>
    <xf numFmtId="0" fontId="51" fillId="0" borderId="0" xfId="0" applyFont="1" applyFill="1"/>
    <xf numFmtId="0" fontId="52" fillId="0" borderId="0" xfId="0" applyFont="1" applyFill="1"/>
    <xf numFmtId="0" fontId="53" fillId="0" borderId="0" xfId="0" applyFont="1" applyFill="1"/>
    <xf numFmtId="0" fontId="17" fillId="0" borderId="0" xfId="0" applyFont="1"/>
    <xf numFmtId="0" fontId="17" fillId="0" borderId="0" xfId="0" applyFont="1" applyFill="1"/>
    <xf numFmtId="0" fontId="53" fillId="0" borderId="0" xfId="0" applyFont="1" applyFill="1" applyAlignment="1">
      <alignment horizontal="center" vertical="center"/>
    </xf>
    <xf numFmtId="49" fontId="54" fillId="0" borderId="0" xfId="0" applyNumberFormat="1" applyFont="1" applyFill="1"/>
    <xf numFmtId="49" fontId="54" fillId="0" borderId="0" xfId="0" applyNumberFormat="1" applyFont="1" applyFill="1" applyBorder="1"/>
    <xf numFmtId="0" fontId="53" fillId="0" borderId="0" xfId="0" applyFont="1" applyFill="1" applyBorder="1"/>
    <xf numFmtId="0" fontId="17" fillId="0" borderId="0" xfId="0" applyFont="1" applyFill="1" applyBorder="1"/>
    <xf numFmtId="0" fontId="55" fillId="0" borderId="0" xfId="0" applyFont="1" applyAlignment="1">
      <alignment horizontal="center" vertical="center"/>
    </xf>
    <xf numFmtId="0" fontId="55" fillId="0" borderId="0" xfId="0" applyFont="1" applyFill="1" applyAlignment="1">
      <alignment horizontal="center" vertical="center"/>
    </xf>
    <xf numFmtId="0" fontId="56" fillId="0" borderId="0" xfId="0" applyFont="1" applyFill="1" applyAlignment="1">
      <alignment horizontal="center" vertical="center"/>
    </xf>
    <xf numFmtId="0" fontId="57" fillId="0" borderId="0" xfId="0" applyFont="1" applyFill="1" applyAlignment="1">
      <alignment horizontal="center" vertical="center"/>
    </xf>
    <xf numFmtId="174" fontId="0" fillId="0" borderId="0" xfId="0" applyNumberFormat="1"/>
    <xf numFmtId="174" fontId="0" fillId="0" borderId="0" xfId="0" applyNumberFormat="1" applyFill="1"/>
    <xf numFmtId="174" fontId="48" fillId="0" borderId="0" xfId="0" applyNumberFormat="1" applyFont="1" applyFill="1"/>
    <xf numFmtId="174" fontId="46" fillId="0" borderId="0" xfId="0" applyNumberFormat="1" applyFont="1" applyFill="1"/>
    <xf numFmtId="174" fontId="37" fillId="0" borderId="2" xfId="2" quotePrefix="1" applyNumberFormat="1" applyFont="1" applyFill="1" applyBorder="1" applyAlignment="1">
      <alignment horizontal="center" vertical="center"/>
    </xf>
    <xf numFmtId="174" fontId="40" fillId="0" borderId="0" xfId="0" applyNumberFormat="1" applyFont="1" applyFill="1"/>
    <xf numFmtId="0" fontId="0" fillId="0" borderId="0" xfId="0" applyFill="1" applyAlignment="1">
      <alignment horizontal="center"/>
    </xf>
    <xf numFmtId="0" fontId="59" fillId="0" borderId="0" xfId="0" applyFont="1" applyFill="1"/>
    <xf numFmtId="0" fontId="58" fillId="0" borderId="0" xfId="0" applyFont="1" applyFill="1"/>
    <xf numFmtId="0" fontId="58" fillId="0" borderId="0" xfId="0" applyFont="1" applyFill="1" applyAlignment="1">
      <alignment horizontal="left"/>
    </xf>
    <xf numFmtId="0" fontId="22" fillId="0" borderId="0" xfId="0" quotePrefix="1" applyFont="1" applyFill="1" applyAlignment="1">
      <alignment horizontal="center"/>
    </xf>
    <xf numFmtId="0" fontId="9" fillId="0" borderId="0" xfId="0" quotePrefix="1" applyFont="1" applyFill="1" applyAlignment="1">
      <alignment horizontal="center"/>
    </xf>
    <xf numFmtId="0" fontId="60" fillId="0" borderId="0" xfId="0" applyFont="1" applyFill="1"/>
    <xf numFmtId="0" fontId="61" fillId="0" borderId="0" xfId="0" applyFont="1" applyFill="1"/>
    <xf numFmtId="0" fontId="60" fillId="0" borderId="0" xfId="0" quotePrefix="1" applyFont="1" applyFill="1" applyAlignment="1">
      <alignment horizontal="right"/>
    </xf>
    <xf numFmtId="0" fontId="62" fillId="0" borderId="0" xfId="0" applyFont="1" applyFill="1"/>
    <xf numFmtId="0" fontId="60" fillId="0" borderId="0" xfId="0" applyFont="1" applyFill="1" applyAlignment="1">
      <alignment horizontal="right"/>
    </xf>
    <xf numFmtId="0" fontId="63" fillId="0" borderId="0" xfId="0" applyFont="1" applyFill="1"/>
    <xf numFmtId="171" fontId="64" fillId="0" borderId="0" xfId="0" quotePrefix="1" applyNumberFormat="1" applyFont="1" applyFill="1" applyBorder="1" applyAlignment="1">
      <alignment horizontal="center" vertical="center"/>
    </xf>
    <xf numFmtId="0" fontId="61" fillId="0" borderId="0" xfId="0" applyFont="1" applyFill="1" applyAlignment="1">
      <alignment horizontal="right"/>
    </xf>
    <xf numFmtId="0" fontId="22" fillId="0" borderId="0" xfId="0" quotePrefix="1" applyFont="1" applyFill="1" applyAlignment="1">
      <alignment horizontal="right"/>
    </xf>
    <xf numFmtId="0" fontId="65" fillId="0" borderId="0" xfId="0" quotePrefix="1" applyFont="1" applyFill="1" applyAlignment="1">
      <alignment horizontal="right"/>
    </xf>
    <xf numFmtId="0" fontId="66" fillId="0" borderId="0" xfId="0" applyFont="1" applyFill="1"/>
    <xf numFmtId="0" fontId="58" fillId="0" borderId="6" xfId="0" applyFont="1" applyFill="1" applyBorder="1"/>
    <xf numFmtId="0" fontId="58" fillId="0" borderId="4" xfId="0" applyFont="1" applyFill="1" applyBorder="1"/>
    <xf numFmtId="43" fontId="58" fillId="0" borderId="5" xfId="2" applyFont="1" applyFill="1" applyBorder="1"/>
    <xf numFmtId="43" fontId="58" fillId="0" borderId="8" xfId="2" applyFont="1" applyFill="1" applyBorder="1"/>
    <xf numFmtId="0" fontId="58" fillId="0" borderId="8" xfId="0" applyFont="1" applyFill="1" applyBorder="1"/>
    <xf numFmtId="0" fontId="67" fillId="0" borderId="7" xfId="0" quotePrefix="1" applyFont="1" applyFill="1" applyBorder="1" applyAlignment="1">
      <alignment horizontal="right"/>
    </xf>
    <xf numFmtId="0" fontId="22" fillId="0" borderId="0" xfId="0" applyFont="1" applyFill="1" applyBorder="1"/>
    <xf numFmtId="0" fontId="35" fillId="0" borderId="0" xfId="0" applyFont="1" applyFill="1" applyBorder="1"/>
    <xf numFmtId="43" fontId="62" fillId="0" borderId="11" xfId="2" applyFont="1" applyFill="1" applyBorder="1"/>
    <xf numFmtId="0" fontId="58" fillId="0" borderId="0" xfId="0" applyFont="1" applyFill="1" applyBorder="1"/>
    <xf numFmtId="0" fontId="58" fillId="0" borderId="11" xfId="0" applyFont="1" applyFill="1" applyBorder="1"/>
    <xf numFmtId="43" fontId="22" fillId="0" borderId="15" xfId="2" applyFont="1" applyFill="1" applyBorder="1"/>
    <xf numFmtId="0" fontId="61" fillId="0" borderId="7" xfId="0" applyFont="1" applyFill="1" applyBorder="1"/>
    <xf numFmtId="0" fontId="67" fillId="0" borderId="0" xfId="0" applyFont="1" applyFill="1" applyBorder="1" applyAlignment="1">
      <alignment horizontal="right"/>
    </xf>
    <xf numFmtId="0" fontId="68" fillId="0" borderId="7" xfId="0" applyFont="1" applyFill="1" applyBorder="1"/>
    <xf numFmtId="43" fontId="22" fillId="0" borderId="11" xfId="2" applyFont="1" applyFill="1" applyBorder="1"/>
    <xf numFmtId="0" fontId="61" fillId="0" borderId="0" xfId="0" applyFont="1" applyFill="1" applyBorder="1" applyAlignment="1">
      <alignment horizontal="center"/>
    </xf>
    <xf numFmtId="0" fontId="67" fillId="0" borderId="0" xfId="0" applyFont="1" applyFill="1" applyBorder="1"/>
    <xf numFmtId="0" fontId="62" fillId="0" borderId="0" xfId="0" applyFont="1" applyFill="1" applyBorder="1" applyAlignment="1"/>
    <xf numFmtId="0" fontId="67" fillId="0" borderId="7" xfId="0" applyFont="1" applyFill="1" applyBorder="1" applyAlignment="1">
      <alignment horizontal="right"/>
    </xf>
    <xf numFmtId="0" fontId="62" fillId="0" borderId="0" xfId="0" applyFont="1" applyFill="1" applyBorder="1" applyAlignment="1">
      <alignment horizontal="right"/>
    </xf>
    <xf numFmtId="0" fontId="61" fillId="0" borderId="0" xfId="0" applyFont="1" applyFill="1" applyBorder="1" applyAlignment="1">
      <alignment horizontal="right"/>
    </xf>
    <xf numFmtId="0" fontId="58" fillId="0" borderId="10" xfId="0" applyFont="1" applyFill="1" applyBorder="1"/>
    <xf numFmtId="0" fontId="58" fillId="0" borderId="1" xfId="0" applyFont="1" applyFill="1" applyBorder="1"/>
    <xf numFmtId="0" fontId="58" fillId="0" borderId="16" xfId="0" applyFont="1" applyFill="1" applyBorder="1"/>
    <xf numFmtId="0" fontId="61" fillId="0" borderId="0" xfId="0" quotePrefix="1" applyFont="1" applyFill="1" applyBorder="1" applyAlignment="1">
      <alignment horizontal="right"/>
    </xf>
    <xf numFmtId="0" fontId="62" fillId="0" borderId="0" xfId="0" applyFont="1" applyFill="1" applyBorder="1"/>
    <xf numFmtId="43" fontId="62" fillId="0" borderId="15" xfId="2" applyFont="1" applyFill="1" applyBorder="1"/>
    <xf numFmtId="0" fontId="68" fillId="0" borderId="10" xfId="0" applyFont="1" applyFill="1" applyBorder="1"/>
    <xf numFmtId="43" fontId="58" fillId="0" borderId="9" xfId="2" applyFont="1" applyFill="1" applyBorder="1"/>
    <xf numFmtId="43" fontId="58" fillId="0" borderId="16" xfId="2" applyFont="1" applyFill="1" applyBorder="1"/>
    <xf numFmtId="1" fontId="14" fillId="0" borderId="0" xfId="0" applyNumberFormat="1" applyFont="1" applyFill="1"/>
    <xf numFmtId="0" fontId="12" fillId="0" borderId="0" xfId="0" applyFont="1" applyFill="1"/>
    <xf numFmtId="0" fontId="67" fillId="0" borderId="7" xfId="0" applyFont="1" applyFill="1" applyBorder="1" applyAlignment="1"/>
    <xf numFmtId="0" fontId="67" fillId="0" borderId="0" xfId="0" applyFont="1" applyFill="1" applyBorder="1" applyAlignment="1"/>
    <xf numFmtId="0" fontId="67" fillId="0" borderId="11" xfId="0" applyFont="1" applyFill="1" applyBorder="1" applyAlignment="1"/>
    <xf numFmtId="169" fontId="13" fillId="0" borderId="0" xfId="0" applyNumberFormat="1" applyFont="1" applyFill="1" applyAlignment="1"/>
    <xf numFmtId="0" fontId="22" fillId="0" borderId="0" xfId="0" applyFont="1" applyFill="1" applyAlignment="1"/>
    <xf numFmtId="0" fontId="0" fillId="0" borderId="0" xfId="0" applyAlignment="1"/>
    <xf numFmtId="0" fontId="0" fillId="0" borderId="0" xfId="0" applyFill="1" applyAlignment="1">
      <alignment horizontal="left"/>
    </xf>
    <xf numFmtId="0" fontId="13" fillId="0" borderId="0" xfId="0" applyFont="1" applyFill="1" applyAlignment="1">
      <alignment horizontal="left"/>
    </xf>
    <xf numFmtId="0" fontId="0" fillId="0" borderId="0" xfId="0" applyAlignment="1">
      <alignment horizontal="left"/>
    </xf>
    <xf numFmtId="0" fontId="51" fillId="0" borderId="0" xfId="0" applyFont="1" applyFill="1" applyAlignment="1">
      <alignment horizontal="center"/>
    </xf>
    <xf numFmtId="43" fontId="69" fillId="0" borderId="0" xfId="0" applyNumberFormat="1" applyFont="1" applyFill="1"/>
    <xf numFmtId="43" fontId="69" fillId="0" borderId="0" xfId="0" applyNumberFormat="1" applyFont="1" applyFill="1" applyAlignment="1">
      <alignment horizontal="center"/>
    </xf>
    <xf numFmtId="43" fontId="69" fillId="0" borderId="0" xfId="0" applyNumberFormat="1" applyFont="1" applyFill="1" applyAlignment="1">
      <alignment horizontal="center" vertical="center"/>
    </xf>
    <xf numFmtId="0" fontId="68" fillId="0" borderId="0" xfId="0" applyFont="1" applyFill="1" applyBorder="1"/>
    <xf numFmtId="43" fontId="58" fillId="0" borderId="0" xfId="2" applyFont="1" applyFill="1" applyBorder="1"/>
    <xf numFmtId="43" fontId="22" fillId="0" borderId="15" xfId="2" applyFont="1" applyFill="1" applyBorder="1" applyAlignment="1">
      <alignment vertical="center"/>
    </xf>
    <xf numFmtId="43" fontId="22" fillId="0" borderId="2" xfId="2" applyFont="1" applyFill="1" applyBorder="1" applyAlignment="1">
      <alignment vertical="center"/>
    </xf>
    <xf numFmtId="43" fontId="22" fillId="0" borderId="11" xfId="2" applyFont="1" applyFill="1" applyBorder="1" applyAlignment="1">
      <alignment vertical="center"/>
    </xf>
    <xf numFmtId="43" fontId="22" fillId="0" borderId="9" xfId="2" applyFont="1" applyFill="1" applyBorder="1" applyAlignment="1">
      <alignment vertical="center"/>
    </xf>
    <xf numFmtId="43" fontId="22" fillId="0" borderId="15" xfId="2" applyFont="1" applyFill="1" applyBorder="1" applyAlignment="1">
      <alignment horizontal="right" vertical="center"/>
    </xf>
    <xf numFmtId="1" fontId="9" fillId="0" borderId="0" xfId="0" applyNumberFormat="1" applyFont="1" applyFill="1"/>
    <xf numFmtId="0" fontId="70" fillId="0" borderId="0" xfId="0" quotePrefix="1" applyFont="1" applyFill="1" applyAlignment="1">
      <alignment horizontal="left"/>
    </xf>
    <xf numFmtId="0" fontId="21" fillId="0" borderId="0" xfId="0" applyFont="1" applyBorder="1"/>
    <xf numFmtId="0" fontId="19" fillId="0" borderId="0" xfId="0" applyFont="1" applyBorder="1"/>
    <xf numFmtId="0" fontId="31" fillId="0" borderId="0" xfId="0" applyFont="1" applyBorder="1"/>
    <xf numFmtId="0" fontId="24" fillId="0" borderId="0" xfId="0" applyFont="1" applyBorder="1" applyAlignment="1">
      <alignment horizontal="right"/>
    </xf>
    <xf numFmtId="0" fontId="28" fillId="0" borderId="0" xfId="0" applyFont="1" applyBorder="1"/>
    <xf numFmtId="0" fontId="24" fillId="0" borderId="0" xfId="0" quotePrefix="1" applyFont="1" applyBorder="1" applyAlignment="1">
      <alignment horizontal="left" vertical="center"/>
    </xf>
    <xf numFmtId="0" fontId="29" fillId="0" borderId="0" xfId="0" applyFont="1" applyBorder="1"/>
    <xf numFmtId="2" fontId="26" fillId="0" borderId="0" xfId="0" applyNumberFormat="1" applyFont="1" applyBorder="1"/>
    <xf numFmtId="171" fontId="72" fillId="0" borderId="15" xfId="0" applyNumberFormat="1" applyFont="1" applyBorder="1" applyAlignment="1">
      <alignment horizontal="center"/>
    </xf>
    <xf numFmtId="0" fontId="25" fillId="0" borderId="0" xfId="0" applyFont="1" applyBorder="1"/>
    <xf numFmtId="43" fontId="72" fillId="0" borderId="15" xfId="2" applyFont="1" applyBorder="1"/>
    <xf numFmtId="43" fontId="27" fillId="0" borderId="15" xfId="2" applyFont="1" applyBorder="1"/>
    <xf numFmtId="43" fontId="20" fillId="0" borderId="0" xfId="2" applyFont="1" applyBorder="1"/>
    <xf numFmtId="43" fontId="0" fillId="0" borderId="15" xfId="2" applyFont="1" applyBorder="1"/>
    <xf numFmtId="43" fontId="0" fillId="0" borderId="0" xfId="2" applyFont="1" applyBorder="1"/>
    <xf numFmtId="0" fontId="31" fillId="0" borderId="2" xfId="0" applyFont="1" applyBorder="1"/>
    <xf numFmtId="0" fontId="22" fillId="0" borderId="0" xfId="0" applyFont="1" applyBorder="1"/>
    <xf numFmtId="0" fontId="73" fillId="0" borderId="0" xfId="0" applyFont="1" applyBorder="1" applyAlignment="1">
      <alignment horizontal="left"/>
    </xf>
    <xf numFmtId="169" fontId="0" fillId="0" borderId="0" xfId="0" applyNumberFormat="1" applyBorder="1"/>
    <xf numFmtId="43" fontId="0" fillId="0" borderId="0" xfId="0" applyNumberFormat="1" applyFill="1"/>
    <xf numFmtId="0" fontId="24" fillId="0" borderId="0" xfId="0" quotePrefix="1" applyFont="1" applyBorder="1" applyAlignment="1">
      <alignment horizontal="left" vertical="center" readingOrder="2"/>
    </xf>
    <xf numFmtId="171" fontId="74" fillId="0" borderId="0" xfId="0" applyNumberFormat="1" applyFont="1" applyBorder="1" applyAlignment="1">
      <alignment horizontal="center"/>
    </xf>
    <xf numFmtId="2"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43" fontId="72" fillId="0" borderId="2" xfId="2" applyFont="1" applyBorder="1" applyAlignment="1">
      <alignment vertical="center"/>
    </xf>
    <xf numFmtId="43" fontId="26" fillId="0" borderId="2" xfId="2" applyFont="1" applyBorder="1" applyAlignment="1">
      <alignment vertical="center"/>
    </xf>
    <xf numFmtId="0" fontId="75" fillId="0" borderId="0" xfId="0" applyFont="1" applyFill="1"/>
    <xf numFmtId="0" fontId="1" fillId="0" borderId="0" xfId="0" applyFont="1"/>
    <xf numFmtId="0" fontId="1" fillId="0" borderId="0" xfId="0" applyFont="1" applyFill="1" applyAlignment="1"/>
    <xf numFmtId="0" fontId="14" fillId="0" borderId="0" xfId="0" applyFont="1" applyFill="1"/>
    <xf numFmtId="0" fontId="76" fillId="0" borderId="0" xfId="0" applyFont="1" applyFill="1"/>
    <xf numFmtId="0" fontId="76" fillId="0" borderId="0" xfId="0" applyFont="1"/>
    <xf numFmtId="0" fontId="14" fillId="0" borderId="0" xfId="0" applyFont="1" applyFill="1" applyAlignment="1">
      <alignment vertical="center"/>
    </xf>
    <xf numFmtId="0" fontId="20" fillId="0" borderId="0" xfId="0" applyFont="1" applyFill="1"/>
    <xf numFmtId="0" fontId="77" fillId="0" borderId="0" xfId="0" applyFont="1" applyFill="1"/>
    <xf numFmtId="0" fontId="15" fillId="0" borderId="0" xfId="0" quotePrefix="1" applyFont="1" applyFill="1" applyAlignment="1">
      <alignment horizontal="right" vertical="center"/>
    </xf>
    <xf numFmtId="0" fontId="78" fillId="0" borderId="0" xfId="0" applyFont="1" applyFill="1"/>
    <xf numFmtId="0" fontId="75" fillId="0" borderId="0" xfId="0" applyFont="1" applyFill="1" applyBorder="1"/>
    <xf numFmtId="0" fontId="79" fillId="0" borderId="0" xfId="0" applyFont="1" applyFill="1" applyBorder="1"/>
    <xf numFmtId="0" fontId="79" fillId="0" borderId="14" xfId="0" applyFont="1" applyFill="1" applyBorder="1"/>
    <xf numFmtId="0" fontId="79" fillId="0" borderId="3" xfId="0" applyFont="1" applyFill="1" applyBorder="1"/>
    <xf numFmtId="0" fontId="79" fillId="0" borderId="12" xfId="0" applyFont="1" applyFill="1" applyBorder="1"/>
    <xf numFmtId="0" fontId="79" fillId="0" borderId="6" xfId="0" applyFont="1" applyFill="1" applyBorder="1"/>
    <xf numFmtId="0" fontId="79" fillId="0" borderId="8" xfId="0" applyFont="1" applyFill="1" applyBorder="1"/>
    <xf numFmtId="0" fontId="79" fillId="0" borderId="2" xfId="0" applyFont="1" applyFill="1" applyBorder="1"/>
    <xf numFmtId="172" fontId="22" fillId="0" borderId="2" xfId="0" applyNumberFormat="1" applyFont="1" applyFill="1" applyBorder="1"/>
    <xf numFmtId="0" fontId="22" fillId="0" borderId="14" xfId="0" applyFont="1" applyFill="1" applyBorder="1" applyAlignment="1">
      <alignment horizontal="center"/>
    </xf>
    <xf numFmtId="0" fontId="79" fillId="0" borderId="1" xfId="0" applyFont="1" applyFill="1" applyBorder="1"/>
    <xf numFmtId="0" fontId="79" fillId="0" borderId="16" xfId="0" applyFont="1" applyFill="1" applyBorder="1"/>
    <xf numFmtId="0" fontId="75" fillId="0" borderId="0" xfId="0" applyFont="1" applyFill="1" applyAlignment="1">
      <alignment horizontal="right"/>
    </xf>
    <xf numFmtId="0" fontId="75" fillId="0" borderId="3" xfId="0" applyFont="1" applyFill="1" applyBorder="1"/>
    <xf numFmtId="0" fontId="75" fillId="0" borderId="4" xfId="0" applyFont="1" applyFill="1" applyBorder="1"/>
    <xf numFmtId="172" fontId="14" fillId="0" borderId="5" xfId="0" applyNumberFormat="1" applyFont="1" applyFill="1" applyBorder="1"/>
    <xf numFmtId="172" fontId="22" fillId="0" borderId="5" xfId="0" applyNumberFormat="1" applyFont="1" applyFill="1" applyBorder="1"/>
    <xf numFmtId="172" fontId="22" fillId="0" borderId="15" xfId="0" applyNumberFormat="1" applyFont="1" applyFill="1" applyBorder="1"/>
    <xf numFmtId="172" fontId="22" fillId="0" borderId="14" xfId="0" applyNumberFormat="1" applyFont="1" applyFill="1" applyBorder="1"/>
    <xf numFmtId="172" fontId="22" fillId="0" borderId="3" xfId="0" applyNumberFormat="1" applyFont="1" applyFill="1" applyBorder="1"/>
    <xf numFmtId="172" fontId="22" fillId="0" borderId="12" xfId="0" applyNumberFormat="1" applyFont="1" applyFill="1" applyBorder="1"/>
    <xf numFmtId="0" fontId="15" fillId="0" borderId="15" xfId="0" applyFont="1" applyFill="1" applyBorder="1"/>
    <xf numFmtId="0" fontId="79" fillId="0" borderId="15" xfId="0" applyFont="1" applyFill="1" applyBorder="1"/>
    <xf numFmtId="0" fontId="80" fillId="0" borderId="0" xfId="0" applyFont="1"/>
    <xf numFmtId="0" fontId="79" fillId="0" borderId="9" xfId="0" applyFont="1" applyFill="1" applyBorder="1"/>
    <xf numFmtId="0" fontId="78" fillId="0" borderId="5" xfId="0" applyFont="1" applyFill="1" applyBorder="1"/>
    <xf numFmtId="0" fontId="75" fillId="0" borderId="6" xfId="0" applyFont="1" applyFill="1" applyBorder="1"/>
    <xf numFmtId="0" fontId="75" fillId="0" borderId="5" xfId="0" applyFont="1" applyFill="1" applyBorder="1"/>
    <xf numFmtId="0" fontId="15" fillId="0" borderId="15" xfId="0" applyFont="1" applyFill="1" applyBorder="1" applyAlignment="1">
      <alignment horizontal="center"/>
    </xf>
    <xf numFmtId="43" fontId="30" fillId="0" borderId="15" xfId="2" applyFont="1" applyFill="1" applyBorder="1"/>
    <xf numFmtId="172" fontId="75" fillId="0" borderId="15" xfId="0" applyNumberFormat="1" applyFont="1" applyFill="1" applyBorder="1"/>
    <xf numFmtId="172" fontId="79" fillId="0" borderId="0" xfId="0" applyNumberFormat="1" applyFont="1" applyFill="1" applyBorder="1"/>
    <xf numFmtId="172" fontId="30" fillId="0" borderId="0" xfId="0" applyNumberFormat="1" applyFont="1" applyFill="1" applyBorder="1"/>
    <xf numFmtId="172" fontId="30" fillId="0" borderId="15" xfId="0" applyNumberFormat="1" applyFont="1" applyFill="1" applyBorder="1"/>
    <xf numFmtId="0" fontId="81" fillId="0" borderId="7" xfId="0" applyFont="1" applyFill="1" applyBorder="1"/>
    <xf numFmtId="43" fontId="81" fillId="0" borderId="15" xfId="2" applyFont="1" applyFill="1" applyBorder="1" applyAlignment="1">
      <alignment horizontal="right"/>
    </xf>
    <xf numFmtId="0" fontId="75" fillId="0" borderId="15" xfId="0" applyFont="1" applyFill="1" applyBorder="1"/>
    <xf numFmtId="0" fontId="75" fillId="0" borderId="15" xfId="0" applyFont="1" applyFill="1" applyBorder="1" applyAlignment="1">
      <alignment horizontal="centerContinuous"/>
    </xf>
    <xf numFmtId="0" fontId="78" fillId="0" borderId="15" xfId="0" applyFont="1" applyFill="1" applyBorder="1"/>
    <xf numFmtId="0" fontId="75" fillId="0" borderId="15" xfId="0" quotePrefix="1" applyFont="1" applyFill="1" applyBorder="1" applyAlignment="1">
      <alignment horizontal="right"/>
    </xf>
    <xf numFmtId="0" fontId="75" fillId="0" borderId="15" xfId="0" applyFont="1" applyFill="1" applyBorder="1" applyAlignment="1">
      <alignment horizontal="right"/>
    </xf>
    <xf numFmtId="0" fontId="78" fillId="0" borderId="9" xfId="0" applyFont="1" applyFill="1" applyBorder="1"/>
    <xf numFmtId="0" fontId="81" fillId="0" borderId="10" xfId="0" applyFont="1" applyFill="1" applyBorder="1"/>
    <xf numFmtId="43" fontId="30" fillId="0" borderId="9" xfId="2" applyFont="1" applyFill="1" applyBorder="1"/>
    <xf numFmtId="0" fontId="75" fillId="0" borderId="1" xfId="0" applyFont="1" applyFill="1" applyBorder="1"/>
    <xf numFmtId="0" fontId="75" fillId="0" borderId="9" xfId="0" applyFont="1" applyFill="1" applyBorder="1"/>
    <xf numFmtId="0" fontId="15" fillId="0" borderId="0" xfId="0" applyFont="1" applyFill="1" applyAlignment="1">
      <alignment horizontal="centerContinuous"/>
    </xf>
    <xf numFmtId="0" fontId="81" fillId="0" borderId="0" xfId="0" applyFont="1" applyFill="1" applyBorder="1"/>
    <xf numFmtId="0" fontId="79" fillId="0" borderId="0" xfId="0" applyFont="1" applyFill="1"/>
    <xf numFmtId="0" fontId="82" fillId="0" borderId="0" xfId="0" quotePrefix="1" applyFont="1" applyAlignment="1">
      <alignment vertical="center"/>
    </xf>
    <xf numFmtId="0" fontId="64" fillId="0" borderId="4" xfId="0" quotePrefix="1" applyFont="1" applyFill="1" applyBorder="1" applyAlignment="1">
      <alignment vertical="center"/>
    </xf>
    <xf numFmtId="0" fontId="15" fillId="0" borderId="0" xfId="0" quotePrefix="1" applyFont="1" applyFill="1" applyAlignment="1">
      <alignment horizontal="centerContinuous"/>
    </xf>
    <xf numFmtId="0" fontId="81" fillId="0" borderId="0" xfId="0" applyFont="1" applyFill="1"/>
    <xf numFmtId="167" fontId="79" fillId="0" borderId="2" xfId="0" applyNumberFormat="1" applyFont="1" applyFill="1" applyBorder="1"/>
    <xf numFmtId="0" fontId="79" fillId="0" borderId="4" xfId="0" applyFont="1" applyFill="1" applyBorder="1"/>
    <xf numFmtId="0" fontId="83" fillId="0" borderId="0" xfId="0" applyFont="1" applyFill="1" applyAlignment="1">
      <alignment horizontal="right"/>
    </xf>
    <xf numFmtId="0" fontId="79" fillId="0" borderId="7" xfId="0" applyFont="1" applyFill="1" applyBorder="1"/>
    <xf numFmtId="0" fontId="79" fillId="0" borderId="11" xfId="0" applyFont="1" applyFill="1" applyBorder="1"/>
    <xf numFmtId="0" fontId="84" fillId="0" borderId="0" xfId="0" applyFont="1" applyFill="1"/>
    <xf numFmtId="0" fontId="85" fillId="0" borderId="0" xfId="0" applyFont="1" applyFill="1"/>
    <xf numFmtId="0" fontId="85" fillId="0" borderId="0" xfId="0" applyFont="1" applyFill="1" applyBorder="1"/>
    <xf numFmtId="0" fontId="85" fillId="0" borderId="7" xfId="0" applyFont="1" applyFill="1" applyBorder="1"/>
    <xf numFmtId="0" fontId="86" fillId="0" borderId="11" xfId="0" applyFont="1" applyFill="1" applyBorder="1"/>
    <xf numFmtId="0" fontId="87" fillId="0" borderId="0" xfId="0" applyFont="1"/>
    <xf numFmtId="0" fontId="88" fillId="0" borderId="0" xfId="0" applyFont="1" applyFill="1"/>
    <xf numFmtId="0" fontId="20" fillId="0" borderId="7" xfId="0" applyFont="1" applyFill="1" applyBorder="1"/>
    <xf numFmtId="0" fontId="20" fillId="0" borderId="0" xfId="0" applyFont="1" applyFill="1" applyBorder="1"/>
    <xf numFmtId="0" fontId="30" fillId="0" borderId="11" xfId="0" applyFont="1" applyFill="1" applyBorder="1"/>
    <xf numFmtId="0" fontId="20" fillId="0" borderId="10" xfId="0" applyFont="1" applyFill="1" applyBorder="1"/>
    <xf numFmtId="0" fontId="20" fillId="0" borderId="1" xfId="0" applyFont="1" applyFill="1" applyBorder="1"/>
    <xf numFmtId="0" fontId="30" fillId="0" borderId="16" xfId="0" applyFont="1" applyFill="1" applyBorder="1"/>
    <xf numFmtId="172" fontId="64" fillId="0" borderId="7" xfId="0" applyNumberFormat="1" applyFont="1" applyFill="1" applyBorder="1" applyAlignment="1">
      <alignment horizontal="center"/>
    </xf>
    <xf numFmtId="43" fontId="64" fillId="0" borderId="15" xfId="2" applyFont="1" applyFill="1" applyBorder="1"/>
    <xf numFmtId="167" fontId="64" fillId="0" borderId="2" xfId="0" quotePrefix="1" applyNumberFormat="1" applyFont="1" applyFill="1" applyBorder="1" applyAlignment="1">
      <alignment horizontal="center"/>
    </xf>
    <xf numFmtId="172" fontId="64" fillId="0" borderId="15" xfId="0" applyNumberFormat="1" applyFont="1" applyFill="1" applyBorder="1" applyAlignment="1">
      <alignment horizontal="center"/>
    </xf>
    <xf numFmtId="172" fontId="64" fillId="0" borderId="0" xfId="0" quotePrefix="1" applyNumberFormat="1" applyFont="1" applyFill="1" applyBorder="1" applyAlignment="1">
      <alignment horizontal="center"/>
    </xf>
    <xf numFmtId="172" fontId="64" fillId="0" borderId="15" xfId="0" quotePrefix="1" applyNumberFormat="1" applyFont="1" applyFill="1" applyBorder="1" applyAlignment="1">
      <alignment horizontal="center" vertical="center"/>
    </xf>
    <xf numFmtId="172" fontId="90" fillId="0" borderId="15" xfId="0" quotePrefix="1" applyNumberFormat="1" applyFont="1" applyFill="1" applyBorder="1" applyAlignment="1">
      <alignment horizontal="centerContinuous"/>
    </xf>
    <xf numFmtId="0" fontId="90" fillId="0" borderId="15" xfId="0" quotePrefix="1" applyFont="1" applyFill="1" applyBorder="1" applyAlignment="1">
      <alignment horizontal="centerContinuous"/>
    </xf>
    <xf numFmtId="0" fontId="90" fillId="0" borderId="15" xfId="0" applyFont="1" applyFill="1" applyBorder="1" applyAlignment="1">
      <alignment horizontal="centerContinuous"/>
    </xf>
    <xf numFmtId="0" fontId="18" fillId="0" borderId="0" xfId="0" applyFont="1" applyBorder="1"/>
    <xf numFmtId="0" fontId="91" fillId="0" borderId="0" xfId="0" applyFont="1" applyBorder="1"/>
    <xf numFmtId="0" fontId="24" fillId="0" borderId="0" xfId="0" applyFont="1"/>
    <xf numFmtId="0" fontId="29" fillId="0" borderId="0" xfId="0" applyFont="1"/>
    <xf numFmtId="0" fontId="92" fillId="0" borderId="0" xfId="0" applyFont="1" applyAlignment="1">
      <alignment horizontal="center"/>
    </xf>
    <xf numFmtId="0" fontId="92" fillId="0" borderId="0" xfId="0" applyFont="1"/>
    <xf numFmtId="0" fontId="24" fillId="0" borderId="0" xfId="0" quotePrefix="1" applyFont="1" applyAlignment="1"/>
    <xf numFmtId="0" fontId="28" fillId="0" borderId="0" xfId="0" applyFont="1" applyAlignment="1">
      <alignment horizontal="right"/>
    </xf>
    <xf numFmtId="0" fontId="24" fillId="0" borderId="0" xfId="0" quotePrefix="1" applyFont="1" applyAlignment="1">
      <alignment horizontal="right"/>
    </xf>
    <xf numFmtId="0" fontId="29" fillId="0" borderId="0" xfId="0" applyFont="1" applyAlignment="1">
      <alignment horizontal="centerContinuous"/>
    </xf>
    <xf numFmtId="0" fontId="31" fillId="0" borderId="0" xfId="0" applyFont="1" applyAlignment="1">
      <alignment horizontal="centerContinuous"/>
    </xf>
    <xf numFmtId="0" fontId="24" fillId="0" borderId="0" xfId="0" applyFont="1" applyAlignment="1">
      <alignment horizontal="center"/>
    </xf>
    <xf numFmtId="0" fontId="20" fillId="0" borderId="0" xfId="0" applyFont="1"/>
    <xf numFmtId="0" fontId="28" fillId="0" borderId="0" xfId="0" applyFont="1"/>
    <xf numFmtId="0" fontId="29" fillId="0" borderId="0" xfId="0" applyFont="1" applyAlignment="1">
      <alignment horizontal="center"/>
    </xf>
    <xf numFmtId="0" fontId="29" fillId="0" borderId="0" xfId="0" quotePrefix="1" applyFont="1" applyAlignment="1">
      <alignment horizontal="right"/>
    </xf>
    <xf numFmtId="0" fontId="29" fillId="0" borderId="0" xfId="0" applyFont="1" applyAlignment="1">
      <alignment horizontal="right"/>
    </xf>
    <xf numFmtId="1" fontId="24" fillId="0" borderId="2" xfId="0" quotePrefix="1" applyNumberFormat="1" applyFont="1" applyBorder="1" applyAlignment="1">
      <alignment horizontal="center"/>
    </xf>
    <xf numFmtId="0" fontId="24" fillId="0" borderId="2" xfId="0" applyFont="1" applyBorder="1" applyAlignment="1">
      <alignment horizontal="right"/>
    </xf>
    <xf numFmtId="164" fontId="20" fillId="0" borderId="0" xfId="2" applyNumberFormat="1" applyFont="1"/>
    <xf numFmtId="0" fontId="24" fillId="0" borderId="0" xfId="0" quotePrefix="1" applyFont="1" applyBorder="1" applyAlignment="1">
      <alignment horizontal="right" vertical="center"/>
    </xf>
    <xf numFmtId="164" fontId="24" fillId="0" borderId="2" xfId="2" applyNumberFormat="1" applyFont="1" applyBorder="1" applyAlignment="1">
      <alignment horizontal="center" vertical="center"/>
    </xf>
    <xf numFmtId="41" fontId="24" fillId="0" borderId="0" xfId="2" applyNumberFormat="1" applyFont="1" applyBorder="1" applyAlignment="1">
      <alignment horizontal="center" vertical="center"/>
    </xf>
    <xf numFmtId="0" fontId="0" fillId="0" borderId="0" xfId="0" applyBorder="1" applyAlignment="1">
      <alignment vertical="center"/>
    </xf>
    <xf numFmtId="0" fontId="18" fillId="0" borderId="0" xfId="0" applyFont="1" applyBorder="1" applyAlignment="1">
      <alignment vertical="center"/>
    </xf>
    <xf numFmtId="0" fontId="91" fillId="0" borderId="0" xfId="0" applyFont="1" applyBorder="1" applyAlignment="1">
      <alignment vertical="center"/>
    </xf>
    <xf numFmtId="0" fontId="0" fillId="0" borderId="0" xfId="0" applyBorder="1" applyAlignment="1">
      <alignment horizontal="center" vertical="center"/>
    </xf>
    <xf numFmtId="0" fontId="24" fillId="0" borderId="0" xfId="0" applyFont="1" applyAlignment="1">
      <alignment vertical="center"/>
    </xf>
    <xf numFmtId="0" fontId="3" fillId="0" borderId="0" xfId="0" applyFont="1" applyAlignment="1">
      <alignment horizontal="center"/>
    </xf>
    <xf numFmtId="0" fontId="3" fillId="0" borderId="0" xfId="0" applyFont="1" applyAlignment="1">
      <alignment horizontal="center" vertical="center"/>
    </xf>
    <xf numFmtId="0" fontId="94" fillId="0" borderId="0" xfId="0" applyFont="1" applyFill="1"/>
    <xf numFmtId="0" fontId="95" fillId="0" borderId="0" xfId="0" applyFont="1" applyFill="1" applyAlignment="1">
      <alignment horizontal="center"/>
    </xf>
    <xf numFmtId="0" fontId="96" fillId="0" borderId="0" xfId="0" applyFont="1" applyFill="1"/>
    <xf numFmtId="0" fontId="97" fillId="0" borderId="0" xfId="0" applyFont="1" applyFill="1" applyAlignment="1">
      <alignment horizontal="center"/>
    </xf>
    <xf numFmtId="0" fontId="97" fillId="0" borderId="0" xfId="0" applyFont="1" applyFill="1"/>
    <xf numFmtId="0" fontId="99" fillId="0" borderId="0" xfId="0" applyFont="1" applyFill="1"/>
    <xf numFmtId="0" fontId="99" fillId="0" borderId="0" xfId="0" applyFont="1" applyFill="1" applyAlignment="1">
      <alignment horizontal="left"/>
    </xf>
    <xf numFmtId="169" fontId="97" fillId="0" borderId="0" xfId="0" applyNumberFormat="1" applyFont="1" applyFill="1" applyAlignment="1"/>
    <xf numFmtId="0" fontId="97" fillId="0" borderId="0" xfId="0" applyFont="1" applyFill="1" applyAlignment="1">
      <alignment horizontal="left"/>
    </xf>
    <xf numFmtId="0" fontId="99" fillId="0" borderId="0" xfId="0" applyFont="1"/>
    <xf numFmtId="0" fontId="99" fillId="0" borderId="0" xfId="0" applyFont="1" applyAlignment="1">
      <alignment horizontal="left"/>
    </xf>
    <xf numFmtId="0" fontId="93" fillId="0" borderId="0" xfId="0" applyFont="1" applyAlignment="1">
      <alignment horizontal="center" vertical="center"/>
    </xf>
    <xf numFmtId="0" fontId="28" fillId="0" borderId="2" xfId="0" applyFont="1" applyBorder="1" applyAlignment="1">
      <alignment horizontal="center" vertical="center"/>
    </xf>
    <xf numFmtId="0" fontId="28" fillId="0" borderId="2" xfId="0" quotePrefix="1" applyFont="1" applyBorder="1" applyAlignment="1">
      <alignment horizontal="right" vertical="center"/>
    </xf>
    <xf numFmtId="0" fontId="28" fillId="0" borderId="2" xfId="0" quotePrefix="1" applyFont="1" applyBorder="1" applyAlignment="1">
      <alignment horizontal="center" vertical="center"/>
    </xf>
    <xf numFmtId="0" fontId="97" fillId="0" borderId="0" xfId="0" applyNumberFormat="1" applyFont="1" applyFill="1" applyAlignment="1"/>
    <xf numFmtId="0" fontId="100" fillId="0" borderId="0" xfId="0" quotePrefix="1" applyFont="1" applyAlignment="1">
      <alignment horizontal="right" vertical="center"/>
    </xf>
    <xf numFmtId="0" fontId="8" fillId="0" borderId="0" xfId="3" applyFont="1"/>
    <xf numFmtId="0" fontId="102" fillId="0" borderId="7" xfId="3" applyFont="1" applyBorder="1" applyAlignment="1">
      <alignment vertical="center"/>
    </xf>
    <xf numFmtId="0" fontId="106" fillId="0" borderId="0" xfId="3" applyFont="1" applyBorder="1" applyAlignment="1">
      <alignment vertical="center"/>
    </xf>
    <xf numFmtId="0" fontId="8" fillId="0" borderId="7" xfId="3" applyFont="1" applyBorder="1"/>
    <xf numFmtId="0" fontId="8" fillId="0" borderId="0" xfId="3" applyFont="1" applyBorder="1"/>
    <xf numFmtId="0" fontId="8" fillId="0" borderId="11" xfId="3" applyFont="1" applyBorder="1"/>
    <xf numFmtId="0" fontId="8" fillId="0" borderId="0" xfId="3" applyFont="1" applyAlignment="1"/>
    <xf numFmtId="0" fontId="106" fillId="0" borderId="0" xfId="3" applyFont="1" applyBorder="1" applyAlignment="1">
      <alignment horizontal="center" vertical="center"/>
    </xf>
    <xf numFmtId="0" fontId="112" fillId="0" borderId="6" xfId="4" applyFont="1" applyBorder="1" applyAlignment="1">
      <alignment vertical="center"/>
    </xf>
    <xf numFmtId="0" fontId="8" fillId="0" borderId="4" xfId="3" applyFont="1" applyBorder="1" applyAlignment="1">
      <alignment readingOrder="2"/>
    </xf>
    <xf numFmtId="0" fontId="8" fillId="0" borderId="4" xfId="3" applyFont="1" applyBorder="1"/>
    <xf numFmtId="0" fontId="8" fillId="0" borderId="8" xfId="3" applyFont="1" applyBorder="1" applyAlignment="1">
      <alignment horizontal="right" readingOrder="2"/>
    </xf>
    <xf numFmtId="0" fontId="113" fillId="0" borderId="7" xfId="3" applyFont="1" applyBorder="1"/>
    <xf numFmtId="0" fontId="114" fillId="0" borderId="11" xfId="4" applyFont="1" applyBorder="1" applyAlignment="1">
      <alignment horizontal="right" vertical="center" readingOrder="2"/>
    </xf>
    <xf numFmtId="0" fontId="8" fillId="0" borderId="11" xfId="3" applyFont="1" applyBorder="1" applyAlignment="1">
      <alignment horizontal="right" vertical="center" readingOrder="2"/>
    </xf>
    <xf numFmtId="0" fontId="8" fillId="0" borderId="10" xfId="3" applyFont="1" applyBorder="1"/>
    <xf numFmtId="0" fontId="8" fillId="0" borderId="1" xfId="3" applyFont="1" applyBorder="1"/>
    <xf numFmtId="0" fontId="8" fillId="0" borderId="16" xfId="3" applyFont="1" applyBorder="1"/>
    <xf numFmtId="0" fontId="108" fillId="0" borderId="0" xfId="3" applyFont="1"/>
    <xf numFmtId="0" fontId="102" fillId="0" borderId="2" xfId="3" applyFont="1" applyBorder="1" applyAlignment="1">
      <alignment horizontal="center" vertical="center"/>
    </xf>
    <xf numFmtId="0" fontId="8" fillId="0" borderId="5" xfId="3" applyFont="1" applyBorder="1" applyAlignment="1">
      <alignment vertical="center"/>
    </xf>
    <xf numFmtId="0" fontId="8" fillId="0" borderId="6" xfId="3" applyFont="1" applyBorder="1"/>
    <xf numFmtId="0" fontId="8" fillId="0" borderId="8" xfId="3" applyFont="1" applyBorder="1"/>
    <xf numFmtId="0" fontId="102" fillId="0" borderId="7" xfId="3" applyFont="1" applyBorder="1"/>
    <xf numFmtId="0" fontId="102" fillId="0" borderId="6" xfId="3" applyFont="1" applyBorder="1"/>
    <xf numFmtId="0" fontId="8" fillId="0" borderId="17" xfId="3" applyFont="1" applyBorder="1"/>
    <xf numFmtId="9" fontId="102" fillId="0" borderId="15" xfId="3" applyNumberFormat="1" applyFont="1" applyBorder="1" applyAlignment="1">
      <alignment horizontal="center" vertical="center"/>
    </xf>
    <xf numFmtId="0" fontId="8" fillId="0" borderId="15" xfId="3" applyFont="1" applyBorder="1"/>
    <xf numFmtId="0" fontId="5" fillId="0" borderId="0" xfId="3" applyFont="1" applyBorder="1" applyAlignment="1">
      <alignment horizontal="center" vertical="center"/>
    </xf>
    <xf numFmtId="3" fontId="8" fillId="0" borderId="18" xfId="3" applyNumberFormat="1" applyFont="1" applyBorder="1"/>
    <xf numFmtId="3" fontId="8" fillId="0" borderId="11" xfId="3" applyNumberFormat="1" applyFont="1" applyBorder="1"/>
    <xf numFmtId="3" fontId="8" fillId="0" borderId="7" xfId="3" applyNumberFormat="1" applyFont="1" applyBorder="1"/>
    <xf numFmtId="3" fontId="8" fillId="0" borderId="0" xfId="3" applyNumberFormat="1" applyFont="1" applyBorder="1"/>
    <xf numFmtId="3" fontId="8" fillId="0" borderId="1" xfId="3" applyNumberFormat="1" applyFont="1" applyBorder="1"/>
    <xf numFmtId="0" fontId="5" fillId="0" borderId="2" xfId="3" applyFont="1" applyBorder="1"/>
    <xf numFmtId="0" fontId="102" fillId="0" borderId="10" xfId="3" applyFont="1" applyBorder="1"/>
    <xf numFmtId="0" fontId="106" fillId="0" borderId="16" xfId="3" applyFont="1" applyBorder="1" applyAlignment="1">
      <alignment horizontal="left"/>
    </xf>
    <xf numFmtId="0" fontId="102" fillId="0" borderId="16" xfId="3" applyFont="1" applyBorder="1" applyAlignment="1">
      <alignment horizontal="left"/>
    </xf>
    <xf numFmtId="0" fontId="8" fillId="0" borderId="14" xfId="3" applyFont="1" applyBorder="1"/>
    <xf numFmtId="3" fontId="8" fillId="0" borderId="12" xfId="3" applyNumberFormat="1" applyFont="1" applyBorder="1"/>
    <xf numFmtId="3" fontId="8" fillId="0" borderId="14" xfId="3" applyNumberFormat="1" applyFont="1" applyBorder="1"/>
    <xf numFmtId="0" fontId="8" fillId="0" borderId="12" xfId="3" applyFont="1" applyBorder="1"/>
    <xf numFmtId="0" fontId="8" fillId="0" borderId="9" xfId="3" applyFont="1" applyBorder="1"/>
    <xf numFmtId="3" fontId="8" fillId="0" borderId="3" xfId="3" applyNumberFormat="1" applyFont="1" applyBorder="1"/>
    <xf numFmtId="3" fontId="5" fillId="0" borderId="3" xfId="3" applyNumberFormat="1" applyFont="1" applyBorder="1" applyAlignment="1">
      <alignment horizontal="center"/>
    </xf>
    <xf numFmtId="3" fontId="5" fillId="0" borderId="3" xfId="3" applyNumberFormat="1" applyFont="1" applyBorder="1"/>
    <xf numFmtId="0" fontId="8" fillId="0" borderId="3" xfId="3" applyFont="1" applyBorder="1"/>
    <xf numFmtId="0" fontId="8" fillId="0" borderId="6" xfId="3" applyFont="1" applyBorder="1" applyAlignment="1">
      <alignment vertical="center"/>
    </xf>
    <xf numFmtId="0" fontId="8" fillId="0" borderId="4" xfId="3" applyFont="1" applyBorder="1" applyAlignment="1">
      <alignment vertical="center"/>
    </xf>
    <xf numFmtId="0" fontId="8" fillId="0" borderId="8" xfId="3" applyFont="1" applyBorder="1" applyAlignment="1">
      <alignment vertical="center"/>
    </xf>
    <xf numFmtId="0" fontId="115" fillId="0" borderId="0" xfId="4" applyFont="1" applyAlignment="1">
      <alignment vertical="center"/>
    </xf>
    <xf numFmtId="0" fontId="102" fillId="0" borderId="4" xfId="3" applyFont="1" applyBorder="1"/>
    <xf numFmtId="0" fontId="8" fillId="0" borderId="19" xfId="3" applyFont="1" applyBorder="1"/>
    <xf numFmtId="0" fontId="8" fillId="0" borderId="20" xfId="3" applyFont="1" applyBorder="1"/>
    <xf numFmtId="0" fontId="102" fillId="0" borderId="0" xfId="3" applyFont="1" applyBorder="1"/>
    <xf numFmtId="0" fontId="8" fillId="0" borderId="21" xfId="3" applyFont="1" applyBorder="1"/>
    <xf numFmtId="0" fontId="8" fillId="0" borderId="22" xfId="3" applyFont="1" applyBorder="1"/>
    <xf numFmtId="3" fontId="8" fillId="0" borderId="22" xfId="3" applyNumberFormat="1" applyFont="1" applyBorder="1" applyAlignment="1"/>
    <xf numFmtId="9" fontId="108" fillId="0" borderId="15" xfId="3" applyNumberFormat="1" applyFont="1" applyBorder="1" applyAlignment="1">
      <alignment horizontal="center"/>
    </xf>
    <xf numFmtId="0" fontId="5" fillId="0" borderId="1" xfId="3" applyFont="1" applyBorder="1"/>
    <xf numFmtId="0" fontId="106" fillId="0" borderId="16" xfId="3" applyFont="1" applyBorder="1" applyAlignment="1">
      <alignment horizontal="right"/>
    </xf>
    <xf numFmtId="0" fontId="5" fillId="0" borderId="3" xfId="3" applyFont="1" applyBorder="1" applyAlignment="1">
      <alignment horizontal="center"/>
    </xf>
    <xf numFmtId="0" fontId="102" fillId="0" borderId="3" xfId="3" applyFont="1" applyBorder="1" applyAlignment="1">
      <alignment horizontal="right"/>
    </xf>
    <xf numFmtId="0" fontId="108" fillId="0" borderId="6" xfId="3" applyFont="1" applyBorder="1" applyAlignment="1">
      <alignment horizontal="center" vertical="center"/>
    </xf>
    <xf numFmtId="0" fontId="108" fillId="0" borderId="4" xfId="3" applyFont="1" applyBorder="1" applyAlignment="1">
      <alignment horizontal="center" vertical="center"/>
    </xf>
    <xf numFmtId="0" fontId="108" fillId="0" borderId="8" xfId="3" applyFont="1" applyBorder="1" applyAlignment="1">
      <alignment horizontal="center" vertical="center"/>
    </xf>
    <xf numFmtId="0" fontId="102" fillId="0" borderId="6" xfId="3" applyFont="1" applyBorder="1" applyAlignment="1">
      <alignment horizontal="center" vertical="center"/>
    </xf>
    <xf numFmtId="0" fontId="102" fillId="0" borderId="4" xfId="3" applyFont="1" applyBorder="1" applyAlignment="1">
      <alignment horizontal="center" vertical="center"/>
    </xf>
    <xf numFmtId="0" fontId="102" fillId="0" borderId="8" xfId="3" applyFont="1" applyBorder="1" applyAlignment="1">
      <alignment horizontal="center" vertical="center"/>
    </xf>
    <xf numFmtId="0" fontId="102" fillId="0" borderId="7" xfId="3" applyFont="1" applyBorder="1" applyAlignment="1">
      <alignment horizontal="center" vertical="center" wrapText="1"/>
    </xf>
    <xf numFmtId="0" fontId="102" fillId="0" borderId="0" xfId="3" applyFont="1" applyBorder="1" applyAlignment="1">
      <alignment vertical="center" wrapText="1"/>
    </xf>
    <xf numFmtId="0" fontId="102" fillId="0" borderId="11" xfId="3" applyFont="1" applyBorder="1" applyAlignment="1">
      <alignment vertical="center" wrapText="1"/>
    </xf>
    <xf numFmtId="0" fontId="102" fillId="0" borderId="5" xfId="3" applyFont="1" applyBorder="1" applyAlignment="1">
      <alignment horizontal="center" vertical="center"/>
    </xf>
    <xf numFmtId="0" fontId="8" fillId="0" borderId="15" xfId="3" applyFont="1" applyBorder="1" applyAlignment="1">
      <alignment vertical="center"/>
    </xf>
    <xf numFmtId="0" fontId="8" fillId="0" borderId="11" xfId="3" applyFont="1" applyBorder="1" applyAlignment="1"/>
    <xf numFmtId="0" fontId="8" fillId="0" borderId="23" xfId="3" applyFont="1" applyBorder="1"/>
    <xf numFmtId="0" fontId="8" fillId="0" borderId="24" xfId="3" applyFont="1" applyBorder="1"/>
    <xf numFmtId="0" fontId="8" fillId="0" borderId="25" xfId="3" applyFont="1" applyBorder="1"/>
    <xf numFmtId="0" fontId="8" fillId="0" borderId="26" xfId="3" applyFont="1" applyBorder="1"/>
    <xf numFmtId="0" fontId="8" fillId="0" borderId="27" xfId="3" applyFont="1" applyBorder="1"/>
    <xf numFmtId="0" fontId="102" fillId="0" borderId="25" xfId="3" applyFont="1" applyBorder="1"/>
    <xf numFmtId="0" fontId="8" fillId="0" borderId="28" xfId="3" applyFont="1" applyBorder="1"/>
    <xf numFmtId="0" fontId="8" fillId="0" borderId="29" xfId="3" applyFont="1" applyBorder="1"/>
    <xf numFmtId="0" fontId="8" fillId="0" borderId="30" xfId="3" applyFont="1" applyBorder="1"/>
    <xf numFmtId="0" fontId="8" fillId="0" borderId="18" xfId="3" applyFont="1" applyBorder="1"/>
    <xf numFmtId="0" fontId="8" fillId="0" borderId="31" xfId="3" applyFont="1" applyBorder="1"/>
    <xf numFmtId="0" fontId="8" fillId="0" borderId="32" xfId="3" applyFont="1" applyBorder="1"/>
    <xf numFmtId="0" fontId="8" fillId="0" borderId="33" xfId="3" applyFont="1" applyBorder="1"/>
    <xf numFmtId="0" fontId="108" fillId="0" borderId="10" xfId="3" applyFont="1" applyBorder="1"/>
    <xf numFmtId="0" fontId="102" fillId="0" borderId="1" xfId="3" applyFont="1" applyBorder="1" applyAlignment="1">
      <alignment horizontal="left"/>
    </xf>
    <xf numFmtId="0" fontId="8" fillId="0" borderId="2" xfId="3" applyFont="1" applyBorder="1"/>
    <xf numFmtId="0" fontId="5" fillId="0" borderId="9" xfId="3" applyFont="1" applyBorder="1"/>
    <xf numFmtId="0" fontId="5" fillId="0" borderId="6" xfId="3" applyFont="1" applyBorder="1" applyAlignment="1">
      <alignment horizontal="center" vertical="center"/>
    </xf>
    <xf numFmtId="0" fontId="5" fillId="0" borderId="4" xfId="3" applyFont="1" applyBorder="1" applyAlignment="1">
      <alignment horizontal="center" vertical="center"/>
    </xf>
    <xf numFmtId="0" fontId="102" fillId="0" borderId="11" xfId="3" applyFont="1" applyBorder="1" applyAlignment="1"/>
    <xf numFmtId="0" fontId="109" fillId="0" borderId="7" xfId="3" applyFont="1" applyBorder="1"/>
    <xf numFmtId="0" fontId="102" fillId="0" borderId="0" xfId="3" applyFont="1" applyBorder="1" applyAlignment="1">
      <alignment horizontal="left"/>
    </xf>
    <xf numFmtId="0" fontId="102" fillId="0" borderId="0" xfId="3" applyFont="1" applyBorder="1" applyAlignment="1"/>
    <xf numFmtId="0" fontId="8" fillId="0" borderId="0" xfId="3" applyFont="1" applyBorder="1" applyAlignment="1"/>
    <xf numFmtId="0" fontId="109" fillId="0" borderId="0" xfId="3" applyFont="1" applyBorder="1"/>
    <xf numFmtId="0" fontId="113" fillId="0" borderId="0" xfId="3" applyFont="1" applyBorder="1"/>
    <xf numFmtId="0" fontId="102" fillId="0" borderId="11" xfId="3" applyFont="1" applyBorder="1"/>
    <xf numFmtId="0" fontId="117" fillId="0" borderId="0" xfId="4" applyFont="1" applyAlignment="1">
      <alignment vertical="center"/>
    </xf>
    <xf numFmtId="0" fontId="102" fillId="0" borderId="0" xfId="3" applyFont="1" applyBorder="1" applyAlignment="1">
      <alignment horizontal="left" vertical="center"/>
    </xf>
    <xf numFmtId="0" fontId="109" fillId="0" borderId="11" xfId="3" applyFont="1" applyBorder="1"/>
    <xf numFmtId="0" fontId="102" fillId="0" borderId="0" xfId="3" applyFont="1" applyBorder="1" applyAlignment="1">
      <alignment horizontal="left" readingOrder="2"/>
    </xf>
    <xf numFmtId="0" fontId="117" fillId="0" borderId="0" xfId="4" applyFont="1" applyBorder="1" applyAlignment="1">
      <alignment vertical="center"/>
    </xf>
    <xf numFmtId="49" fontId="109" fillId="0" borderId="11" xfId="3" applyNumberFormat="1" applyFont="1" applyBorder="1"/>
    <xf numFmtId="9" fontId="102" fillId="0" borderId="7" xfId="3" applyNumberFormat="1" applyFont="1" applyBorder="1" applyAlignment="1">
      <alignment horizontal="center"/>
    </xf>
    <xf numFmtId="0" fontId="109" fillId="0" borderId="0" xfId="3" applyFont="1" applyFill="1" applyBorder="1"/>
    <xf numFmtId="3" fontId="8" fillId="0" borderId="29" xfId="3" applyNumberFormat="1" applyFont="1" applyBorder="1"/>
    <xf numFmtId="0" fontId="22" fillId="0" borderId="0" xfId="0" applyFont="1" applyAlignment="1">
      <alignment horizontal="center"/>
    </xf>
    <xf numFmtId="0" fontId="18" fillId="0" borderId="0" xfId="0" applyFont="1"/>
    <xf numFmtId="0" fontId="22" fillId="0" borderId="0" xfId="0" quotePrefix="1" applyFont="1" applyAlignment="1">
      <alignment horizontal="centerContinuous"/>
    </xf>
    <xf numFmtId="0" fontId="3" fillId="0" borderId="0" xfId="0" applyFont="1" applyAlignment="1">
      <alignment horizontal="right" vertical="center"/>
    </xf>
    <xf numFmtId="0" fontId="119" fillId="0" borderId="0" xfId="0" applyFont="1" applyBorder="1" applyAlignment="1">
      <alignment horizontal="left"/>
    </xf>
    <xf numFmtId="0" fontId="31" fillId="0" borderId="0" xfId="0" applyFont="1" applyBorder="1" applyAlignment="1">
      <alignment horizontal="right"/>
    </xf>
    <xf numFmtId="0" fontId="31" fillId="0" borderId="0" xfId="0" applyFont="1" applyFill="1" applyBorder="1"/>
    <xf numFmtId="172" fontId="26" fillId="0" borderId="2" xfId="0" applyNumberFormat="1" applyFont="1" applyBorder="1" applyAlignment="1">
      <alignment horizontal="center" vertical="center"/>
    </xf>
    <xf numFmtId="172" fontId="24" fillId="0" borderId="2" xfId="0" applyNumberFormat="1" applyFont="1" applyBorder="1" applyAlignment="1">
      <alignment horizontal="center" vertical="center"/>
    </xf>
    <xf numFmtId="0" fontId="26" fillId="0" borderId="2" xfId="0" applyFont="1" applyBorder="1"/>
    <xf numFmtId="2" fontId="0" fillId="0" borderId="0" xfId="0" applyNumberFormat="1" applyBorder="1"/>
    <xf numFmtId="164" fontId="0" fillId="0" borderId="0" xfId="0" applyNumberFormat="1"/>
    <xf numFmtId="0" fontId="23" fillId="0" borderId="0" xfId="0" applyFont="1" applyBorder="1"/>
    <xf numFmtId="0" fontId="118" fillId="0" borderId="0" xfId="0" applyFont="1" applyBorder="1"/>
    <xf numFmtId="0" fontId="3" fillId="0" borderId="0" xfId="0" applyFont="1"/>
    <xf numFmtId="171" fontId="26" fillId="0" borderId="2" xfId="0" applyNumberFormat="1" applyFont="1" applyBorder="1" applyAlignment="1">
      <alignment horizontal="center" vertical="center"/>
    </xf>
    <xf numFmtId="0" fontId="28" fillId="0" borderId="0" xfId="0" applyFont="1" applyBorder="1" applyAlignment="1">
      <alignment horizontal="right"/>
    </xf>
    <xf numFmtId="0" fontId="13" fillId="0" borderId="0" xfId="0" applyFont="1" applyBorder="1"/>
    <xf numFmtId="171" fontId="120" fillId="0" borderId="0" xfId="0" applyNumberFormat="1" applyFont="1" applyAlignment="1">
      <alignment horizontal="right" vertical="center"/>
    </xf>
    <xf numFmtId="0" fontId="3" fillId="0" borderId="0" xfId="0" applyFont="1" applyBorder="1"/>
    <xf numFmtId="0" fontId="3" fillId="0" borderId="0" xfId="0" applyFont="1" applyBorder="1" applyAlignment="1">
      <alignment horizontal="center"/>
    </xf>
    <xf numFmtId="0" fontId="26" fillId="0" borderId="2" xfId="0" applyFont="1" applyBorder="1" applyAlignment="1">
      <alignment horizontal="center"/>
    </xf>
    <xf numFmtId="43" fontId="28" fillId="0" borderId="0" xfId="2" applyFont="1" applyBorder="1"/>
    <xf numFmtId="2" fontId="26" fillId="0" borderId="0" xfId="0" applyNumberFormat="1" applyFont="1" applyBorder="1" applyAlignment="1">
      <alignment horizontal="center" vertical="center"/>
    </xf>
    <xf numFmtId="0" fontId="18" fillId="0" borderId="0" xfId="0" applyFont="1" applyBorder="1" applyAlignment="1">
      <alignment horizontal="center" vertical="center"/>
    </xf>
    <xf numFmtId="0" fontId="29" fillId="0" borderId="0" xfId="0" applyFont="1" applyAlignment="1">
      <alignment horizontal="center" vertical="center"/>
    </xf>
    <xf numFmtId="0" fontId="22" fillId="0" borderId="0" xfId="0" applyFont="1" applyBorder="1" applyAlignment="1">
      <alignment horizontal="right" vertical="center"/>
    </xf>
    <xf numFmtId="0" fontId="45" fillId="0" borderId="0" xfId="0" applyFont="1" applyAlignment="1">
      <alignment horizontal="left" vertical="center"/>
    </xf>
    <xf numFmtId="0" fontId="35" fillId="0" borderId="0" xfId="0" applyFont="1"/>
    <xf numFmtId="0" fontId="126" fillId="0" borderId="2" xfId="0" quotePrefix="1" applyFont="1" applyBorder="1" applyAlignment="1">
      <alignment horizontal="right" vertical="center"/>
    </xf>
    <xf numFmtId="0" fontId="126" fillId="0" borderId="2" xfId="0" applyFont="1" applyBorder="1" applyAlignment="1">
      <alignment horizontal="right" vertical="center"/>
    </xf>
    <xf numFmtId="172" fontId="127" fillId="0" borderId="0" xfId="0" quotePrefix="1" applyNumberFormat="1" applyFont="1" applyAlignment="1">
      <alignment horizontal="center" vertical="center"/>
    </xf>
    <xf numFmtId="0" fontId="24" fillId="0" borderId="6" xfId="0" applyFont="1" applyBorder="1" applyAlignment="1">
      <alignment horizontal="center" vertical="center"/>
    </xf>
    <xf numFmtId="164" fontId="22" fillId="0" borderId="2" xfId="2" quotePrefix="1" applyNumberFormat="1" applyFont="1" applyBorder="1" applyAlignment="1">
      <alignment horizontal="center" vertical="center"/>
    </xf>
    <xf numFmtId="164" fontId="5" fillId="0" borderId="0" xfId="0" applyNumberFormat="1" applyFont="1"/>
    <xf numFmtId="0" fontId="128" fillId="0" borderId="0" xfId="0" quotePrefix="1" applyFont="1" applyAlignment="1">
      <alignment horizontal="center" vertical="center"/>
    </xf>
    <xf numFmtId="0" fontId="129" fillId="0" borderId="0" xfId="0" applyFont="1"/>
    <xf numFmtId="0" fontId="23"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123" fillId="0" borderId="0" xfId="0" applyFont="1" applyAlignment="1">
      <alignment horizontal="left" vertical="center"/>
    </xf>
    <xf numFmtId="0" fontId="131" fillId="0" borderId="5" xfId="0" applyFont="1" applyBorder="1" applyAlignment="1">
      <alignment horizontal="center" vertical="center"/>
    </xf>
    <xf numFmtId="0" fontId="131" fillId="0" borderId="5" xfId="0" applyFont="1" applyBorder="1" applyAlignment="1">
      <alignment horizontal="center" vertical="center" wrapText="1"/>
    </xf>
    <xf numFmtId="0" fontId="111" fillId="0" borderId="0" xfId="0" applyFont="1"/>
    <xf numFmtId="0" fontId="89" fillId="0" borderId="2" xfId="0" applyFont="1" applyBorder="1"/>
    <xf numFmtId="0" fontId="5" fillId="0" borderId="0" xfId="0" applyFont="1"/>
    <xf numFmtId="0" fontId="103" fillId="0" borderId="2" xfId="0" quotePrefix="1" applyFont="1" applyBorder="1" applyAlignment="1">
      <alignment readingOrder="2"/>
    </xf>
    <xf numFmtId="0" fontId="18" fillId="0" borderId="9" xfId="0" applyFont="1" applyBorder="1"/>
    <xf numFmtId="0" fontId="111" fillId="0" borderId="0" xfId="0" applyFont="1" applyBorder="1"/>
    <xf numFmtId="0" fontId="111" fillId="0" borderId="2" xfId="0" applyFont="1" applyBorder="1"/>
    <xf numFmtId="0" fontId="5" fillId="0" borderId="2" xfId="0" applyFont="1" applyBorder="1"/>
    <xf numFmtId="0" fontId="21" fillId="0" borderId="2" xfId="0" applyFont="1" applyBorder="1"/>
    <xf numFmtId="171" fontId="24" fillId="0" borderId="7" xfId="0" quotePrefix="1" applyNumberFormat="1" applyFont="1" applyBorder="1" applyAlignment="1">
      <alignment horizontal="center"/>
    </xf>
    <xf numFmtId="0" fontId="27" fillId="0" borderId="15" xfId="0" applyFont="1" applyBorder="1" applyAlignment="1">
      <alignment horizontal="center"/>
    </xf>
    <xf numFmtId="0" fontId="18" fillId="0" borderId="15" xfId="0" applyFont="1" applyBorder="1"/>
    <xf numFmtId="0" fontId="24" fillId="0" borderId="7" xfId="0" applyFont="1" applyBorder="1" applyAlignment="1">
      <alignment horizontal="center"/>
    </xf>
    <xf numFmtId="17" fontId="27" fillId="0" borderId="15" xfId="0" quotePrefix="1" applyNumberFormat="1" applyFont="1" applyBorder="1" applyAlignment="1">
      <alignment horizontal="center"/>
    </xf>
    <xf numFmtId="0" fontId="27" fillId="0" borderId="15" xfId="0" quotePrefix="1" applyFont="1" applyBorder="1" applyAlignment="1">
      <alignment horizontal="center"/>
    </xf>
    <xf numFmtId="0" fontId="92" fillId="0" borderId="0" xfId="0" applyFont="1" applyBorder="1"/>
    <xf numFmtId="0" fontId="132" fillId="0" borderId="0" xfId="0" applyFont="1" applyAlignment="1">
      <alignment horizontal="left"/>
    </xf>
    <xf numFmtId="0" fontId="132" fillId="0" borderId="0" xfId="0" quotePrefix="1" applyFont="1" applyAlignment="1">
      <alignment horizontal="right"/>
    </xf>
    <xf numFmtId="0" fontId="132" fillId="0" borderId="0" xfId="0" applyFont="1" applyAlignment="1">
      <alignment horizontal="right"/>
    </xf>
    <xf numFmtId="171" fontId="72" fillId="0" borderId="0" xfId="0" applyNumberFormat="1" applyFont="1" applyAlignment="1">
      <alignment horizontal="right"/>
    </xf>
    <xf numFmtId="0" fontId="24" fillId="0" borderId="0" xfId="0" applyFont="1" applyAlignment="1">
      <alignment horizontal="centerContinuous"/>
    </xf>
    <xf numFmtId="0" fontId="26" fillId="0" borderId="2" xfId="0" applyFont="1" applyBorder="1" applyAlignment="1">
      <alignment horizontal="centerContinuous"/>
    </xf>
    <xf numFmtId="0" fontId="134" fillId="0" borderId="0" xfId="0" applyFont="1" applyBorder="1" applyAlignment="1">
      <alignment horizontal="center" wrapText="1"/>
    </xf>
    <xf numFmtId="0" fontId="135" fillId="0" borderId="14" xfId="0" applyFont="1" applyBorder="1" applyAlignment="1">
      <alignment horizontal="center" vertical="center"/>
    </xf>
    <xf numFmtId="164" fontId="24" fillId="0" borderId="12" xfId="2" applyNumberFormat="1" applyFont="1" applyBorder="1" applyAlignment="1">
      <alignment horizontal="center" vertical="center"/>
    </xf>
    <xf numFmtId="43" fontId="24" fillId="0" borderId="0" xfId="2" applyFont="1" applyAlignment="1">
      <alignment horizontal="center" vertical="center"/>
    </xf>
    <xf numFmtId="0" fontId="121" fillId="0" borderId="0" xfId="0" applyFont="1"/>
    <xf numFmtId="0" fontId="136" fillId="0" borderId="0" xfId="0" quotePrefix="1" applyFont="1" applyAlignment="1">
      <alignment horizontal="right" vertical="center"/>
    </xf>
    <xf numFmtId="0" fontId="24" fillId="0" borderId="0" xfId="0" applyFont="1" applyAlignment="1">
      <alignment horizontal="right" vertical="center"/>
    </xf>
    <xf numFmtId="0" fontId="137" fillId="0" borderId="0" xfId="0" quotePrefix="1" applyFont="1" applyAlignment="1">
      <alignment horizontal="left"/>
    </xf>
    <xf numFmtId="0" fontId="139" fillId="0" borderId="0" xfId="0" applyFont="1" applyFill="1"/>
    <xf numFmtId="0" fontId="140" fillId="0" borderId="0" xfId="0" applyFont="1" applyFill="1" applyAlignment="1">
      <alignment horizontal="center" vertical="center"/>
    </xf>
    <xf numFmtId="0" fontId="127" fillId="0" borderId="0" xfId="0" quotePrefix="1" applyFont="1" applyFill="1" applyAlignment="1">
      <alignment horizontal="right" vertical="center"/>
    </xf>
    <xf numFmtId="0" fontId="127" fillId="0" borderId="0" xfId="0" applyFont="1" applyFill="1" applyAlignment="1">
      <alignment horizontal="center" vertical="center"/>
    </xf>
    <xf numFmtId="0" fontId="127" fillId="0" borderId="0" xfId="0" applyFont="1" applyFill="1"/>
    <xf numFmtId="0" fontId="127" fillId="0" borderId="0" xfId="0" applyFont="1" applyFill="1" applyAlignment="1">
      <alignment horizontal="left" vertical="center"/>
    </xf>
    <xf numFmtId="0" fontId="127" fillId="0" borderId="0" xfId="0" quotePrefix="1" applyFont="1" applyFill="1" applyAlignment="1">
      <alignment horizontal="center" vertical="center"/>
    </xf>
    <xf numFmtId="0" fontId="127" fillId="0" borderId="0" xfId="0" applyFont="1" applyFill="1" applyAlignment="1">
      <alignment horizontal="center"/>
    </xf>
    <xf numFmtId="0" fontId="127" fillId="0" borderId="0" xfId="0" applyFont="1" applyFill="1" applyAlignment="1">
      <alignment horizontal="centerContinuous" vertical="center"/>
    </xf>
    <xf numFmtId="0" fontId="127" fillId="0" borderId="34" xfId="0" applyFont="1" applyFill="1" applyBorder="1" applyAlignment="1">
      <alignment horizontal="centerContinuous" vertical="center"/>
    </xf>
    <xf numFmtId="0" fontId="127" fillId="0" borderId="13" xfId="0" applyFont="1" applyFill="1" applyBorder="1" applyAlignment="1">
      <alignment horizontal="center" vertical="center"/>
    </xf>
    <xf numFmtId="0" fontId="127" fillId="0" borderId="34" xfId="0" applyFont="1" applyFill="1" applyBorder="1" applyAlignment="1">
      <alignment horizontal="center" vertical="center"/>
    </xf>
    <xf numFmtId="0" fontId="127" fillId="0" borderId="35" xfId="0" applyFont="1" applyFill="1" applyBorder="1"/>
    <xf numFmtId="172" fontId="15" fillId="0" borderId="13" xfId="0" applyNumberFormat="1" applyFont="1" applyFill="1" applyBorder="1" applyAlignment="1">
      <alignment horizontal="center" vertical="center"/>
    </xf>
    <xf numFmtId="0" fontId="127" fillId="0" borderId="13" xfId="0" quotePrefix="1" applyFont="1" applyFill="1" applyBorder="1" applyAlignment="1">
      <alignment horizontal="center" vertical="center"/>
    </xf>
    <xf numFmtId="0" fontId="139" fillId="0" borderId="0" xfId="0" applyFont="1" applyFill="1" applyAlignment="1">
      <alignment horizontal="center" vertical="center"/>
    </xf>
    <xf numFmtId="0" fontId="141" fillId="0" borderId="13" xfId="0" applyFont="1" applyFill="1" applyBorder="1" applyAlignment="1">
      <alignment horizontal="centerContinuous" vertical="center"/>
    </xf>
    <xf numFmtId="0" fontId="141" fillId="0" borderId="37" xfId="0" quotePrefix="1" applyFont="1" applyFill="1" applyBorder="1" applyAlignment="1">
      <alignment horizontal="centerContinuous" vertical="center"/>
    </xf>
    <xf numFmtId="0" fontId="141" fillId="0" borderId="38" xfId="0" applyFont="1" applyFill="1" applyBorder="1" applyAlignment="1">
      <alignment horizontal="centerContinuous" vertical="center"/>
    </xf>
    <xf numFmtId="43" fontId="28" fillId="0" borderId="0" xfId="2" applyFont="1" applyBorder="1" applyAlignment="1">
      <alignment vertical="center"/>
    </xf>
    <xf numFmtId="0" fontId="127" fillId="0" borderId="0" xfId="0" applyFont="1" applyBorder="1"/>
    <xf numFmtId="171" fontId="120" fillId="0" borderId="0" xfId="0" applyNumberFormat="1" applyFont="1" applyAlignment="1">
      <alignment horizontal="left" vertical="center"/>
    </xf>
    <xf numFmtId="164" fontId="22" fillId="0" borderId="2" xfId="2" applyNumberFormat="1" applyFont="1" applyBorder="1" applyAlignment="1">
      <alignment horizontal="center" vertical="center"/>
    </xf>
    <xf numFmtId="0" fontId="5" fillId="0" borderId="0" xfId="0" applyFont="1" applyAlignment="1">
      <alignment horizontal="center"/>
    </xf>
    <xf numFmtId="0" fontId="97" fillId="0" borderId="0" xfId="0" applyFont="1" applyFill="1" applyAlignment="1">
      <alignment horizontal="right"/>
    </xf>
    <xf numFmtId="0" fontId="0" fillId="0" borderId="0" xfId="0" applyBorder="1" applyAlignment="1">
      <alignment horizontal="right"/>
    </xf>
    <xf numFmtId="0" fontId="98" fillId="0" borderId="0" xfId="0" applyFont="1" applyFill="1" applyAlignment="1">
      <alignment horizontal="right"/>
    </xf>
    <xf numFmtId="0" fontId="99" fillId="0" borderId="0" xfId="0" applyFont="1" applyFill="1" applyAlignment="1">
      <alignment horizontal="right"/>
    </xf>
    <xf numFmtId="0" fontId="99" fillId="0" borderId="0" xfId="0" applyFont="1" applyAlignment="1">
      <alignment horizontal="right"/>
    </xf>
    <xf numFmtId="0" fontId="3" fillId="0" borderId="0" xfId="0" applyFont="1" applyAlignment="1">
      <alignment horizontal="right"/>
    </xf>
    <xf numFmtId="0" fontId="4" fillId="0" borderId="0" xfId="0" applyFont="1" applyFill="1"/>
    <xf numFmtId="49" fontId="131" fillId="0" borderId="5" xfId="0" applyNumberFormat="1" applyFont="1" applyBorder="1" applyAlignment="1">
      <alignment horizontal="center" vertical="center" wrapText="1"/>
    </xf>
    <xf numFmtId="176" fontId="131" fillId="0" borderId="5" xfId="0" applyNumberFormat="1" applyFont="1" applyBorder="1" applyAlignment="1">
      <alignment horizontal="center" vertical="center"/>
    </xf>
    <xf numFmtId="0" fontId="0" fillId="0" borderId="0" xfId="0" applyAlignment="1">
      <alignment vertical="center"/>
    </xf>
    <xf numFmtId="0" fontId="18" fillId="0" borderId="0" xfId="0" applyFont="1" applyAlignment="1">
      <alignment vertical="center"/>
    </xf>
    <xf numFmtId="0" fontId="14" fillId="0" borderId="0" xfId="0" applyFont="1" applyAlignment="1"/>
    <xf numFmtId="173" fontId="24" fillId="0" borderId="0" xfId="2" applyNumberFormat="1" applyFont="1" applyBorder="1" applyAlignment="1">
      <alignment horizontal="center"/>
    </xf>
    <xf numFmtId="171" fontId="24" fillId="0" borderId="7" xfId="0" quotePrefix="1" applyNumberFormat="1" applyFont="1" applyBorder="1" applyAlignment="1">
      <alignment horizontal="center" vertical="center"/>
    </xf>
    <xf numFmtId="0" fontId="27" fillId="0" borderId="15" xfId="0" applyFont="1" applyBorder="1" applyAlignment="1">
      <alignment horizontal="center" vertical="center"/>
    </xf>
    <xf numFmtId="0" fontId="18" fillId="0" borderId="15" xfId="0" applyFont="1" applyBorder="1" applyAlignment="1">
      <alignment horizontal="center" vertical="center"/>
    </xf>
    <xf numFmtId="173" fontId="24" fillId="0" borderId="0" xfId="2" applyNumberFormat="1" applyFont="1" applyBorder="1" applyAlignment="1">
      <alignment horizontal="center" vertical="center"/>
    </xf>
    <xf numFmtId="0" fontId="0" fillId="0" borderId="10" xfId="0" applyBorder="1"/>
    <xf numFmtId="0" fontId="0" fillId="0" borderId="9" xfId="0" applyBorder="1"/>
    <xf numFmtId="2" fontId="26" fillId="0" borderId="0" xfId="0" applyNumberFormat="1" applyFont="1" applyBorder="1" applyAlignment="1">
      <alignment vertical="center"/>
    </xf>
    <xf numFmtId="0" fontId="119" fillId="0" borderId="0" xfId="0" applyFont="1" applyBorder="1" applyAlignment="1">
      <alignment horizontal="left" vertical="center"/>
    </xf>
    <xf numFmtId="0" fontId="3" fillId="0" borderId="14" xfId="0" applyFont="1" applyBorder="1" applyAlignment="1">
      <alignment horizontal="right" vertical="center"/>
    </xf>
    <xf numFmtId="0" fontId="3" fillId="0" borderId="3" xfId="0" applyFont="1" applyBorder="1" applyAlignment="1">
      <alignment vertical="center"/>
    </xf>
    <xf numFmtId="164" fontId="24" fillId="0" borderId="2" xfId="2" applyNumberFormat="1" applyFont="1" applyBorder="1" applyAlignment="1">
      <alignment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119" fillId="0" borderId="2" xfId="0" applyFont="1" applyBorder="1" applyAlignment="1">
      <alignment vertical="center"/>
    </xf>
    <xf numFmtId="0" fontId="119" fillId="0" borderId="12" xfId="0" applyFont="1" applyBorder="1" applyAlignment="1">
      <alignment horizontal="center" vertical="center"/>
    </xf>
    <xf numFmtId="0" fontId="119" fillId="0" borderId="14" xfId="0" applyFont="1" applyBorder="1" applyAlignment="1">
      <alignment horizontal="right" vertical="center"/>
    </xf>
    <xf numFmtId="0" fontId="127" fillId="0" borderId="39" xfId="0" applyFont="1" applyFill="1" applyBorder="1" applyAlignment="1">
      <alignment vertical="center"/>
    </xf>
    <xf numFmtId="0" fontId="127" fillId="0" borderId="38" xfId="0" applyFont="1" applyFill="1" applyBorder="1" applyAlignment="1">
      <alignment vertical="center"/>
    </xf>
    <xf numFmtId="172" fontId="142" fillId="0" borderId="0" xfId="0" applyNumberFormat="1" applyFont="1" applyFill="1" applyBorder="1" applyAlignment="1">
      <alignment horizontal="center" vertical="center" wrapText="1"/>
    </xf>
    <xf numFmtId="0" fontId="142" fillId="0" borderId="0" xfId="0" applyFont="1" applyFill="1" applyBorder="1" applyAlignment="1">
      <alignment horizontal="center" vertical="center"/>
    </xf>
    <xf numFmtId="175" fontId="142" fillId="0" borderId="41" xfId="0" applyNumberFormat="1" applyFont="1" applyFill="1" applyBorder="1" applyAlignment="1">
      <alignment horizontal="center" vertical="center"/>
    </xf>
    <xf numFmtId="172" fontId="127" fillId="0" borderId="0" xfId="0" applyNumberFormat="1" applyFont="1" applyFill="1" applyBorder="1" applyAlignment="1">
      <alignment horizontal="centerContinuous" vertical="center"/>
    </xf>
    <xf numFmtId="0" fontId="127" fillId="0" borderId="36" xfId="0" applyFont="1" applyFill="1" applyBorder="1"/>
    <xf numFmtId="0" fontId="127" fillId="0" borderId="42" xfId="0" applyFont="1" applyFill="1" applyBorder="1"/>
    <xf numFmtId="172" fontId="127" fillId="0" borderId="37" xfId="0" applyNumberFormat="1" applyFont="1" applyFill="1" applyBorder="1"/>
    <xf numFmtId="0" fontId="127" fillId="0" borderId="37" xfId="0" applyFont="1" applyFill="1" applyBorder="1"/>
    <xf numFmtId="0" fontId="127" fillId="0" borderId="43" xfId="0" applyFont="1" applyFill="1" applyBorder="1"/>
    <xf numFmtId="0" fontId="139" fillId="0" borderId="38" xfId="0" applyFont="1" applyFill="1" applyBorder="1" applyAlignment="1">
      <alignment horizontal="center"/>
    </xf>
    <xf numFmtId="172" fontId="127" fillId="0" borderId="37" xfId="0" applyNumberFormat="1" applyFont="1" applyFill="1" applyBorder="1" applyAlignment="1">
      <alignment horizontal="centerContinuous" vertical="center"/>
    </xf>
    <xf numFmtId="172" fontId="139" fillId="0" borderId="38" xfId="0" applyNumberFormat="1" applyFont="1" applyFill="1" applyBorder="1"/>
    <xf numFmtId="0" fontId="127" fillId="0" borderId="44" xfId="0" applyFont="1" applyFill="1" applyBorder="1"/>
    <xf numFmtId="0" fontId="0" fillId="0" borderId="44" xfId="0" applyBorder="1"/>
    <xf numFmtId="49" fontId="26" fillId="0" borderId="2" xfId="0" applyNumberFormat="1" applyFont="1" applyBorder="1" applyAlignment="1">
      <alignment horizontal="center" vertical="center"/>
    </xf>
    <xf numFmtId="43" fontId="23" fillId="0" borderId="0" xfId="0" applyNumberFormat="1" applyFont="1" applyBorder="1" applyAlignment="1">
      <alignment horizontal="center" vertical="center"/>
    </xf>
    <xf numFmtId="0" fontId="26" fillId="0" borderId="0" xfId="0" applyFont="1" applyBorder="1" applyAlignment="1">
      <alignment horizontal="center"/>
    </xf>
    <xf numFmtId="164" fontId="24" fillId="0" borderId="0" xfId="2" applyNumberFormat="1" applyFont="1" applyBorder="1" applyAlignment="1">
      <alignment horizontal="center" vertical="center"/>
    </xf>
    <xf numFmtId="0" fontId="143" fillId="4" borderId="2" xfId="5" applyFont="1" applyFill="1" applyBorder="1" applyAlignment="1">
      <alignment horizontal="center" vertical="center" wrapText="1"/>
    </xf>
    <xf numFmtId="0" fontId="3" fillId="0" borderId="0" xfId="5" applyFont="1" applyBorder="1" applyAlignment="1">
      <alignment horizontal="center" vertical="center" wrapText="1"/>
    </xf>
    <xf numFmtId="0" fontId="3" fillId="0" borderId="0" xfId="5" applyFont="1" applyFill="1" applyBorder="1" applyAlignment="1">
      <alignment horizontal="center" vertical="center" wrapText="1"/>
    </xf>
    <xf numFmtId="168" fontId="4" fillId="0" borderId="0" xfId="5" quotePrefix="1" applyNumberFormat="1" applyFont="1" applyAlignment="1">
      <alignment horizontal="center"/>
    </xf>
    <xf numFmtId="49" fontId="4" fillId="0" borderId="0" xfId="5" applyNumberFormat="1" applyFont="1"/>
    <xf numFmtId="49" fontId="4" fillId="0" borderId="0" xfId="5" applyNumberFormat="1" applyFont="1" applyAlignment="1">
      <alignment horizontal="center"/>
    </xf>
    <xf numFmtId="0" fontId="4" fillId="0" borderId="0" xfId="5" applyFont="1" applyAlignment="1">
      <alignment horizontal="center"/>
    </xf>
    <xf numFmtId="165" fontId="144" fillId="0" borderId="0" xfId="5" applyNumberFormat="1" applyFont="1" applyFill="1" applyBorder="1" applyAlignment="1">
      <alignment horizontal="center" vertical="center"/>
    </xf>
    <xf numFmtId="0" fontId="4" fillId="0" borderId="0" xfId="5" applyFont="1"/>
    <xf numFmtId="9" fontId="8" fillId="0" borderId="0" xfId="5" applyNumberFormat="1"/>
    <xf numFmtId="0" fontId="8" fillId="0" borderId="0" xfId="5"/>
    <xf numFmtId="9" fontId="8" fillId="0" borderId="1" xfId="5" applyNumberFormat="1" applyBorder="1"/>
    <xf numFmtId="0" fontId="8" fillId="0" borderId="0" xfId="5" applyFill="1" applyBorder="1"/>
    <xf numFmtId="0" fontId="145" fillId="0" borderId="37" xfId="6" applyFont="1" applyFill="1" applyBorder="1" applyAlignment="1">
      <alignment vertical="center"/>
    </xf>
    <xf numFmtId="0" fontId="145" fillId="0" borderId="53" xfId="6" applyFont="1" applyFill="1" applyBorder="1" applyAlignment="1">
      <alignment vertical="center"/>
    </xf>
    <xf numFmtId="0" fontId="4" fillId="0" borderId="0" xfId="5" applyFont="1" applyBorder="1"/>
    <xf numFmtId="0" fontId="146" fillId="5" borderId="55" xfId="6" applyFont="1" applyFill="1" applyBorder="1" applyAlignment="1">
      <alignment horizontal="center" vertical="center"/>
    </xf>
    <xf numFmtId="0" fontId="146" fillId="5" borderId="56" xfId="6" applyFont="1" applyFill="1" applyBorder="1" applyAlignment="1">
      <alignment horizontal="center" vertical="center"/>
    </xf>
    <xf numFmtId="0" fontId="146" fillId="5" borderId="16" xfId="6" applyFont="1" applyFill="1" applyBorder="1" applyAlignment="1">
      <alignment vertical="center"/>
    </xf>
    <xf numFmtId="0" fontId="146" fillId="5" borderId="56" xfId="6" applyFont="1" applyFill="1" applyBorder="1" applyAlignment="1">
      <alignment vertical="center"/>
    </xf>
    <xf numFmtId="0" fontId="146" fillId="5" borderId="57" xfId="6" applyFont="1" applyFill="1" applyBorder="1" applyAlignment="1">
      <alignment horizontal="center" vertical="center"/>
    </xf>
    <xf numFmtId="0" fontId="146" fillId="5" borderId="57" xfId="6" applyFont="1" applyFill="1" applyBorder="1" applyAlignment="1">
      <alignment vertical="center"/>
    </xf>
    <xf numFmtId="0" fontId="146" fillId="5" borderId="58" xfId="6" applyFont="1" applyFill="1" applyBorder="1" applyAlignment="1">
      <alignment horizontal="center" vertical="center"/>
    </xf>
    <xf numFmtId="0" fontId="147" fillId="0" borderId="13" xfId="6" applyFont="1" applyBorder="1" applyAlignment="1">
      <alignment horizontal="center"/>
    </xf>
    <xf numFmtId="0" fontId="147" fillId="0" borderId="59" xfId="6" applyFont="1" applyBorder="1" applyAlignment="1">
      <alignment horizontal="center"/>
    </xf>
    <xf numFmtId="0" fontId="147" fillId="0" borderId="60" xfId="6" applyFont="1" applyBorder="1" applyAlignment="1">
      <alignment horizontal="center"/>
    </xf>
    <xf numFmtId="0" fontId="147" fillId="0" borderId="35" xfId="6" applyFont="1" applyBorder="1" applyAlignment="1">
      <alignment horizontal="center"/>
    </xf>
    <xf numFmtId="0" fontId="147" fillId="0" borderId="61" xfId="6" applyFont="1" applyBorder="1" applyAlignment="1">
      <alignment horizontal="center"/>
    </xf>
    <xf numFmtId="0" fontId="147" fillId="0" borderId="62" xfId="6" applyFont="1" applyBorder="1" applyAlignment="1">
      <alignment horizontal="center"/>
    </xf>
    <xf numFmtId="0" fontId="147" fillId="0" borderId="38" xfId="6" applyFont="1" applyBorder="1" applyAlignment="1">
      <alignment horizontal="center"/>
    </xf>
    <xf numFmtId="0" fontId="147" fillId="0" borderId="40" xfId="6" applyFont="1" applyBorder="1" applyAlignment="1">
      <alignment horizontal="center"/>
    </xf>
    <xf numFmtId="0" fontId="147" fillId="0" borderId="53" xfId="6" applyFont="1" applyBorder="1" applyAlignment="1">
      <alignment horizontal="center"/>
    </xf>
    <xf numFmtId="0" fontId="147" fillId="0" borderId="0" xfId="6" applyFont="1" applyBorder="1" applyAlignment="1">
      <alignment horizontal="center"/>
    </xf>
    <xf numFmtId="0" fontId="147" fillId="0" borderId="42" xfId="6" applyFont="1" applyBorder="1" applyAlignment="1">
      <alignment horizontal="center"/>
    </xf>
    <xf numFmtId="0" fontId="147" fillId="0" borderId="37" xfId="6" applyFont="1" applyBorder="1" applyAlignment="1">
      <alignment horizontal="center"/>
    </xf>
    <xf numFmtId="0" fontId="147" fillId="0" borderId="34" xfId="6" applyFont="1" applyBorder="1" applyAlignment="1">
      <alignment horizontal="center"/>
    </xf>
    <xf numFmtId="0" fontId="4" fillId="2" borderId="0" xfId="5" applyFont="1" applyFill="1" applyAlignment="1">
      <alignment horizontal="center"/>
    </xf>
    <xf numFmtId="0" fontId="4" fillId="2" borderId="0" xfId="5" applyFont="1" applyFill="1" applyBorder="1" applyAlignment="1">
      <alignment horizontal="center"/>
    </xf>
    <xf numFmtId="0" fontId="4" fillId="0" borderId="0" xfId="5" applyFont="1" applyFill="1" applyBorder="1" applyAlignment="1">
      <alignment horizontal="center"/>
    </xf>
    <xf numFmtId="168" fontId="4" fillId="0" borderId="1" xfId="5" quotePrefix="1" applyNumberFormat="1" applyFont="1" applyBorder="1" applyAlignment="1">
      <alignment horizontal="center"/>
    </xf>
    <xf numFmtId="49" fontId="4" fillId="0" borderId="1" xfId="5" applyNumberFormat="1" applyFont="1" applyBorder="1"/>
    <xf numFmtId="49" fontId="4" fillId="0" borderId="1" xfId="5" applyNumberFormat="1" applyFont="1" applyBorder="1" applyAlignment="1">
      <alignment horizontal="center"/>
    </xf>
    <xf numFmtId="0" fontId="4" fillId="0" borderId="1" xfId="5" applyFont="1" applyBorder="1" applyAlignment="1">
      <alignment horizontal="center"/>
    </xf>
    <xf numFmtId="0" fontId="4" fillId="0" borderId="1" xfId="5" applyFont="1" applyBorder="1"/>
    <xf numFmtId="0" fontId="8" fillId="0" borderId="1" xfId="5" applyBorder="1"/>
    <xf numFmtId="9" fontId="8" fillId="0" borderId="0" xfId="5" applyNumberFormat="1" applyFill="1" applyBorder="1"/>
    <xf numFmtId="168" fontId="4" fillId="0" borderId="0" xfId="5" applyNumberFormat="1" applyFont="1" applyBorder="1" applyAlignment="1">
      <alignment horizontal="center"/>
    </xf>
    <xf numFmtId="0" fontId="8" fillId="0" borderId="0" xfId="5" applyBorder="1"/>
    <xf numFmtId="0" fontId="8" fillId="0" borderId="0" xfId="5" applyBorder="1" applyAlignment="1">
      <alignment horizontal="center"/>
    </xf>
    <xf numFmtId="0" fontId="8" fillId="0" borderId="0" xfId="5" applyFont="1" applyFill="1" applyBorder="1"/>
    <xf numFmtId="0" fontId="4" fillId="0" borderId="0" xfId="5" applyFont="1" applyBorder="1" applyAlignment="1">
      <alignment horizontal="center"/>
    </xf>
    <xf numFmtId="168" fontId="4" fillId="0" borderId="0" xfId="5" applyNumberFormat="1" applyFont="1" applyAlignment="1">
      <alignment horizontal="center"/>
    </xf>
    <xf numFmtId="49" fontId="4" fillId="0" borderId="0" xfId="5" applyNumberFormat="1" applyFont="1" applyFill="1" applyBorder="1"/>
    <xf numFmtId="49" fontId="4" fillId="0" borderId="0" xfId="5" applyNumberFormat="1" applyFont="1" applyFill="1" applyBorder="1" applyAlignment="1">
      <alignment horizontal="center"/>
    </xf>
    <xf numFmtId="0" fontId="4" fillId="4" borderId="2" xfId="5" applyFont="1" applyFill="1" applyBorder="1" applyAlignment="1">
      <alignment horizontal="center" vertical="center" wrapText="1"/>
    </xf>
    <xf numFmtId="0" fontId="4" fillId="4" borderId="2" xfId="5" applyFont="1" applyFill="1" applyBorder="1" applyAlignment="1">
      <alignment vertical="center" wrapText="1"/>
    </xf>
    <xf numFmtId="0" fontId="148" fillId="4" borderId="2" xfId="5" applyFont="1" applyFill="1" applyBorder="1" applyAlignment="1">
      <alignment vertical="center" wrapText="1"/>
    </xf>
    <xf numFmtId="0" fontId="148" fillId="4" borderId="2" xfId="5" applyFont="1" applyFill="1" applyBorder="1" applyAlignment="1">
      <alignment horizontal="center" vertical="center" wrapText="1"/>
    </xf>
    <xf numFmtId="0" fontId="148" fillId="4" borderId="14" xfId="5" applyFont="1" applyFill="1" applyBorder="1" applyAlignment="1">
      <alignment horizontal="center" vertical="center" wrapText="1"/>
    </xf>
    <xf numFmtId="0" fontId="4" fillId="0" borderId="0" xfId="5" applyFont="1" applyAlignment="1">
      <alignment vertical="center" wrapText="1"/>
    </xf>
    <xf numFmtId="168" fontId="6" fillId="4" borderId="2" xfId="5" applyNumberFormat="1" applyFont="1" applyFill="1" applyBorder="1" applyAlignment="1">
      <alignment horizontal="center"/>
    </xf>
    <xf numFmtId="0" fontId="6" fillId="7" borderId="2" xfId="5" applyFont="1" applyFill="1" applyBorder="1"/>
    <xf numFmtId="0" fontId="6" fillId="0" borderId="2" xfId="5" applyFont="1" applyBorder="1" applyAlignment="1">
      <alignment horizontal="center"/>
    </xf>
    <xf numFmtId="43" fontId="149" fillId="0" borderId="2" xfId="5" applyNumberFormat="1" applyFont="1" applyBorder="1"/>
    <xf numFmtId="0" fontId="149" fillId="0" borderId="14" xfId="5" applyFont="1" applyBorder="1"/>
    <xf numFmtId="173" fontId="149" fillId="0" borderId="14" xfId="5" applyNumberFormat="1" applyFont="1" applyBorder="1" applyAlignment="1">
      <alignment horizontal="center" vertical="center"/>
    </xf>
    <xf numFmtId="0" fontId="6" fillId="0" borderId="0" xfId="5" applyFont="1"/>
    <xf numFmtId="0" fontId="6" fillId="0" borderId="5" xfId="5" applyFont="1" applyBorder="1" applyAlignment="1">
      <alignment horizontal="center"/>
    </xf>
    <xf numFmtId="43" fontId="149" fillId="0" borderId="5" xfId="5" applyNumberFormat="1" applyFont="1" applyBorder="1"/>
    <xf numFmtId="0" fontId="6" fillId="0" borderId="0" xfId="5" applyFont="1" applyBorder="1"/>
    <xf numFmtId="0" fontId="6" fillId="0" borderId="0" xfId="5" applyFont="1" applyAlignment="1">
      <alignment horizontal="center"/>
    </xf>
    <xf numFmtId="0" fontId="6" fillId="0" borderId="0" xfId="5" applyFont="1" applyBorder="1" applyAlignment="1">
      <alignment horizontal="right"/>
    </xf>
    <xf numFmtId="0" fontId="149" fillId="0" borderId="0" xfId="5" applyFont="1" applyAlignment="1">
      <alignment horizontal="center"/>
    </xf>
    <xf numFmtId="0" fontId="149" fillId="0" borderId="0" xfId="5" applyFont="1"/>
    <xf numFmtId="0" fontId="6" fillId="8" borderId="2" xfId="5" applyFont="1" applyFill="1" applyBorder="1" applyAlignment="1">
      <alignment horizontal="center"/>
    </xf>
    <xf numFmtId="0" fontId="6" fillId="8" borderId="0" xfId="5" applyFont="1" applyFill="1" applyAlignment="1">
      <alignment horizontal="center"/>
    </xf>
    <xf numFmtId="0" fontId="6" fillId="8" borderId="2" xfId="5" quotePrefix="1" applyFont="1" applyFill="1" applyBorder="1"/>
    <xf numFmtId="0" fontId="6" fillId="8" borderId="2" xfId="5" applyNumberFormat="1" applyFont="1" applyFill="1" applyBorder="1" applyAlignment="1">
      <alignment horizontal="center"/>
    </xf>
    <xf numFmtId="0" fontId="6" fillId="8" borderId="2" xfId="5" applyFont="1" applyFill="1" applyBorder="1"/>
    <xf numFmtId="0" fontId="6" fillId="0" borderId="0" xfId="5" applyFont="1" applyFill="1"/>
    <xf numFmtId="0" fontId="147" fillId="6" borderId="35" xfId="6" applyFont="1" applyFill="1" applyBorder="1" applyAlignment="1">
      <alignment horizontal="center" vertical="center"/>
    </xf>
    <xf numFmtId="0" fontId="147" fillId="6" borderId="62" xfId="6" applyFont="1" applyFill="1" applyBorder="1" applyAlignment="1">
      <alignment horizontal="center" vertical="center"/>
    </xf>
    <xf numFmtId="0" fontId="147" fillId="6" borderId="42" xfId="6" applyFont="1" applyFill="1" applyBorder="1" applyAlignment="1">
      <alignment horizontal="center" vertical="center"/>
    </xf>
    <xf numFmtId="0" fontId="147" fillId="6" borderId="53" xfId="6" applyFont="1" applyFill="1" applyBorder="1" applyAlignment="1">
      <alignment horizontal="center" vertical="center"/>
    </xf>
    <xf numFmtId="0" fontId="4" fillId="9" borderId="13" xfId="5" applyFont="1" applyFill="1" applyBorder="1" applyAlignment="1">
      <alignment horizontal="center"/>
    </xf>
    <xf numFmtId="0" fontId="4" fillId="9" borderId="40" xfId="5" applyFont="1" applyFill="1" applyBorder="1" applyAlignment="1">
      <alignment horizontal="center"/>
    </xf>
    <xf numFmtId="0" fontId="146" fillId="10" borderId="35" xfId="6" applyFont="1" applyFill="1" applyBorder="1" applyAlignment="1">
      <alignment horizontal="center" vertical="center"/>
    </xf>
    <xf numFmtId="0" fontId="4" fillId="10" borderId="13" xfId="5" applyFont="1" applyFill="1" applyBorder="1" applyAlignment="1">
      <alignment horizontal="center"/>
    </xf>
    <xf numFmtId="0" fontId="4" fillId="11" borderId="13" xfId="5" applyFont="1" applyFill="1" applyBorder="1" applyAlignment="1">
      <alignment horizontal="center"/>
    </xf>
    <xf numFmtId="0" fontId="3" fillId="10" borderId="13" xfId="5" applyFont="1" applyFill="1" applyBorder="1"/>
    <xf numFmtId="0" fontId="4" fillId="12" borderId="13" xfId="5" applyFont="1" applyFill="1" applyBorder="1" applyAlignment="1">
      <alignment horizontal="center"/>
    </xf>
    <xf numFmtId="0" fontId="150" fillId="0" borderId="37" xfId="6" applyFont="1" applyFill="1" applyBorder="1" applyAlignment="1">
      <alignment vertical="center"/>
    </xf>
    <xf numFmtId="0" fontId="150" fillId="0" borderId="43" xfId="6" applyFont="1" applyFill="1" applyBorder="1" applyAlignment="1">
      <alignment vertical="center"/>
    </xf>
    <xf numFmtId="2" fontId="149" fillId="13" borderId="2" xfId="7" applyFont="1" applyFill="1" applyBorder="1" applyAlignment="1">
      <alignment horizontal="right" vertical="center"/>
    </xf>
    <xf numFmtId="0" fontId="149" fillId="13" borderId="2" xfId="5" applyNumberFormat="1" applyFont="1" applyFill="1" applyBorder="1" applyAlignment="1">
      <alignment horizontal="center"/>
    </xf>
    <xf numFmtId="41" fontId="149" fillId="13" borderId="2" xfId="5" applyNumberFormat="1" applyFont="1" applyFill="1" applyBorder="1" applyAlignment="1">
      <alignment horizontal="center"/>
    </xf>
    <xf numFmtId="0" fontId="149" fillId="13" borderId="2" xfId="5" applyFont="1" applyFill="1" applyBorder="1" applyAlignment="1">
      <alignment horizontal="center"/>
    </xf>
    <xf numFmtId="43" fontId="149" fillId="13" borderId="2" xfId="5" applyNumberFormat="1" applyFont="1" applyFill="1" applyBorder="1"/>
    <xf numFmtId="43" fontId="149" fillId="13" borderId="2" xfId="5" quotePrefix="1" applyNumberFormat="1" applyFont="1" applyFill="1" applyBorder="1"/>
    <xf numFmtId="43" fontId="149" fillId="14" borderId="2" xfId="5" applyNumberFormat="1" applyFont="1" applyFill="1" applyBorder="1" applyAlignment="1">
      <alignment horizontal="center"/>
    </xf>
    <xf numFmtId="0" fontId="6" fillId="14" borderId="2" xfId="5" applyFont="1" applyFill="1" applyBorder="1" applyAlignment="1">
      <alignment horizontal="right" readingOrder="2"/>
    </xf>
    <xf numFmtId="0" fontId="149" fillId="13" borderId="2" xfId="5" quotePrefix="1" applyFont="1" applyFill="1" applyBorder="1" applyAlignment="1">
      <alignment horizontal="center"/>
    </xf>
    <xf numFmtId="43" fontId="149" fillId="13" borderId="2" xfId="5" applyNumberFormat="1" applyFont="1" applyFill="1" applyBorder="1" applyAlignment="1">
      <alignment horizontal="center"/>
    </xf>
    <xf numFmtId="0" fontId="155" fillId="13" borderId="2" xfId="5" applyFont="1" applyFill="1" applyBorder="1"/>
    <xf numFmtId="0" fontId="6" fillId="14" borderId="2" xfId="5" quotePrefix="1" applyFont="1" applyFill="1" applyBorder="1" applyAlignment="1">
      <alignment horizontal="right" readingOrder="2"/>
    </xf>
    <xf numFmtId="0" fontId="6" fillId="14" borderId="5" xfId="5" applyFont="1" applyFill="1" applyBorder="1" applyAlignment="1">
      <alignment horizontal="right" readingOrder="2"/>
    </xf>
    <xf numFmtId="0" fontId="155" fillId="13" borderId="2" xfId="5" applyFont="1" applyFill="1" applyBorder="1" applyAlignment="1">
      <alignment horizontal="center"/>
    </xf>
    <xf numFmtId="43" fontId="149" fillId="0" borderId="2" xfId="5" quotePrefix="1" applyNumberFormat="1" applyFont="1" applyBorder="1"/>
    <xf numFmtId="173" fontId="149" fillId="0" borderId="14" xfId="5" quotePrefix="1" applyNumberFormat="1" applyFont="1" applyBorder="1" applyAlignment="1">
      <alignment horizontal="center" vertical="center"/>
    </xf>
    <xf numFmtId="0" fontId="16" fillId="8" borderId="2" xfId="5" applyFont="1" applyFill="1" applyBorder="1" applyAlignment="1">
      <alignment vertical="center"/>
    </xf>
    <xf numFmtId="0" fontId="53" fillId="0" borderId="0" xfId="0" applyFont="1" applyAlignment="1">
      <alignment horizontal="center" vertical="center"/>
    </xf>
    <xf numFmtId="177" fontId="4" fillId="0" borderId="0" xfId="0" applyNumberFormat="1" applyFont="1" applyAlignment="1">
      <alignment horizontal="center"/>
    </xf>
    <xf numFmtId="0" fontId="4" fillId="0" borderId="0" xfId="0" applyFont="1" applyAlignment="1">
      <alignment horizontal="center"/>
    </xf>
    <xf numFmtId="0" fontId="158" fillId="0" borderId="0" xfId="0" applyNumberFormat="1" applyFont="1" applyFill="1" applyAlignment="1">
      <alignment horizontal="right" vertical="center"/>
    </xf>
    <xf numFmtId="174" fontId="8" fillId="0" borderId="0" xfId="5" applyNumberFormat="1"/>
    <xf numFmtId="0" fontId="36" fillId="0" borderId="4" xfId="5" quotePrefix="1" applyFont="1" applyFill="1" applyBorder="1" applyAlignment="1">
      <alignment horizontal="left" vertical="center"/>
    </xf>
    <xf numFmtId="0" fontId="36" fillId="0" borderId="4" xfId="5" quotePrefix="1" applyFont="1" applyFill="1" applyBorder="1" applyAlignment="1">
      <alignment horizontal="right" vertical="center"/>
    </xf>
    <xf numFmtId="0" fontId="36" fillId="0" borderId="0" xfId="5" quotePrefix="1" applyFont="1" applyFill="1" applyBorder="1" applyAlignment="1">
      <alignment horizontal="left" vertical="center"/>
    </xf>
    <xf numFmtId="0" fontId="17" fillId="0" borderId="0" xfId="5" applyFont="1" applyAlignment="1">
      <alignment horizontal="center" vertical="center"/>
    </xf>
    <xf numFmtId="0" fontId="51" fillId="0" borderId="0" xfId="5" applyFont="1" applyFill="1" applyAlignment="1">
      <alignment horizontal="center"/>
    </xf>
    <xf numFmtId="0" fontId="51" fillId="0" borderId="0" xfId="5" applyFont="1" applyFill="1"/>
    <xf numFmtId="0" fontId="52" fillId="0" borderId="0" xfId="5" applyFont="1" applyFill="1"/>
    <xf numFmtId="0" fontId="53" fillId="0" borderId="0" xfId="5" applyFont="1" applyFill="1"/>
    <xf numFmtId="0" fontId="17" fillId="0" borderId="0" xfId="5" applyFont="1"/>
    <xf numFmtId="43" fontId="127" fillId="0" borderId="0" xfId="5" applyNumberFormat="1" applyFont="1"/>
    <xf numFmtId="0" fontId="127" fillId="0" borderId="0" xfId="5" applyFont="1"/>
    <xf numFmtId="0" fontId="36" fillId="0" borderId="0" xfId="5" applyFont="1" applyFill="1" applyBorder="1" applyAlignment="1">
      <alignment horizontal="left" vertical="center"/>
    </xf>
    <xf numFmtId="0" fontId="36" fillId="0" borderId="0" xfId="5" applyFont="1" applyFill="1" applyBorder="1" applyAlignment="1">
      <alignment horizontal="right" vertical="center"/>
    </xf>
    <xf numFmtId="174" fontId="8" fillId="0" borderId="0" xfId="5" applyNumberFormat="1" applyFill="1"/>
    <xf numFmtId="0" fontId="31" fillId="0" borderId="0" xfId="5" applyFont="1" applyFill="1" applyAlignment="1">
      <alignment vertical="center"/>
    </xf>
    <xf numFmtId="170" fontId="8" fillId="0" borderId="0" xfId="5" applyNumberFormat="1" applyFill="1"/>
    <xf numFmtId="0" fontId="17" fillId="0" borderId="0" xfId="5" applyFont="1" applyFill="1" applyAlignment="1">
      <alignment horizontal="center" vertical="center"/>
    </xf>
    <xf numFmtId="0" fontId="8" fillId="0" borderId="0" xfId="5" applyFill="1"/>
    <xf numFmtId="0" fontId="17" fillId="0" borderId="0" xfId="5" applyFont="1" applyFill="1"/>
    <xf numFmtId="0" fontId="8" fillId="0" borderId="0" xfId="5" applyFill="1" applyAlignment="1">
      <alignment horizontal="center" vertical="center"/>
    </xf>
    <xf numFmtId="43" fontId="15" fillId="0" borderId="0" xfId="5" quotePrefix="1" applyNumberFormat="1" applyFont="1" applyAlignment="1">
      <alignment horizontal="center"/>
    </xf>
    <xf numFmtId="43" fontId="15" fillId="0" borderId="0" xfId="5" applyNumberFormat="1" applyFont="1" applyAlignment="1">
      <alignment horizontal="center"/>
    </xf>
    <xf numFmtId="0" fontId="31" fillId="0" borderId="0" xfId="5" applyFont="1" applyFill="1" applyAlignment="1">
      <alignment horizontal="left" vertical="center"/>
    </xf>
    <xf numFmtId="0" fontId="50" fillId="0" borderId="0" xfId="5" applyFont="1" applyFill="1" applyBorder="1" applyAlignment="1">
      <alignment horizontal="right" vertical="center"/>
    </xf>
    <xf numFmtId="0" fontId="33" fillId="0" borderId="0" xfId="5" applyFont="1" applyFill="1" applyBorder="1" applyAlignment="1">
      <alignment horizontal="right" vertical="center"/>
    </xf>
    <xf numFmtId="0" fontId="22" fillId="0" borderId="0" xfId="5" applyFont="1" applyFill="1"/>
    <xf numFmtId="0" fontId="8" fillId="0" borderId="0" xfId="5" applyFont="1" applyFill="1"/>
    <xf numFmtId="0" fontId="8" fillId="0" borderId="0" xfId="5" applyFont="1" applyFill="1" applyAlignment="1">
      <alignment horizontal="center"/>
    </xf>
    <xf numFmtId="0" fontId="29" fillId="0" borderId="0" xfId="5" applyFont="1" applyFill="1" applyAlignment="1">
      <alignment horizontal="left" vertical="center"/>
    </xf>
    <xf numFmtId="0" fontId="29" fillId="0" borderId="0" xfId="5" applyFont="1" applyFill="1"/>
    <xf numFmtId="0" fontId="29" fillId="0" borderId="0" xfId="5" applyFont="1" applyFill="1" applyAlignment="1">
      <alignment horizontal="center"/>
    </xf>
    <xf numFmtId="2" fontId="29" fillId="0" borderId="0" xfId="5" applyNumberFormat="1" applyFont="1" applyFill="1"/>
    <xf numFmtId="0" fontId="34" fillId="0" borderId="1" xfId="5" applyFont="1" applyFill="1" applyBorder="1"/>
    <xf numFmtId="0" fontId="29" fillId="0" borderId="1" xfId="5" applyFont="1" applyFill="1" applyBorder="1"/>
    <xf numFmtId="0" fontId="29" fillId="0" borderId="0" xfId="5" applyFont="1" applyFill="1" applyBorder="1"/>
    <xf numFmtId="0" fontId="29" fillId="0" borderId="0" xfId="5" applyFont="1" applyFill="1" applyBorder="1" applyAlignment="1">
      <alignment horizontal="center"/>
    </xf>
    <xf numFmtId="174" fontId="159" fillId="0" borderId="0" xfId="5" applyNumberFormat="1" applyFont="1" applyFill="1"/>
    <xf numFmtId="0" fontId="47" fillId="0" borderId="11" xfId="5" applyFont="1" applyFill="1" applyBorder="1" applyAlignment="1">
      <alignment horizontal="left" vertical="center"/>
    </xf>
    <xf numFmtId="0" fontId="36" fillId="0" borderId="3" xfId="5" quotePrefix="1" applyFont="1" applyFill="1" applyBorder="1" applyAlignment="1">
      <alignment horizontal="center" vertical="center"/>
    </xf>
    <xf numFmtId="0" fontId="159" fillId="0" borderId="3" xfId="5" applyFont="1" applyFill="1" applyBorder="1"/>
    <xf numFmtId="0" fontId="36" fillId="0" borderId="12" xfId="5" quotePrefix="1" applyFont="1" applyFill="1" applyBorder="1" applyAlignment="1">
      <alignment horizontal="right" vertical="center" readingOrder="2"/>
    </xf>
    <xf numFmtId="0" fontId="47" fillId="0" borderId="0" xfId="5" applyFont="1" applyFill="1" applyBorder="1"/>
    <xf numFmtId="0" fontId="47" fillId="0" borderId="0" xfId="5" applyFont="1" applyFill="1" applyBorder="1" applyAlignment="1">
      <alignment horizontal="center"/>
    </xf>
    <xf numFmtId="0" fontId="159" fillId="0" borderId="0" xfId="5" applyFont="1" applyFill="1"/>
    <xf numFmtId="0" fontId="47" fillId="0" borderId="0" xfId="5" applyFont="1" applyFill="1"/>
    <xf numFmtId="170" fontId="159" fillId="0" borderId="0" xfId="5" applyNumberFormat="1" applyFont="1" applyFill="1"/>
    <xf numFmtId="0" fontId="52" fillId="0" borderId="0" xfId="5" applyFont="1" applyFill="1" applyAlignment="1">
      <alignment horizontal="center" vertical="center"/>
    </xf>
    <xf numFmtId="0" fontId="159" fillId="0" borderId="0" xfId="5" applyFont="1" applyFill="1" applyAlignment="1">
      <alignment horizontal="center" vertical="center"/>
    </xf>
    <xf numFmtId="0" fontId="36" fillId="0" borderId="4" xfId="5" applyFont="1" applyFill="1" applyBorder="1" applyAlignment="1">
      <alignment horizontal="right" vertical="center"/>
    </xf>
    <xf numFmtId="0" fontId="47" fillId="0" borderId="0" xfId="5" applyFont="1" applyFill="1" applyBorder="1" applyAlignment="1">
      <alignment horizontal="right" vertical="center"/>
    </xf>
    <xf numFmtId="0" fontId="36" fillId="0" borderId="3" xfId="5" quotePrefix="1" applyFont="1" applyFill="1" applyBorder="1" applyAlignment="1">
      <alignment horizontal="right" vertical="center"/>
    </xf>
    <xf numFmtId="0" fontId="36" fillId="0" borderId="12" xfId="5" quotePrefix="1" applyFont="1" applyFill="1" applyBorder="1" applyAlignment="1">
      <alignment horizontal="right" vertical="center"/>
    </xf>
    <xf numFmtId="0" fontId="36" fillId="0" borderId="12" xfId="5" quotePrefix="1" applyFont="1" applyFill="1" applyBorder="1" applyAlignment="1">
      <alignment vertical="center"/>
    </xf>
    <xf numFmtId="0" fontId="159" fillId="0" borderId="1" xfId="5" applyFont="1" applyFill="1" applyBorder="1"/>
    <xf numFmtId="0" fontId="49" fillId="0" borderId="1" xfId="5" applyFont="1" applyFill="1" applyBorder="1" applyAlignment="1">
      <alignment horizontal="right" vertical="center"/>
    </xf>
    <xf numFmtId="2" fontId="36" fillId="0" borderId="0" xfId="5" applyNumberFormat="1" applyFont="1" applyFill="1" applyBorder="1" applyAlignment="1">
      <alignment vertical="center"/>
    </xf>
    <xf numFmtId="174" fontId="40" fillId="0" borderId="0" xfId="5" applyNumberFormat="1" applyFont="1" applyFill="1"/>
    <xf numFmtId="0" fontId="36" fillId="0" borderId="5" xfId="5" quotePrefix="1" applyFont="1" applyFill="1" applyBorder="1" applyAlignment="1">
      <alignment horizontal="center" vertical="center"/>
    </xf>
    <xf numFmtId="0" fontId="53" fillId="0" borderId="0" xfId="5" applyFont="1" applyFill="1" applyAlignment="1">
      <alignment horizontal="center" vertical="center"/>
    </xf>
    <xf numFmtId="0" fontId="160" fillId="0" borderId="0" xfId="5" applyFont="1" applyFill="1"/>
    <xf numFmtId="0" fontId="40" fillId="0" borderId="0" xfId="5" applyFont="1" applyFill="1"/>
    <xf numFmtId="0" fontId="40" fillId="0" borderId="0" xfId="5" applyFont="1" applyFill="1" applyAlignment="1">
      <alignment horizontal="center"/>
    </xf>
    <xf numFmtId="0" fontId="40" fillId="0" borderId="0" xfId="5" applyFont="1" applyFill="1" applyAlignment="1">
      <alignment horizontal="center" vertical="center"/>
    </xf>
    <xf numFmtId="174" fontId="37" fillId="0" borderId="2" xfId="8" quotePrefix="1" applyNumberFormat="1" applyFont="1" applyFill="1" applyBorder="1" applyAlignment="1">
      <alignment horizontal="center" vertical="center"/>
    </xf>
    <xf numFmtId="43" fontId="39" fillId="0" borderId="2" xfId="8" applyNumberFormat="1" applyFont="1" applyFill="1" applyBorder="1" applyAlignment="1">
      <alignment horizontal="center" vertical="center"/>
    </xf>
    <xf numFmtId="0" fontId="54" fillId="0" borderId="0" xfId="5" quotePrefix="1" applyNumberFormat="1" applyFont="1" applyFill="1" applyAlignment="1">
      <alignment horizontal="center" vertical="center"/>
    </xf>
    <xf numFmtId="49" fontId="41" fillId="0" borderId="0" xfId="5" applyNumberFormat="1" applyFont="1" applyFill="1"/>
    <xf numFmtId="49" fontId="41" fillId="0" borderId="0" xfId="5" applyNumberFormat="1" applyFont="1" applyFill="1" applyAlignment="1">
      <alignment horizontal="center"/>
    </xf>
    <xf numFmtId="49" fontId="54" fillId="0" borderId="0" xfId="5" applyNumberFormat="1" applyFont="1" applyFill="1"/>
    <xf numFmtId="49" fontId="54" fillId="0" borderId="0" xfId="5" applyNumberFormat="1" applyFont="1" applyFill="1" applyBorder="1"/>
    <xf numFmtId="49" fontId="41" fillId="0" borderId="0" xfId="5" applyNumberFormat="1" applyFont="1" applyFill="1" applyAlignment="1">
      <alignment horizontal="center" vertical="center"/>
    </xf>
    <xf numFmtId="0" fontId="8" fillId="0" borderId="0" xfId="5" applyAlignment="1">
      <alignment horizontal="center"/>
    </xf>
    <xf numFmtId="43" fontId="39" fillId="0" borderId="2" xfId="8" applyFont="1" applyFill="1" applyBorder="1" applyAlignment="1">
      <alignment horizontal="center" vertical="center"/>
    </xf>
    <xf numFmtId="0" fontId="40" fillId="0" borderId="13" xfId="5" applyFont="1" applyFill="1" applyBorder="1" applyAlignment="1">
      <alignment horizontal="center" vertical="center"/>
    </xf>
    <xf numFmtId="0" fontId="53" fillId="0" borderId="0" xfId="5" applyFont="1" applyFill="1" applyBorder="1"/>
    <xf numFmtId="2" fontId="40" fillId="0" borderId="0" xfId="5" applyNumberFormat="1" applyFont="1" applyFill="1"/>
    <xf numFmtId="0" fontId="9" fillId="0" borderId="0" xfId="5" quotePrefix="1" applyFont="1" applyAlignment="1">
      <alignment horizontal="left" vertical="center"/>
    </xf>
    <xf numFmtId="173" fontId="9" fillId="0" borderId="0" xfId="5" quotePrefix="1" applyNumberFormat="1" applyFont="1" applyAlignment="1">
      <alignment horizontal="right" vertical="center"/>
    </xf>
    <xf numFmtId="0" fontId="161" fillId="0" borderId="4" xfId="5" quotePrefix="1" applyFont="1" applyFill="1" applyBorder="1" applyAlignment="1">
      <alignment horizontal="right" vertical="center"/>
    </xf>
    <xf numFmtId="0" fontId="162" fillId="0" borderId="0" xfId="5" applyFont="1" applyFill="1"/>
    <xf numFmtId="0" fontId="17" fillId="0" borderId="0" xfId="5" applyFont="1" applyFill="1" applyBorder="1"/>
    <xf numFmtId="2" fontId="8" fillId="0" borderId="0" xfId="5" applyNumberFormat="1" applyFill="1"/>
    <xf numFmtId="173" fontId="9" fillId="0" borderId="0" xfId="5" quotePrefix="1" applyNumberFormat="1" applyFont="1" applyAlignment="1">
      <alignment vertical="center"/>
    </xf>
    <xf numFmtId="0" fontId="164" fillId="0" borderId="0" xfId="5" quotePrefix="1" applyFont="1" applyBorder="1" applyAlignment="1">
      <alignment vertical="center"/>
    </xf>
    <xf numFmtId="43" fontId="29" fillId="0" borderId="0" xfId="5" applyNumberFormat="1" applyFont="1" applyFill="1" applyAlignment="1">
      <alignment horizontal="center"/>
    </xf>
    <xf numFmtId="43" fontId="24" fillId="0" borderId="0" xfId="8" applyFont="1" applyFill="1"/>
    <xf numFmtId="0" fontId="45" fillId="0" borderId="0" xfId="5" quotePrefix="1" applyFont="1" applyFill="1" applyAlignment="1">
      <alignment horizontal="right" vertical="center"/>
    </xf>
    <xf numFmtId="0" fontId="8" fillId="0" borderId="0" xfId="5" applyFill="1" applyAlignment="1">
      <alignment horizontal="center"/>
    </xf>
    <xf numFmtId="0" fontId="148" fillId="4" borderId="14" xfId="5" applyFont="1" applyFill="1" applyBorder="1" applyAlignment="1">
      <alignment vertical="center" wrapText="1"/>
    </xf>
    <xf numFmtId="0" fontId="6" fillId="0" borderId="2" xfId="5" applyFont="1" applyBorder="1" applyAlignment="1">
      <alignment horizontal="right" readingOrder="2"/>
    </xf>
    <xf numFmtId="0" fontId="6" fillId="16" borderId="2" xfId="5" applyFont="1" applyFill="1" applyBorder="1"/>
    <xf numFmtId="0" fontId="165" fillId="0" borderId="0" xfId="5" applyFont="1"/>
    <xf numFmtId="0" fontId="149" fillId="0" borderId="0" xfId="5" applyFont="1" applyAlignment="1"/>
    <xf numFmtId="0" fontId="143" fillId="4" borderId="63" xfId="5" applyFont="1" applyFill="1" applyBorder="1" applyAlignment="1">
      <alignment horizontal="center" vertical="center" wrapText="1"/>
    </xf>
    <xf numFmtId="0" fontId="143" fillId="4" borderId="64" xfId="5" applyFont="1" applyFill="1" applyBorder="1" applyAlignment="1">
      <alignment horizontal="center" vertical="center" wrapText="1"/>
    </xf>
    <xf numFmtId="0" fontId="3" fillId="0" borderId="41" xfId="5" applyFont="1" applyBorder="1" applyAlignment="1">
      <alignment horizontal="center" vertical="center" wrapText="1"/>
    </xf>
    <xf numFmtId="0" fontId="3" fillId="0" borderId="41" xfId="5" applyFont="1" applyFill="1" applyBorder="1" applyAlignment="1">
      <alignment horizontal="center" vertical="center" wrapText="1"/>
    </xf>
    <xf numFmtId="0" fontId="3" fillId="0" borderId="42" xfId="5" applyFont="1" applyBorder="1" applyAlignment="1">
      <alignment horizontal="center" vertical="center" wrapText="1"/>
    </xf>
    <xf numFmtId="168" fontId="4" fillId="0" borderId="44" xfId="5" quotePrefix="1" applyNumberFormat="1" applyFont="1" applyBorder="1" applyAlignment="1">
      <alignment horizontal="center"/>
    </xf>
    <xf numFmtId="49" fontId="4" fillId="0" borderId="0" xfId="5" applyNumberFormat="1" applyFont="1" applyBorder="1"/>
    <xf numFmtId="49" fontId="4" fillId="0" borderId="0" xfId="5" applyNumberFormat="1" applyFont="1" applyBorder="1" applyAlignment="1">
      <alignment horizontal="center"/>
    </xf>
    <xf numFmtId="9" fontId="3" fillId="0" borderId="0" xfId="5" applyNumberFormat="1" applyFont="1" applyBorder="1" applyAlignment="1">
      <alignment horizontal="center"/>
    </xf>
    <xf numFmtId="9" fontId="3" fillId="0" borderId="62" xfId="5" applyNumberFormat="1" applyFont="1" applyBorder="1" applyAlignment="1">
      <alignment horizontal="center"/>
    </xf>
    <xf numFmtId="168" fontId="4" fillId="0" borderId="36" xfId="5" quotePrefix="1" applyNumberFormat="1" applyFont="1" applyBorder="1" applyAlignment="1">
      <alignment horizontal="center"/>
    </xf>
    <xf numFmtId="49" fontId="4" fillId="0" borderId="37" xfId="5" applyNumberFormat="1" applyFont="1" applyBorder="1"/>
    <xf numFmtId="49" fontId="4" fillId="0" borderId="37" xfId="5" applyNumberFormat="1" applyFont="1" applyBorder="1" applyAlignment="1">
      <alignment horizontal="center"/>
    </xf>
    <xf numFmtId="0" fontId="4" fillId="0" borderId="37" xfId="5" applyFont="1" applyBorder="1" applyAlignment="1">
      <alignment horizontal="center"/>
    </xf>
    <xf numFmtId="0" fontId="4" fillId="0" borderId="37" xfId="5" applyFont="1" applyFill="1" applyBorder="1" applyAlignment="1">
      <alignment horizontal="center"/>
    </xf>
    <xf numFmtId="165" fontId="144" fillId="0" borderId="37" xfId="5" applyNumberFormat="1" applyFont="1" applyFill="1" applyBorder="1" applyAlignment="1">
      <alignment horizontal="center" vertical="center"/>
    </xf>
    <xf numFmtId="9" fontId="3" fillId="0" borderId="37" xfId="5" applyNumberFormat="1" applyFont="1" applyBorder="1" applyAlignment="1">
      <alignment horizontal="center"/>
    </xf>
    <xf numFmtId="9" fontId="3" fillId="0" borderId="53" xfId="5" applyNumberFormat="1" applyFont="1" applyBorder="1" applyAlignment="1">
      <alignment horizontal="center"/>
    </xf>
    <xf numFmtId="0" fontId="165" fillId="13" borderId="2" xfId="5" quotePrefix="1" applyFont="1" applyFill="1" applyBorder="1"/>
    <xf numFmtId="0" fontId="6" fillId="17" borderId="2" xfId="5" applyFont="1" applyFill="1" applyBorder="1"/>
    <xf numFmtId="0" fontId="6" fillId="17" borderId="2" xfId="5" applyFont="1" applyFill="1" applyBorder="1" applyAlignment="1">
      <alignment horizontal="center"/>
    </xf>
    <xf numFmtId="0" fontId="6" fillId="17" borderId="2" xfId="5" applyNumberFormat="1" applyFont="1" applyFill="1" applyBorder="1" applyAlignment="1">
      <alignment horizontal="center"/>
    </xf>
    <xf numFmtId="0" fontId="166" fillId="17" borderId="2" xfId="5" applyFont="1" applyFill="1" applyBorder="1" applyAlignment="1">
      <alignment horizontal="center"/>
    </xf>
    <xf numFmtId="43" fontId="149" fillId="13" borderId="2" xfId="5" quotePrefix="1" applyNumberFormat="1" applyFont="1" applyFill="1" applyBorder="1" applyAlignment="1">
      <alignment horizontal="center"/>
    </xf>
    <xf numFmtId="0" fontId="181" fillId="4" borderId="14" xfId="5" applyFont="1" applyFill="1" applyBorder="1" applyAlignment="1">
      <alignment horizontal="center" vertical="center" wrapText="1"/>
    </xf>
    <xf numFmtId="0" fontId="157" fillId="0" borderId="0" xfId="5" applyFont="1" applyAlignment="1">
      <alignment horizontal="center"/>
    </xf>
    <xf numFmtId="43" fontId="149" fillId="13" borderId="14" xfId="5" applyNumberFormat="1" applyFont="1" applyFill="1" applyBorder="1"/>
    <xf numFmtId="0" fontId="149" fillId="13" borderId="14" xfId="5" applyFont="1" applyFill="1" applyBorder="1" applyAlignment="1"/>
    <xf numFmtId="0" fontId="182" fillId="0" borderId="13" xfId="5" applyFont="1" applyFill="1" applyBorder="1"/>
    <xf numFmtId="0" fontId="11" fillId="17" borderId="2" xfId="5" applyFont="1" applyFill="1" applyBorder="1" applyAlignment="1">
      <alignment vertical="center"/>
    </xf>
    <xf numFmtId="0" fontId="4" fillId="10" borderId="2" xfId="0" applyFont="1" applyFill="1" applyBorder="1" applyAlignment="1">
      <alignment horizontal="center" vertical="center" wrapText="1"/>
    </xf>
    <xf numFmtId="0" fontId="4" fillId="10" borderId="2" xfId="0" applyFont="1" applyFill="1" applyBorder="1"/>
    <xf numFmtId="0" fontId="4" fillId="0" borderId="2" xfId="0" applyFont="1" applyBorder="1" applyAlignment="1">
      <alignment horizontal="center"/>
    </xf>
    <xf numFmtId="0" fontId="183" fillId="13" borderId="14" xfId="5" applyFont="1" applyFill="1" applyBorder="1" applyAlignment="1">
      <alignment horizontal="center"/>
    </xf>
    <xf numFmtId="0" fontId="0" fillId="0" borderId="0" xfId="0" applyBorder="1" applyAlignment="1">
      <alignment horizontal="center"/>
    </xf>
    <xf numFmtId="0" fontId="22" fillId="0" borderId="0" xfId="0" applyFont="1" applyAlignment="1">
      <alignment horizontal="center"/>
    </xf>
    <xf numFmtId="0" fontId="26" fillId="0" borderId="2" xfId="0" applyFont="1" applyBorder="1" applyAlignment="1">
      <alignment horizontal="center"/>
    </xf>
    <xf numFmtId="0" fontId="4" fillId="0" borderId="0" xfId="0" applyFont="1" applyAlignment="1">
      <alignment horizontal="right"/>
    </xf>
    <xf numFmtId="0" fontId="4" fillId="0" borderId="0" xfId="0" quotePrefix="1" applyFont="1"/>
    <xf numFmtId="0" fontId="184" fillId="10" borderId="2" xfId="0" applyFont="1" applyFill="1" applyBorder="1" applyAlignment="1">
      <alignment horizontal="center" vertical="center" wrapText="1"/>
    </xf>
    <xf numFmtId="0" fontId="184" fillId="10" borderId="2" xfId="0" quotePrefix="1" applyFont="1" applyFill="1" applyBorder="1" applyAlignment="1">
      <alignment horizontal="center" vertical="center" wrapText="1"/>
    </xf>
    <xf numFmtId="0" fontId="8" fillId="0" borderId="0" xfId="5" applyFill="1" applyAlignment="1">
      <alignment horizontal="left"/>
    </xf>
    <xf numFmtId="0" fontId="186" fillId="0" borderId="0" xfId="5" applyFont="1" applyFill="1"/>
    <xf numFmtId="0" fontId="12" fillId="0" borderId="0" xfId="5" applyFont="1" applyFill="1"/>
    <xf numFmtId="0" fontId="12" fillId="0" borderId="0" xfId="5" applyFont="1" applyFill="1" applyAlignment="1">
      <alignment horizontal="left"/>
    </xf>
    <xf numFmtId="0" fontId="22" fillId="0" borderId="0" xfId="5" quotePrefix="1" applyFont="1" applyFill="1" applyAlignment="1">
      <alignment horizontal="center"/>
    </xf>
    <xf numFmtId="0" fontId="9" fillId="0" borderId="0" xfId="5" quotePrefix="1" applyFont="1" applyFill="1" applyAlignment="1">
      <alignment horizontal="center"/>
    </xf>
    <xf numFmtId="0" fontId="187" fillId="0" borderId="0" xfId="5" applyFont="1" applyFill="1"/>
    <xf numFmtId="0" fontId="188" fillId="0" borderId="0" xfId="5" applyFont="1" applyFill="1"/>
    <xf numFmtId="0" fontId="156" fillId="0" borderId="0" xfId="5" applyFont="1" applyFill="1" applyAlignment="1">
      <alignment horizontal="left"/>
    </xf>
    <xf numFmtId="43" fontId="69" fillId="0" borderId="0" xfId="5" applyNumberFormat="1" applyFont="1" applyFill="1"/>
    <xf numFmtId="0" fontId="187" fillId="0" borderId="0" xfId="5" quotePrefix="1" applyFont="1" applyFill="1" applyAlignment="1">
      <alignment horizontal="right"/>
    </xf>
    <xf numFmtId="0" fontId="62" fillId="0" borderId="0" xfId="5" applyFont="1" applyFill="1"/>
    <xf numFmtId="0" fontId="187" fillId="0" borderId="0" xfId="5" applyFont="1" applyFill="1" applyAlignment="1">
      <alignment horizontal="right"/>
    </xf>
    <xf numFmtId="0" fontId="189" fillId="0" borderId="0" xfId="5" applyFont="1" applyFill="1"/>
    <xf numFmtId="171" fontId="64" fillId="0" borderId="0" xfId="5" quotePrefix="1" applyNumberFormat="1" applyFont="1" applyFill="1" applyBorder="1" applyAlignment="1">
      <alignment horizontal="center" vertical="center"/>
    </xf>
    <xf numFmtId="169" fontId="187" fillId="0" borderId="0" xfId="5" applyNumberFormat="1" applyFont="1" applyFill="1" applyAlignment="1">
      <alignment horizontal="center" readingOrder="2"/>
    </xf>
    <xf numFmtId="43" fontId="69" fillId="0" borderId="0" xfId="5" applyNumberFormat="1" applyFont="1" applyFill="1" applyAlignment="1">
      <alignment horizontal="center"/>
    </xf>
    <xf numFmtId="43" fontId="69" fillId="0" borderId="0" xfId="5" applyNumberFormat="1" applyFont="1" applyFill="1" applyAlignment="1">
      <alignment horizontal="center" vertical="center"/>
    </xf>
    <xf numFmtId="43" fontId="8" fillId="0" borderId="0" xfId="5" applyNumberFormat="1" applyFill="1"/>
    <xf numFmtId="0" fontId="188" fillId="0" borderId="0" xfId="5" applyFont="1" applyFill="1" applyAlignment="1">
      <alignment horizontal="right"/>
    </xf>
    <xf numFmtId="0" fontId="22" fillId="0" borderId="0" xfId="5" quotePrefix="1" applyFont="1" applyFill="1" applyAlignment="1">
      <alignment horizontal="right"/>
    </xf>
    <xf numFmtId="0" fontId="190" fillId="0" borderId="0" xfId="5" quotePrefix="1" applyFont="1" applyFill="1" applyAlignment="1">
      <alignment horizontal="right"/>
    </xf>
    <xf numFmtId="0" fontId="191" fillId="0" borderId="0" xfId="5" applyFont="1" applyFill="1"/>
    <xf numFmtId="0" fontId="12" fillId="0" borderId="6" xfId="5" applyFont="1" applyFill="1" applyBorder="1"/>
    <xf numFmtId="0" fontId="12" fillId="0" borderId="4" xfId="5" applyFont="1" applyFill="1" applyBorder="1"/>
    <xf numFmtId="43" fontId="12" fillId="0" borderId="5" xfId="8" applyFont="1" applyFill="1" applyBorder="1"/>
    <xf numFmtId="43" fontId="12" fillId="0" borderId="8" xfId="8" applyFont="1" applyFill="1" applyBorder="1"/>
    <xf numFmtId="0" fontId="12" fillId="0" borderId="8" xfId="5" applyFont="1" applyFill="1" applyBorder="1"/>
    <xf numFmtId="0" fontId="188" fillId="0" borderId="7" xfId="5" quotePrefix="1" applyFont="1" applyFill="1" applyBorder="1" applyAlignment="1">
      <alignment horizontal="right"/>
    </xf>
    <xf numFmtId="0" fontId="22" fillId="0" borderId="0" xfId="5" applyFont="1" applyFill="1" applyBorder="1"/>
    <xf numFmtId="0" fontId="35" fillId="0" borderId="0" xfId="5" applyFont="1" applyFill="1" applyBorder="1"/>
    <xf numFmtId="43" fontId="22" fillId="0" borderId="15" xfId="8" applyFont="1" applyFill="1" applyBorder="1" applyAlignment="1">
      <alignment horizontal="right" vertical="center"/>
    </xf>
    <xf numFmtId="43" fontId="62" fillId="0" borderId="11" xfId="8" applyFont="1" applyFill="1" applyBorder="1"/>
    <xf numFmtId="0" fontId="12" fillId="0" borderId="0" xfId="5" applyFont="1" applyFill="1" applyBorder="1"/>
    <xf numFmtId="0" fontId="12" fillId="0" borderId="11" xfId="5" applyFont="1" applyFill="1" applyBorder="1"/>
    <xf numFmtId="43" fontId="22" fillId="0" borderId="15" xfId="8" applyFont="1" applyFill="1" applyBorder="1"/>
    <xf numFmtId="0" fontId="188" fillId="0" borderId="7" xfId="5" applyFont="1" applyFill="1" applyBorder="1"/>
    <xf numFmtId="0" fontId="188" fillId="0" borderId="0" xfId="5" applyFont="1" applyFill="1" applyBorder="1" applyAlignment="1">
      <alignment horizontal="right"/>
    </xf>
    <xf numFmtId="43" fontId="22" fillId="0" borderId="9" xfId="8" applyFont="1" applyFill="1" applyBorder="1" applyAlignment="1">
      <alignment vertical="center"/>
    </xf>
    <xf numFmtId="0" fontId="68" fillId="0" borderId="7" xfId="5" applyFont="1" applyFill="1" applyBorder="1"/>
    <xf numFmtId="43" fontId="22" fillId="0" borderId="11" xfId="8" applyFont="1" applyFill="1" applyBorder="1"/>
    <xf numFmtId="0" fontId="188" fillId="0" borderId="0" xfId="5" applyFont="1" applyFill="1" applyBorder="1" applyAlignment="1">
      <alignment horizontal="center"/>
    </xf>
    <xf numFmtId="0" fontId="188" fillId="0" borderId="0" xfId="5" applyFont="1" applyFill="1" applyBorder="1"/>
    <xf numFmtId="0" fontId="62" fillId="0" borderId="0" xfId="5" applyFont="1" applyFill="1" applyBorder="1" applyAlignment="1"/>
    <xf numFmtId="0" fontId="188" fillId="0" borderId="7" xfId="5" applyFont="1" applyFill="1" applyBorder="1" applyAlignment="1">
      <alignment horizontal="right"/>
    </xf>
    <xf numFmtId="43" fontId="22" fillId="0" borderId="15" xfId="8" applyFont="1" applyFill="1" applyBorder="1" applyAlignment="1">
      <alignment vertical="center"/>
    </xf>
    <xf numFmtId="0" fontId="193" fillId="0" borderId="7" xfId="5" applyFont="1" applyBorder="1" applyAlignment="1">
      <alignment horizontal="right"/>
    </xf>
    <xf numFmtId="0" fontId="192" fillId="0" borderId="0" xfId="5" applyFont="1" applyBorder="1" applyAlignment="1">
      <alignment horizontal="center"/>
    </xf>
    <xf numFmtId="0" fontId="62" fillId="0" borderId="0" xfId="5" applyFont="1" applyFill="1" applyBorder="1" applyAlignment="1">
      <alignment horizontal="right"/>
    </xf>
    <xf numFmtId="0" fontId="12" fillId="0" borderId="10" xfId="5" applyFont="1" applyFill="1" applyBorder="1"/>
    <xf numFmtId="0" fontId="12" fillId="0" borderId="1" xfId="5" applyFont="1" applyFill="1" applyBorder="1"/>
    <xf numFmtId="0" fontId="12" fillId="0" borderId="16" xfId="5" applyFont="1" applyFill="1" applyBorder="1"/>
    <xf numFmtId="0" fontId="188" fillId="0" borderId="7" xfId="5" applyFont="1" applyFill="1" applyBorder="1" applyAlignment="1"/>
    <xf numFmtId="0" fontId="188" fillId="0" borderId="0" xfId="5" applyFont="1" applyFill="1" applyBorder="1" applyAlignment="1"/>
    <xf numFmtId="0" fontId="188" fillId="0" borderId="11" xfId="5" applyFont="1" applyFill="1" applyBorder="1" applyAlignment="1"/>
    <xf numFmtId="0" fontId="188" fillId="0" borderId="0" xfId="5" quotePrefix="1" applyFont="1" applyFill="1" applyBorder="1" applyAlignment="1">
      <alignment horizontal="right"/>
    </xf>
    <xf numFmtId="0" fontId="62" fillId="0" borderId="0" xfId="5" applyFont="1" applyFill="1" applyBorder="1"/>
    <xf numFmtId="43" fontId="22" fillId="0" borderId="2" xfId="8" applyFont="1" applyFill="1" applyBorder="1" applyAlignment="1">
      <alignment vertical="center"/>
    </xf>
    <xf numFmtId="169" fontId="13" fillId="0" borderId="0" xfId="5" applyNumberFormat="1" applyFont="1" applyFill="1" applyAlignment="1"/>
    <xf numFmtId="0" fontId="13" fillId="0" borderId="0" xfId="5" applyFont="1" applyFill="1" applyAlignment="1">
      <alignment horizontal="left"/>
    </xf>
    <xf numFmtId="43" fontId="62" fillId="0" borderId="15" xfId="8" applyFont="1" applyFill="1" applyBorder="1"/>
    <xf numFmtId="43" fontId="22" fillId="0" borderId="11" xfId="8" applyFont="1" applyFill="1" applyBorder="1" applyAlignment="1">
      <alignment vertical="center"/>
    </xf>
    <xf numFmtId="0" fontId="68" fillId="0" borderId="10" xfId="5" applyFont="1" applyFill="1" applyBorder="1"/>
    <xf numFmtId="43" fontId="12" fillId="0" borderId="9" xfId="8" applyFont="1" applyFill="1" applyBorder="1"/>
    <xf numFmtId="43" fontId="12" fillId="0" borderId="16" xfId="8" applyFont="1" applyFill="1" applyBorder="1"/>
    <xf numFmtId="0" fontId="68" fillId="0" borderId="0" xfId="5" applyFont="1" applyFill="1" applyBorder="1"/>
    <xf numFmtId="43" fontId="12" fillId="0" borderId="0" xfId="8" applyFont="1" applyFill="1" applyBorder="1"/>
    <xf numFmtId="1" fontId="9" fillId="0" borderId="0" xfId="5" applyNumberFormat="1" applyFont="1" applyFill="1"/>
    <xf numFmtId="0" fontId="8" fillId="0" borderId="0" xfId="5" applyAlignment="1"/>
    <xf numFmtId="0" fontId="13" fillId="0" borderId="0" xfId="5" applyFont="1" applyFill="1"/>
    <xf numFmtId="0" fontId="22" fillId="0" borderId="0" xfId="5" applyFont="1" applyFill="1" applyAlignment="1"/>
    <xf numFmtId="1" fontId="14" fillId="0" borderId="0" xfId="5" applyNumberFormat="1" applyFont="1" applyFill="1"/>
    <xf numFmtId="0" fontId="194" fillId="0" borderId="0" xfId="5" quotePrefix="1" applyFont="1" applyFill="1" applyAlignment="1">
      <alignment horizontal="left"/>
    </xf>
    <xf numFmtId="0" fontId="8" fillId="0" borderId="0" xfId="5" applyAlignment="1">
      <alignment horizontal="left"/>
    </xf>
    <xf numFmtId="0" fontId="188" fillId="0" borderId="0" xfId="0" applyFont="1" applyFill="1" applyBorder="1" applyAlignment="1">
      <alignment horizontal="right"/>
    </xf>
    <xf numFmtId="0" fontId="4" fillId="10" borderId="0" xfId="0" applyFont="1" applyFill="1" applyBorder="1" applyAlignment="1">
      <alignment horizontal="center" vertical="center" wrapText="1"/>
    </xf>
    <xf numFmtId="0" fontId="4" fillId="0" borderId="0" xfId="0" applyFont="1" applyBorder="1" applyAlignment="1">
      <alignment horizontal="center"/>
    </xf>
    <xf numFmtId="0" fontId="4" fillId="15" borderId="0" xfId="0" applyFont="1" applyFill="1"/>
    <xf numFmtId="0" fontId="4" fillId="9" borderId="2" xfId="0" applyFont="1" applyFill="1" applyBorder="1"/>
    <xf numFmtId="0" fontId="195" fillId="18" borderId="2" xfId="0" applyFont="1" applyFill="1" applyBorder="1"/>
    <xf numFmtId="43" fontId="195" fillId="18" borderId="2" xfId="0" applyNumberFormat="1" applyFont="1" applyFill="1" applyBorder="1"/>
    <xf numFmtId="43" fontId="4" fillId="9" borderId="2" xfId="0" applyNumberFormat="1" applyFont="1" applyFill="1" applyBorder="1"/>
    <xf numFmtId="0" fontId="185" fillId="12" borderId="2" xfId="0" applyFont="1" applyFill="1" applyBorder="1"/>
    <xf numFmtId="43" fontId="185" fillId="12" borderId="2" xfId="0" applyNumberFormat="1" applyFont="1" applyFill="1" applyBorder="1"/>
    <xf numFmtId="0" fontId="11" fillId="12" borderId="2" xfId="5" applyFont="1" applyFill="1" applyBorder="1" applyAlignment="1">
      <alignment vertical="center"/>
    </xf>
    <xf numFmtId="174" fontId="8" fillId="12" borderId="0" xfId="5" applyNumberFormat="1" applyFill="1"/>
    <xf numFmtId="0" fontId="29" fillId="12" borderId="0" xfId="5" applyFont="1" applyFill="1"/>
    <xf numFmtId="0" fontId="9" fillId="12" borderId="0" xfId="5" quotePrefix="1" applyFont="1" applyFill="1" applyAlignment="1">
      <alignment horizontal="left" vertical="center"/>
    </xf>
    <xf numFmtId="173" fontId="9" fillId="12" borderId="0" xfId="5" quotePrefix="1" applyNumberFormat="1" applyFont="1" applyFill="1" applyAlignment="1">
      <alignment horizontal="right" vertical="center"/>
    </xf>
    <xf numFmtId="0" fontId="161" fillId="12" borderId="4" xfId="5" quotePrefix="1" applyFont="1" applyFill="1" applyBorder="1" applyAlignment="1">
      <alignment horizontal="right" vertical="center"/>
    </xf>
    <xf numFmtId="0" fontId="162" fillId="12" borderId="0" xfId="5" applyFont="1" applyFill="1"/>
    <xf numFmtId="2" fontId="29" fillId="12" borderId="0" xfId="5" applyNumberFormat="1" applyFont="1" applyFill="1"/>
    <xf numFmtId="0" fontId="29" fillId="12" borderId="0" xfId="5" applyFont="1" applyFill="1" applyAlignment="1">
      <alignment horizontal="center"/>
    </xf>
    <xf numFmtId="170" fontId="8" fillId="12" borderId="0" xfId="5" applyNumberFormat="1" applyFill="1"/>
    <xf numFmtId="0" fontId="8" fillId="12" borderId="0" xfId="5" applyFill="1"/>
    <xf numFmtId="0" fontId="17" fillId="12" borderId="0" xfId="5" applyFont="1" applyFill="1"/>
    <xf numFmtId="0" fontId="17" fillId="12" borderId="0" xfId="5" applyFont="1" applyFill="1" applyBorder="1"/>
    <xf numFmtId="0" fontId="17" fillId="12" borderId="0" xfId="5" applyFont="1" applyFill="1" applyAlignment="1">
      <alignment horizontal="center" vertical="center"/>
    </xf>
    <xf numFmtId="0" fontId="8" fillId="12" borderId="0" xfId="5" applyFill="1" applyAlignment="1">
      <alignment horizontal="center" vertical="center"/>
    </xf>
    <xf numFmtId="2" fontId="8" fillId="12" borderId="0" xfId="5" applyNumberFormat="1" applyFill="1"/>
    <xf numFmtId="173" fontId="9" fillId="12" borderId="0" xfId="5" quotePrefix="1" applyNumberFormat="1" applyFont="1" applyFill="1" applyAlignment="1">
      <alignment vertical="center"/>
    </xf>
    <xf numFmtId="0" fontId="29" fillId="12" borderId="0" xfId="5" applyFont="1" applyFill="1" applyAlignment="1">
      <alignment horizontal="left" vertical="center"/>
    </xf>
    <xf numFmtId="0" fontId="164" fillId="12" borderId="0" xfId="5" quotePrefix="1" applyFont="1" applyFill="1" applyBorder="1" applyAlignment="1">
      <alignment vertical="center"/>
    </xf>
    <xf numFmtId="43" fontId="29" fillId="12" borderId="0" xfId="5" applyNumberFormat="1" applyFont="1" applyFill="1" applyAlignment="1">
      <alignment horizontal="center"/>
    </xf>
    <xf numFmtId="43" fontId="24" fillId="12" borderId="0" xfId="8" applyFont="1" applyFill="1"/>
    <xf numFmtId="0" fontId="45" fillId="12" borderId="0" xfId="5" quotePrefix="1" applyFont="1" applyFill="1" applyAlignment="1">
      <alignment horizontal="right" vertical="center"/>
    </xf>
    <xf numFmtId="0" fontId="187" fillId="0" borderId="0" xfId="5" applyFont="1" applyFill="1" applyAlignment="1">
      <alignment horizontal="left"/>
    </xf>
    <xf numFmtId="0" fontId="196" fillId="0" borderId="0" xfId="5" quotePrefix="1" applyFont="1" applyFill="1" applyAlignment="1">
      <alignment horizontal="right"/>
    </xf>
    <xf numFmtId="43" fontId="22" fillId="0" borderId="15" xfId="8" quotePrefix="1" applyFont="1" applyFill="1" applyBorder="1" applyAlignment="1">
      <alignment horizontal="right" vertical="center"/>
    </xf>
    <xf numFmtId="0" fontId="187" fillId="0" borderId="0" xfId="0" applyFont="1" applyFill="1" applyAlignment="1">
      <alignment horizontal="left"/>
    </xf>
    <xf numFmtId="169" fontId="13" fillId="0" borderId="2" xfId="0" applyNumberFormat="1" applyFont="1" applyFill="1" applyBorder="1" applyAlignment="1">
      <alignment horizontal="center"/>
    </xf>
    <xf numFmtId="0" fontId="9" fillId="12" borderId="0" xfId="5" quotePrefix="1" applyFont="1" applyFill="1" applyAlignment="1">
      <alignment horizontal="left" vertical="center"/>
    </xf>
    <xf numFmtId="173" fontId="9" fillId="12" borderId="0" xfId="5" quotePrefix="1" applyNumberFormat="1" applyFont="1" applyFill="1" applyAlignment="1">
      <alignment horizontal="right" vertical="center"/>
    </xf>
    <xf numFmtId="0" fontId="9" fillId="0" borderId="0" xfId="5" quotePrefix="1" applyFont="1" applyAlignment="1">
      <alignment horizontal="left" vertical="center"/>
    </xf>
    <xf numFmtId="173" fontId="9" fillId="0" borderId="0" xfId="5" quotePrefix="1" applyNumberFormat="1" applyFont="1" applyAlignment="1">
      <alignment horizontal="right" vertical="center"/>
    </xf>
    <xf numFmtId="0" fontId="197" fillId="0" borderId="0" xfId="0" applyNumberFormat="1" applyFont="1" applyBorder="1" applyAlignment="1">
      <alignment horizontal="right"/>
    </xf>
    <xf numFmtId="0" fontId="79" fillId="0" borderId="9" xfId="0" applyFont="1" applyFill="1" applyBorder="1" applyAlignment="1">
      <alignment vertical="center" wrapText="1"/>
    </xf>
    <xf numFmtId="0" fontId="79" fillId="0" borderId="2" xfId="0" applyFont="1" applyFill="1" applyBorder="1" applyAlignment="1">
      <alignment horizontal="center" vertical="center" wrapText="1"/>
    </xf>
    <xf numFmtId="0" fontId="79" fillId="0" borderId="2" xfId="0" applyFont="1" applyFill="1" applyBorder="1" applyAlignment="1">
      <alignment vertical="center" wrapText="1"/>
    </xf>
    <xf numFmtId="0" fontId="4" fillId="0" borderId="0" xfId="5" applyFont="1" applyFill="1" applyAlignment="1">
      <alignment horizontal="center"/>
    </xf>
    <xf numFmtId="4" fontId="24" fillId="0" borderId="2" xfId="0" applyNumberFormat="1" applyFont="1" applyBorder="1" applyAlignment="1">
      <alignment horizontal="right"/>
    </xf>
    <xf numFmtId="0" fontId="198" fillId="0" borderId="0" xfId="0" applyFont="1" applyBorder="1" applyAlignment="1">
      <alignment horizontal="center" vertical="center"/>
    </xf>
    <xf numFmtId="0" fontId="157" fillId="0" borderId="0" xfId="0" applyFont="1" applyBorder="1" applyAlignment="1">
      <alignment horizontal="right"/>
    </xf>
    <xf numFmtId="41" fontId="185" fillId="12" borderId="2" xfId="0" applyNumberFormat="1" applyFont="1" applyFill="1" applyBorder="1" applyAlignment="1">
      <alignment horizontal="center" vertical="center"/>
    </xf>
    <xf numFmtId="41" fontId="195" fillId="18" borderId="2" xfId="0" applyNumberFormat="1" applyFont="1" applyFill="1" applyBorder="1"/>
    <xf numFmtId="41" fontId="4" fillId="9" borderId="2" xfId="0" applyNumberFormat="1" applyFont="1" applyFill="1" applyBorder="1"/>
    <xf numFmtId="0" fontId="0" fillId="0" borderId="0" xfId="0" applyAlignment="1">
      <alignment horizontal="right"/>
    </xf>
    <xf numFmtId="0" fontId="200" fillId="0" borderId="0" xfId="0" applyFont="1" applyAlignment="1">
      <alignment horizontal="center"/>
    </xf>
    <xf numFmtId="0" fontId="200" fillId="0" borderId="0" xfId="0" applyFont="1" applyAlignment="1">
      <alignment horizontal="right"/>
    </xf>
    <xf numFmtId="0" fontId="200" fillId="0" borderId="0" xfId="0" applyFont="1" applyBorder="1" applyAlignment="1">
      <alignment horizontal="right"/>
    </xf>
    <xf numFmtId="43" fontId="3" fillId="0" borderId="0" xfId="2" applyFont="1" applyBorder="1" applyAlignment="1">
      <alignment horizontal="right" vertical="center"/>
    </xf>
    <xf numFmtId="0" fontId="3" fillId="0" borderId="0" xfId="0" applyFont="1" applyFill="1" applyAlignment="1">
      <alignment horizontal="center"/>
    </xf>
    <xf numFmtId="0" fontId="200" fillId="0" borderId="0" xfId="0" applyFont="1" applyFill="1" applyAlignment="1">
      <alignment horizontal="center"/>
    </xf>
    <xf numFmtId="0" fontId="3" fillId="0" borderId="2" xfId="0" applyNumberFormat="1" applyFont="1" applyBorder="1" applyAlignment="1">
      <alignment horizontal="center" vertical="center"/>
    </xf>
    <xf numFmtId="0" fontId="3" fillId="0" borderId="2" xfId="0" applyFont="1" applyBorder="1" applyAlignment="1">
      <alignment horizontal="right" vertical="center"/>
    </xf>
    <xf numFmtId="43" fontId="3" fillId="0" borderId="2" xfId="0" applyNumberFormat="1" applyFont="1" applyBorder="1" applyAlignment="1">
      <alignment horizontal="center" vertical="center"/>
    </xf>
    <xf numFmtId="0" fontId="3" fillId="0" borderId="0" xfId="0" applyFont="1" applyFill="1"/>
    <xf numFmtId="0" fontId="5" fillId="0" borderId="2" xfId="0" applyFont="1" applyBorder="1" applyAlignment="1">
      <alignment horizontal="center"/>
    </xf>
    <xf numFmtId="43" fontId="5" fillId="0" borderId="2" xfId="0" applyNumberFormat="1" applyFont="1" applyBorder="1" applyAlignment="1">
      <alignment horizontal="center"/>
    </xf>
    <xf numFmtId="171" fontId="30" fillId="0" borderId="0" xfId="0" quotePrefix="1" applyNumberFormat="1" applyFont="1" applyAlignment="1">
      <alignment horizontal="left" vertical="center"/>
    </xf>
    <xf numFmtId="0" fontId="131" fillId="0" borderId="5" xfId="0" applyNumberFormat="1" applyFont="1" applyBorder="1" applyAlignment="1">
      <alignment horizontal="center" vertical="center" wrapText="1"/>
    </xf>
    <xf numFmtId="49" fontId="5" fillId="0" borderId="2" xfId="0" applyNumberFormat="1" applyFont="1" applyBorder="1" applyAlignment="1">
      <alignment horizontal="center"/>
    </xf>
    <xf numFmtId="0" fontId="0" fillId="0" borderId="15" xfId="0" applyBorder="1"/>
    <xf numFmtId="0" fontId="14" fillId="0" borderId="0" xfId="0" applyFont="1" applyAlignment="1">
      <alignment horizontal="right"/>
    </xf>
    <xf numFmtId="0" fontId="5" fillId="0" borderId="0" xfId="0" applyFont="1" applyAlignment="1">
      <alignment horizontal="right"/>
    </xf>
    <xf numFmtId="0" fontId="18" fillId="0" borderId="0" xfId="0" applyFont="1" applyAlignment="1">
      <alignment horizontal="right"/>
    </xf>
    <xf numFmtId="0" fontId="21" fillId="0" borderId="12" xfId="0" applyFont="1" applyBorder="1" applyAlignment="1">
      <alignment horizontal="right"/>
    </xf>
    <xf numFmtId="173" fontId="27" fillId="0" borderId="15" xfId="2" applyNumberFormat="1" applyFont="1" applyBorder="1" applyAlignment="1">
      <alignment horizontal="right"/>
    </xf>
    <xf numFmtId="0" fontId="0" fillId="0" borderId="9" xfId="0" applyBorder="1" applyAlignment="1">
      <alignment horizontal="right"/>
    </xf>
    <xf numFmtId="43" fontId="203" fillId="0" borderId="15" xfId="2" applyNumberFormat="1" applyFont="1" applyBorder="1" applyAlignment="1">
      <alignment vertical="center"/>
    </xf>
    <xf numFmtId="0" fontId="185" fillId="12" borderId="2" xfId="0" applyFont="1" applyFill="1" applyBorder="1" applyAlignment="1">
      <alignment horizontal="right"/>
    </xf>
    <xf numFmtId="0" fontId="77" fillId="0" borderId="6" xfId="0" quotePrefix="1" applyFont="1" applyFill="1" applyBorder="1" applyAlignment="1">
      <alignment vertical="center"/>
    </xf>
    <xf numFmtId="0" fontId="29" fillId="0" borderId="0" xfId="0" applyFont="1" applyFill="1" applyBorder="1" applyAlignment="1">
      <alignment horizontal="center"/>
    </xf>
    <xf numFmtId="0" fontId="47" fillId="0" borderId="0" xfId="0" applyFont="1" applyFill="1" applyBorder="1" applyAlignment="1">
      <alignment horizontal="center"/>
    </xf>
    <xf numFmtId="0" fontId="36" fillId="0" borderId="0" xfId="0" applyFont="1" applyFill="1" applyBorder="1" applyAlignment="1">
      <alignment vertical="center"/>
    </xf>
    <xf numFmtId="0" fontId="48" fillId="0" borderId="4" xfId="0" applyFont="1" applyFill="1" applyBorder="1"/>
    <xf numFmtId="0" fontId="47" fillId="0" borderId="7" xfId="0" applyFont="1" applyFill="1" applyBorder="1"/>
    <xf numFmtId="0" fontId="36" fillId="0" borderId="10" xfId="0" applyFont="1" applyFill="1" applyBorder="1" applyAlignment="1">
      <alignment vertical="center"/>
    </xf>
    <xf numFmtId="0" fontId="9" fillId="0" borderId="14" xfId="0" applyFont="1" applyFill="1" applyBorder="1" applyAlignment="1">
      <alignment horizontal="left" vertical="center"/>
    </xf>
    <xf numFmtId="0" fontId="9" fillId="0" borderId="7" xfId="5" quotePrefix="1" applyFont="1" applyFill="1" applyBorder="1" applyAlignment="1">
      <alignment horizontal="right" vertical="center" readingOrder="2"/>
    </xf>
    <xf numFmtId="0" fontId="0" fillId="19" borderId="0" xfId="0" applyFill="1" applyBorder="1"/>
    <xf numFmtId="0" fontId="204" fillId="10" borderId="65" xfId="0" applyFont="1" applyFill="1" applyBorder="1" applyAlignment="1">
      <alignment horizontal="center"/>
    </xf>
    <xf numFmtId="0" fontId="204" fillId="10" borderId="65" xfId="0" quotePrefix="1" applyFont="1" applyFill="1" applyBorder="1" applyAlignment="1">
      <alignment horizontal="center"/>
    </xf>
    <xf numFmtId="0" fontId="0" fillId="19" borderId="0" xfId="0" applyFill="1"/>
    <xf numFmtId="0" fontId="27" fillId="0" borderId="0" xfId="0" applyFont="1"/>
    <xf numFmtId="0" fontId="147" fillId="0" borderId="0" xfId="0" applyFont="1"/>
    <xf numFmtId="0" fontId="205" fillId="0" borderId="0" xfId="0" quotePrefix="1" applyFont="1" applyAlignment="1">
      <alignment horizontal="right"/>
    </xf>
    <xf numFmtId="2" fontId="27" fillId="0" borderId="0" xfId="0" applyNumberFormat="1" applyFont="1"/>
    <xf numFmtId="0" fontId="28" fillId="0" borderId="0" xfId="0" applyFont="1" applyAlignment="1">
      <alignment horizontal="left"/>
    </xf>
    <xf numFmtId="2" fontId="28" fillId="0" borderId="0" xfId="0" applyNumberFormat="1" applyFont="1"/>
    <xf numFmtId="0" fontId="208" fillId="0" borderId="0" xfId="0" applyFont="1"/>
    <xf numFmtId="0" fontId="147" fillId="0" borderId="0" xfId="0" applyFont="1" applyAlignment="1">
      <alignment vertical="center"/>
    </xf>
    <xf numFmtId="0" fontId="27" fillId="0" borderId="0" xfId="0" applyFont="1" applyAlignment="1">
      <alignment vertical="center"/>
    </xf>
    <xf numFmtId="0" fontId="27" fillId="0" borderId="0" xfId="0" applyFont="1" applyAlignment="1">
      <alignment horizontal="center" vertical="center"/>
    </xf>
    <xf numFmtId="0" fontId="205" fillId="0" borderId="4" xfId="0" applyFont="1" applyBorder="1" applyAlignment="1">
      <alignment horizontal="center" vertical="center"/>
    </xf>
    <xf numFmtId="0" fontId="205" fillId="0" borderId="0" xfId="0" applyFont="1" applyBorder="1" applyAlignment="1">
      <alignment horizontal="center" vertical="center"/>
    </xf>
    <xf numFmtId="0" fontId="26" fillId="0" borderId="0" xfId="0" applyFont="1"/>
    <xf numFmtId="0" fontId="212" fillId="0" borderId="0" xfId="0" applyFont="1" applyBorder="1" applyAlignment="1">
      <alignment horizontal="center"/>
    </xf>
    <xf numFmtId="0" fontId="212" fillId="0" borderId="0" xfId="0" applyFont="1" applyBorder="1" applyAlignment="1">
      <alignment horizontal="center"/>
    </xf>
    <xf numFmtId="0" fontId="212" fillId="0" borderId="0" xfId="0" applyFont="1" applyBorder="1" applyAlignment="1">
      <alignment horizontal="left"/>
    </xf>
    <xf numFmtId="0" fontId="141" fillId="0" borderId="0" xfId="0" applyFont="1" applyBorder="1" applyAlignment="1">
      <alignment horizontal="right"/>
    </xf>
    <xf numFmtId="0" fontId="0" fillId="0" borderId="5" xfId="0" applyBorder="1"/>
    <xf numFmtId="0" fontId="212" fillId="0" borderId="5" xfId="0" applyFont="1" applyBorder="1" applyAlignment="1">
      <alignment horizontal="center"/>
    </xf>
    <xf numFmtId="177" fontId="210" fillId="0" borderId="15" xfId="0" applyNumberFormat="1" applyFont="1" applyBorder="1" applyAlignment="1">
      <alignment horizontal="center"/>
    </xf>
    <xf numFmtId="0" fontId="213" fillId="0" borderId="15" xfId="0" applyFont="1" applyBorder="1" applyAlignment="1">
      <alignment horizontal="center"/>
    </xf>
    <xf numFmtId="2" fontId="214" fillId="0" borderId="15" xfId="0" applyNumberFormat="1" applyFont="1" applyBorder="1" applyAlignment="1">
      <alignment horizontal="center"/>
    </xf>
    <xf numFmtId="0" fontId="19" fillId="0" borderId="7" xfId="0" quotePrefix="1" applyFont="1" applyBorder="1" applyAlignment="1">
      <alignment horizontal="center"/>
    </xf>
    <xf numFmtId="0" fontId="212" fillId="0" borderId="15" xfId="0" applyFont="1" applyBorder="1" applyAlignment="1">
      <alignment horizontal="center"/>
    </xf>
    <xf numFmtId="177" fontId="215" fillId="0" borderId="15" xfId="0" applyNumberFormat="1" applyFont="1" applyBorder="1" applyAlignment="1">
      <alignment horizontal="center"/>
    </xf>
    <xf numFmtId="0" fontId="209" fillId="0" borderId="15" xfId="0" applyFont="1" applyBorder="1"/>
    <xf numFmtId="0" fontId="214" fillId="0" borderId="15" xfId="0" applyFont="1" applyBorder="1" applyAlignment="1">
      <alignment horizontal="center"/>
    </xf>
    <xf numFmtId="16" fontId="19" fillId="0" borderId="7" xfId="0" applyNumberFormat="1" applyFont="1" applyBorder="1" applyAlignment="1">
      <alignment horizontal="center"/>
    </xf>
    <xf numFmtId="0" fontId="216" fillId="0" borderId="9" xfId="0" applyFont="1" applyBorder="1"/>
    <xf numFmtId="0" fontId="212" fillId="0" borderId="9" xfId="0" applyFont="1" applyBorder="1" applyAlignment="1">
      <alignment horizontal="center"/>
    </xf>
    <xf numFmtId="177" fontId="127" fillId="0" borderId="2" xfId="0" applyNumberFormat="1" applyFont="1" applyBorder="1" applyAlignment="1">
      <alignment horizontal="center"/>
    </xf>
    <xf numFmtId="0" fontId="27" fillId="0" borderId="0" xfId="0" applyFont="1" applyBorder="1" applyAlignment="1">
      <alignment horizontal="center"/>
    </xf>
    <xf numFmtId="2" fontId="27" fillId="0" borderId="0" xfId="0" applyNumberFormat="1" applyFont="1" applyBorder="1" applyAlignment="1">
      <alignment horizontal="center"/>
    </xf>
    <xf numFmtId="0" fontId="27" fillId="0" borderId="0" xfId="0" applyFont="1" applyBorder="1" applyAlignment="1">
      <alignment horizontal="center" readingOrder="2"/>
    </xf>
    <xf numFmtId="16" fontId="27" fillId="0" borderId="0"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121" fillId="0" borderId="0" xfId="0" applyFont="1" applyBorder="1"/>
    <xf numFmtId="177" fontId="217" fillId="0" borderId="0" xfId="0" applyNumberFormat="1" applyFont="1" applyBorder="1" applyAlignment="1">
      <alignment horizontal="right"/>
    </xf>
    <xf numFmtId="0" fontId="27" fillId="0" borderId="0" xfId="0" quotePrefix="1" applyFont="1" applyBorder="1" applyAlignment="1">
      <alignment horizontal="center"/>
    </xf>
    <xf numFmtId="0" fontId="206" fillId="0" borderId="0" xfId="0" applyFont="1" applyAlignment="1"/>
    <xf numFmtId="0" fontId="22" fillId="0" borderId="0" xfId="0" applyFont="1" applyAlignment="1">
      <alignment horizontal="right"/>
    </xf>
    <xf numFmtId="0" fontId="22" fillId="0" borderId="5" xfId="0" applyFont="1" applyBorder="1" applyAlignment="1">
      <alignment horizontal="center" vertical="center"/>
    </xf>
    <xf numFmtId="0" fontId="0" fillId="0" borderId="13" xfId="0" applyFill="1" applyBorder="1"/>
    <xf numFmtId="0" fontId="140" fillId="0" borderId="0" xfId="0" applyFont="1" applyAlignment="1">
      <alignment horizontal="center" vertical="center"/>
    </xf>
    <xf numFmtId="0" fontId="127" fillId="0" borderId="15" xfId="0" applyFont="1" applyBorder="1" applyAlignment="1">
      <alignment horizontal="center"/>
    </xf>
    <xf numFmtId="0" fontId="0" fillId="0" borderId="0" xfId="0" applyFill="1" applyBorder="1"/>
    <xf numFmtId="0" fontId="212" fillId="0" borderId="0" xfId="0" applyFont="1" applyFill="1" applyBorder="1" applyAlignment="1"/>
    <xf numFmtId="177" fontId="127" fillId="0" borderId="0" xfId="0" applyNumberFormat="1" applyFont="1" applyFill="1" applyBorder="1" applyAlignment="1">
      <alignment horizontal="center"/>
    </xf>
    <xf numFmtId="0" fontId="212" fillId="0" borderId="2" xfId="0" applyFont="1" applyBorder="1" applyAlignment="1">
      <alignment horizontal="center" vertical="center"/>
    </xf>
    <xf numFmtId="0" fontId="212" fillId="0" borderId="4" xfId="0" applyFont="1" applyBorder="1" applyAlignment="1">
      <alignment horizontal="left"/>
    </xf>
    <xf numFmtId="0" fontId="212" fillId="0" borderId="0" xfId="0" applyFont="1" applyBorder="1" applyAlignment="1">
      <alignment horizontal="left" vertical="center"/>
    </xf>
    <xf numFmtId="0" fontId="22" fillId="0" borderId="0" xfId="0" applyFont="1" applyAlignment="1"/>
    <xf numFmtId="0" fontId="218" fillId="0" borderId="0" xfId="0" applyFont="1" applyAlignment="1">
      <alignment vertical="center"/>
    </xf>
    <xf numFmtId="0" fontId="221" fillId="0" borderId="0" xfId="0" applyFont="1" applyAlignment="1">
      <alignment horizontal="center" vertical="center"/>
    </xf>
    <xf numFmtId="0" fontId="216" fillId="0" borderId="15" xfId="0" applyFont="1" applyBorder="1"/>
    <xf numFmtId="0" fontId="208" fillId="0" borderId="0" xfId="0" applyFont="1" applyAlignment="1"/>
    <xf numFmtId="177" fontId="207" fillId="0" borderId="2" xfId="0" applyNumberFormat="1" applyFont="1" applyBorder="1" applyAlignment="1">
      <alignment horizontal="center" vertical="center"/>
    </xf>
    <xf numFmtId="0" fontId="26" fillId="0" borderId="2" xfId="0" applyFont="1" applyBorder="1" applyAlignment="1">
      <alignment horizontal="center" vertical="center" wrapText="1"/>
    </xf>
    <xf numFmtId="0" fontId="147" fillId="0" borderId="0" xfId="0" applyFont="1" applyAlignment="1">
      <alignment horizontal="right"/>
    </xf>
    <xf numFmtId="0" fontId="220" fillId="0" borderId="0" xfId="0" applyFont="1" applyAlignment="1">
      <alignment horizontal="right" vertical="center" wrapText="1"/>
    </xf>
    <xf numFmtId="14" fontId="208" fillId="0" borderId="0" xfId="0" applyNumberFormat="1" applyFont="1"/>
    <xf numFmtId="164" fontId="205" fillId="0" borderId="7" xfId="2" applyNumberFormat="1" applyFont="1" applyBorder="1" applyAlignment="1">
      <alignment vertical="center"/>
    </xf>
    <xf numFmtId="0" fontId="22" fillId="0" borderId="11" xfId="0" applyFont="1" applyBorder="1" applyAlignment="1">
      <alignment horizontal="center" vertical="center"/>
    </xf>
    <xf numFmtId="0" fontId="22" fillId="0" borderId="7" xfId="0" applyFont="1" applyBorder="1" applyAlignment="1">
      <alignment horizontal="center" vertical="center"/>
    </xf>
    <xf numFmtId="164" fontId="205" fillId="0" borderId="0" xfId="2" applyNumberFormat="1" applyFont="1" applyBorder="1" applyAlignment="1">
      <alignment vertical="center"/>
    </xf>
    <xf numFmtId="177" fontId="207" fillId="0" borderId="11" xfId="0" applyNumberFormat="1" applyFont="1" applyBorder="1" applyAlignment="1">
      <alignment horizontal="center" vertical="center"/>
    </xf>
    <xf numFmtId="177" fontId="207" fillId="0" borderId="7" xfId="0" applyNumberFormat="1" applyFont="1" applyBorder="1" applyAlignment="1">
      <alignment horizontal="center" vertical="center"/>
    </xf>
    <xf numFmtId="0" fontId="220" fillId="0" borderId="0" xfId="0" applyFont="1" applyBorder="1" applyAlignment="1">
      <alignment horizontal="right" vertical="center" wrapText="1"/>
    </xf>
    <xf numFmtId="0" fontId="24" fillId="0" borderId="0" xfId="0" applyFont="1" applyBorder="1"/>
    <xf numFmtId="0" fontId="147" fillId="0" borderId="0" xfId="0" applyFont="1" applyBorder="1" applyAlignment="1">
      <alignment vertical="center"/>
    </xf>
    <xf numFmtId="0" fontId="26" fillId="0" borderId="0" xfId="0" applyFont="1" applyBorder="1"/>
    <xf numFmtId="0" fontId="218" fillId="0" borderId="0" xfId="0" applyFont="1" applyAlignment="1">
      <alignment horizontal="right" vertical="center" wrapText="1"/>
    </xf>
    <xf numFmtId="0" fontId="22" fillId="0" borderId="0" xfId="0" applyFont="1" applyBorder="1" applyAlignment="1">
      <alignment horizontal="center" vertical="center"/>
    </xf>
    <xf numFmtId="177" fontId="207" fillId="0" borderId="0" xfId="0" applyNumberFormat="1" applyFont="1" applyBorder="1" applyAlignment="1">
      <alignment horizontal="center" vertical="center"/>
    </xf>
    <xf numFmtId="0" fontId="24" fillId="0" borderId="0" xfId="0" applyFont="1" applyBorder="1" applyAlignment="1">
      <alignment horizontal="right" vertical="center" wrapText="1"/>
    </xf>
    <xf numFmtId="0" fontId="26" fillId="0" borderId="5" xfId="0" applyFont="1" applyBorder="1" applyAlignment="1">
      <alignment horizontal="center" vertical="center" wrapText="1" readingOrder="2"/>
    </xf>
    <xf numFmtId="164" fontId="205" fillId="0" borderId="5" xfId="2" applyNumberFormat="1" applyFont="1" applyBorder="1" applyAlignment="1">
      <alignment horizontal="center" vertical="center"/>
    </xf>
    <xf numFmtId="0" fontId="0" fillId="17" borderId="0" xfId="0" applyFill="1"/>
    <xf numFmtId="0" fontId="0" fillId="17" borderId="0" xfId="0" applyFill="1" applyBorder="1"/>
    <xf numFmtId="16" fontId="19" fillId="0" borderId="7" xfId="0" quotePrefix="1" applyNumberFormat="1" applyFont="1" applyBorder="1" applyAlignment="1">
      <alignment horizontal="center"/>
    </xf>
    <xf numFmtId="14" fontId="185" fillId="10" borderId="65" xfId="0" quotePrefix="1" applyNumberFormat="1" applyFont="1" applyFill="1" applyBorder="1" applyAlignment="1">
      <alignment horizontal="center"/>
    </xf>
    <xf numFmtId="164" fontId="205" fillId="0" borderId="0" xfId="2" applyNumberFormat="1" applyFont="1" applyBorder="1" applyAlignment="1">
      <alignment horizontal="center" vertical="center"/>
    </xf>
    <xf numFmtId="49" fontId="141" fillId="0" borderId="15" xfId="0" applyNumberFormat="1" applyFont="1" applyBorder="1" applyAlignment="1">
      <alignment vertical="center" wrapText="1"/>
    </xf>
    <xf numFmtId="49" fontId="212" fillId="0" borderId="15" xfId="0" applyNumberFormat="1" applyFont="1" applyBorder="1" applyAlignment="1">
      <alignment horizontal="center"/>
    </xf>
    <xf numFmtId="49" fontId="141" fillId="0" borderId="15" xfId="0" applyNumberFormat="1" applyFont="1" applyBorder="1" applyAlignment="1">
      <alignment horizontal="center"/>
    </xf>
    <xf numFmtId="0" fontId="141" fillId="0" borderId="36" xfId="0" applyFont="1" applyFill="1" applyBorder="1" applyAlignment="1">
      <alignment horizontal="center" vertical="center"/>
    </xf>
    <xf numFmtId="0" fontId="138" fillId="0" borderId="0" xfId="0" applyFont="1" applyFill="1" applyBorder="1" applyAlignment="1">
      <alignment horizontal="center" vertical="center"/>
    </xf>
    <xf numFmtId="0" fontId="127" fillId="0" borderId="66" xfId="0" applyFont="1" applyBorder="1" applyAlignment="1">
      <alignment horizontal="center"/>
    </xf>
    <xf numFmtId="0" fontId="4" fillId="0" borderId="13" xfId="0" applyFont="1" applyFill="1" applyBorder="1" applyAlignment="1">
      <alignment horizontal="center" vertical="center"/>
    </xf>
    <xf numFmtId="173" fontId="4" fillId="0" borderId="13" xfId="0" applyNumberFormat="1" applyFont="1" applyFill="1" applyBorder="1" applyAlignment="1">
      <alignment horizontal="center" vertical="center"/>
    </xf>
    <xf numFmtId="0" fontId="4" fillId="21" borderId="13" xfId="0" applyFont="1" applyFill="1" applyBorder="1" applyAlignment="1">
      <alignment horizontal="center" vertical="center" wrapText="1"/>
    </xf>
    <xf numFmtId="177" fontId="4" fillId="21" borderId="13" xfId="0" applyNumberFormat="1" applyFont="1" applyFill="1" applyBorder="1" applyAlignment="1">
      <alignment horizontal="center" vertical="center" wrapText="1"/>
    </xf>
    <xf numFmtId="0" fontId="4" fillId="20" borderId="13" xfId="0" applyFont="1" applyFill="1" applyBorder="1" applyAlignment="1">
      <alignment vertical="center" wrapText="1"/>
    </xf>
    <xf numFmtId="177" fontId="4" fillId="20" borderId="13" xfId="0" applyNumberFormat="1" applyFont="1" applyFill="1" applyBorder="1" applyAlignment="1">
      <alignment horizontal="center" vertical="center" wrapText="1"/>
    </xf>
    <xf numFmtId="0" fontId="4" fillId="20" borderId="13" xfId="0" applyFont="1" applyFill="1" applyBorder="1" applyAlignment="1">
      <alignment horizontal="center" vertical="center" wrapText="1"/>
    </xf>
    <xf numFmtId="0" fontId="4" fillId="20" borderId="13" xfId="0" applyFont="1" applyFill="1" applyBorder="1"/>
    <xf numFmtId="177" fontId="4" fillId="20" borderId="13" xfId="0" applyNumberFormat="1" applyFont="1" applyFill="1" applyBorder="1" applyAlignment="1">
      <alignment horizontal="center"/>
    </xf>
    <xf numFmtId="0" fontId="4" fillId="20" borderId="13" xfId="0" applyFont="1" applyFill="1" applyBorder="1" applyAlignment="1">
      <alignment horizontal="center"/>
    </xf>
    <xf numFmtId="173" fontId="4" fillId="20" borderId="13" xfId="0" applyNumberFormat="1" applyFont="1" applyFill="1" applyBorder="1" applyAlignment="1">
      <alignment horizontal="center"/>
    </xf>
    <xf numFmtId="0" fontId="4" fillId="21" borderId="13" xfId="0" applyFont="1" applyFill="1" applyBorder="1" applyAlignment="1">
      <alignment horizontal="center"/>
    </xf>
    <xf numFmtId="0" fontId="4" fillId="21" borderId="13" xfId="0" applyFont="1" applyFill="1" applyBorder="1" applyAlignment="1">
      <alignment horizontal="right"/>
    </xf>
    <xf numFmtId="0" fontId="4" fillId="8" borderId="13" xfId="0" applyFont="1" applyFill="1" applyBorder="1" applyAlignment="1">
      <alignment horizontal="center"/>
    </xf>
    <xf numFmtId="0" fontId="4" fillId="8" borderId="13" xfId="0" applyFont="1" applyFill="1" applyBorder="1" applyAlignment="1">
      <alignment horizontal="right"/>
    </xf>
    <xf numFmtId="0" fontId="4" fillId="21" borderId="13" xfId="0" applyFont="1" applyFill="1" applyBorder="1" applyAlignment="1">
      <alignment horizontal="right" vertical="center" wrapText="1"/>
    </xf>
    <xf numFmtId="0" fontId="181" fillId="20" borderId="13" xfId="0" applyFont="1" applyFill="1" applyBorder="1" applyAlignment="1">
      <alignment horizontal="center"/>
    </xf>
    <xf numFmtId="0" fontId="181" fillId="0" borderId="0" xfId="0" applyFont="1" applyAlignment="1">
      <alignment horizontal="center"/>
    </xf>
    <xf numFmtId="0" fontId="181" fillId="21" borderId="13" xfId="0" applyFont="1" applyFill="1" applyBorder="1" applyAlignment="1">
      <alignment horizontal="center"/>
    </xf>
    <xf numFmtId="0" fontId="181" fillId="8" borderId="13" xfId="0" applyFont="1" applyFill="1" applyBorder="1" applyAlignment="1">
      <alignment horizontal="center"/>
    </xf>
    <xf numFmtId="0" fontId="227" fillId="0" borderId="0" xfId="0" applyFont="1" applyAlignment="1">
      <alignment horizontal="center" vertical="center"/>
    </xf>
    <xf numFmtId="43" fontId="142" fillId="0" borderId="0" xfId="9" applyFont="1" applyFill="1" applyBorder="1" applyAlignment="1">
      <alignment vertical="center"/>
    </xf>
    <xf numFmtId="173" fontId="142" fillId="0" borderId="0" xfId="9" applyNumberFormat="1" applyFont="1" applyFill="1" applyBorder="1" applyAlignment="1">
      <alignment vertical="center"/>
    </xf>
    <xf numFmtId="43" fontId="142" fillId="0" borderId="0" xfId="9" quotePrefix="1" applyFont="1" applyFill="1" applyBorder="1" applyAlignment="1">
      <alignment vertical="center"/>
    </xf>
    <xf numFmtId="0" fontId="226" fillId="0" borderId="0" xfId="0" applyFont="1" applyBorder="1"/>
    <xf numFmtId="0" fontId="227" fillId="0" borderId="0" xfId="0" applyFont="1"/>
    <xf numFmtId="175" fontId="142" fillId="0" borderId="0" xfId="0" applyNumberFormat="1" applyFont="1" applyFill="1" applyBorder="1" applyAlignment="1">
      <alignment horizontal="center" vertical="center"/>
    </xf>
    <xf numFmtId="0" fontId="127" fillId="0" borderId="0" xfId="0" applyFont="1" applyFill="1" applyBorder="1" applyAlignment="1">
      <alignment horizontal="center" vertical="center"/>
    </xf>
    <xf numFmtId="0" fontId="127" fillId="0" borderId="0" xfId="0" applyFont="1" applyFill="1" applyBorder="1" applyAlignment="1">
      <alignment horizontal="center" vertical="center" wrapText="1"/>
    </xf>
    <xf numFmtId="0" fontId="141" fillId="0" borderId="0" xfId="0" applyFont="1" applyFill="1" applyBorder="1" applyAlignment="1">
      <alignment horizontal="center" vertical="center"/>
    </xf>
    <xf numFmtId="0" fontId="140" fillId="0" borderId="0" xfId="0" applyFont="1" applyFill="1" applyBorder="1" applyAlignment="1">
      <alignment horizontal="center" vertical="center"/>
    </xf>
    <xf numFmtId="175" fontId="142" fillId="0" borderId="0" xfId="0" quotePrefix="1" applyNumberFormat="1" applyFont="1" applyFill="1" applyBorder="1" applyAlignment="1">
      <alignment horizontal="center" vertical="center"/>
    </xf>
    <xf numFmtId="0" fontId="127" fillId="0" borderId="62" xfId="0" applyFont="1" applyFill="1" applyBorder="1" applyAlignment="1">
      <alignment horizontal="center" vertical="center" wrapText="1"/>
    </xf>
    <xf numFmtId="0" fontId="141" fillId="0" borderId="44" xfId="0" applyFont="1" applyFill="1" applyBorder="1" applyAlignment="1">
      <alignment horizontal="center" vertical="center"/>
    </xf>
    <xf numFmtId="0" fontId="127" fillId="0" borderId="44" xfId="0" applyFont="1" applyFill="1" applyBorder="1" applyAlignment="1">
      <alignment horizontal="center" vertical="center" wrapText="1"/>
    </xf>
    <xf numFmtId="0" fontId="127" fillId="0" borderId="44" xfId="0" applyFont="1" applyFill="1" applyBorder="1" applyAlignment="1">
      <alignment horizontal="center" vertical="center"/>
    </xf>
    <xf numFmtId="0" fontId="139" fillId="0" borderId="38" xfId="0" applyFont="1" applyFill="1" applyBorder="1" applyAlignment="1">
      <alignment horizontal="center" vertical="center"/>
    </xf>
    <xf numFmtId="0" fontId="139" fillId="0" borderId="37" xfId="0" applyFont="1" applyFill="1" applyBorder="1"/>
    <xf numFmtId="0" fontId="41" fillId="0" borderId="13" xfId="0" quotePrefix="1" applyNumberFormat="1" applyFont="1" applyFill="1" applyBorder="1" applyAlignment="1">
      <alignment horizontal="center" vertical="center"/>
    </xf>
    <xf numFmtId="0" fontId="54" fillId="0" borderId="13" xfId="0" quotePrefix="1" applyNumberFormat="1" applyFont="1" applyFill="1" applyBorder="1"/>
    <xf numFmtId="178" fontId="37" fillId="0" borderId="2" xfId="2" quotePrefix="1" applyNumberFormat="1" applyFont="1" applyFill="1" applyBorder="1" applyAlignment="1">
      <alignment horizontal="center" vertical="center"/>
    </xf>
    <xf numFmtId="0" fontId="228" fillId="0" borderId="0" xfId="0" applyFont="1" applyFill="1"/>
    <xf numFmtId="0" fontId="229" fillId="0" borderId="0" xfId="0" applyFont="1"/>
    <xf numFmtId="0" fontId="229" fillId="0" borderId="0" xfId="0" applyFont="1" applyFill="1"/>
    <xf numFmtId="0" fontId="230" fillId="0" borderId="0" xfId="0" applyFont="1" applyFill="1"/>
    <xf numFmtId="0" fontId="228" fillId="0" borderId="0" xfId="0" applyFont="1" applyFill="1" applyAlignment="1">
      <alignment horizontal="center" vertical="center"/>
    </xf>
    <xf numFmtId="178" fontId="231" fillId="0" borderId="2" xfId="2" quotePrefix="1" applyNumberFormat="1" applyFont="1" applyFill="1" applyBorder="1" applyAlignment="1">
      <alignment horizontal="center" vertical="center"/>
    </xf>
    <xf numFmtId="0" fontId="229" fillId="0" borderId="0" xfId="0" applyFont="1" applyFill="1" applyAlignment="1">
      <alignment horizontal="center" vertical="center"/>
    </xf>
    <xf numFmtId="173" fontId="141" fillId="0" borderId="13" xfId="9" applyNumberFormat="1" applyFont="1" applyFill="1" applyBorder="1" applyAlignment="1">
      <alignment horizontal="center" vertical="center"/>
    </xf>
    <xf numFmtId="173" fontId="141" fillId="0" borderId="40" xfId="9" applyNumberFormat="1" applyFont="1" applyFill="1" applyBorder="1" applyAlignment="1">
      <alignment horizontal="center" vertical="center"/>
    </xf>
    <xf numFmtId="173" fontId="141" fillId="0" borderId="36" xfId="9" applyNumberFormat="1" applyFont="1" applyFill="1" applyBorder="1" applyAlignment="1">
      <alignment horizontal="center" vertical="center"/>
    </xf>
    <xf numFmtId="173" fontId="141" fillId="0" borderId="36" xfId="9" quotePrefix="1" applyNumberFormat="1" applyFont="1" applyFill="1" applyBorder="1" applyAlignment="1">
      <alignment horizontal="center" vertical="center"/>
    </xf>
    <xf numFmtId="172" fontId="141" fillId="0" borderId="35" xfId="0" applyNumberFormat="1" applyFont="1" applyFill="1" applyBorder="1" applyAlignment="1">
      <alignment horizontal="center" vertical="center" wrapText="1"/>
    </xf>
    <xf numFmtId="0" fontId="127" fillId="0" borderId="0" xfId="0" quotePrefix="1" applyFont="1" applyFill="1" applyBorder="1" applyAlignment="1">
      <alignment horizontal="right" vertical="center"/>
    </xf>
    <xf numFmtId="0" fontId="127" fillId="0" borderId="0" xfId="0" applyFont="1" applyFill="1" applyBorder="1"/>
    <xf numFmtId="0" fontId="127" fillId="0" borderId="0" xfId="0" applyFont="1" applyFill="1" applyBorder="1" applyAlignment="1">
      <alignment horizontal="left" vertical="center"/>
    </xf>
    <xf numFmtId="0" fontId="127" fillId="0" borderId="0" xfId="0" quotePrefix="1" applyFont="1" applyFill="1" applyBorder="1" applyAlignment="1">
      <alignment horizontal="center" vertical="center"/>
    </xf>
    <xf numFmtId="0" fontId="127" fillId="0" borderId="0" xfId="0" applyFont="1" applyFill="1" applyBorder="1" applyAlignment="1">
      <alignment horizontal="center"/>
    </xf>
    <xf numFmtId="172" fontId="127" fillId="0" borderId="0" xfId="0" applyNumberFormat="1" applyFont="1" applyFill="1" applyBorder="1"/>
    <xf numFmtId="0" fontId="127" fillId="0" borderId="0" xfId="0" applyFont="1" applyFill="1" applyBorder="1" applyAlignment="1">
      <alignment vertical="center"/>
    </xf>
    <xf numFmtId="172" fontId="15" fillId="0" borderId="0" xfId="0" applyNumberFormat="1" applyFont="1" applyFill="1" applyBorder="1" applyAlignment="1">
      <alignment horizontal="center" vertical="center"/>
    </xf>
    <xf numFmtId="0" fontId="139" fillId="0" borderId="0" xfId="0" applyFont="1" applyFill="1" applyBorder="1"/>
    <xf numFmtId="0" fontId="139" fillId="0" borderId="0" xfId="0" applyFont="1" applyFill="1" applyBorder="1" applyAlignment="1">
      <alignment horizontal="center" vertical="center"/>
    </xf>
    <xf numFmtId="0" fontId="139" fillId="0" borderId="0" xfId="0" applyFont="1" applyFill="1" applyBorder="1" applyAlignment="1">
      <alignment horizontal="center"/>
    </xf>
    <xf numFmtId="172" fontId="139" fillId="0" borderId="0" xfId="0" applyNumberFormat="1" applyFont="1" applyFill="1" applyBorder="1"/>
    <xf numFmtId="173" fontId="141" fillId="0" borderId="0" xfId="9" applyNumberFormat="1" applyFont="1" applyFill="1" applyBorder="1" applyAlignment="1">
      <alignment horizontal="center" vertical="center"/>
    </xf>
    <xf numFmtId="173" fontId="141" fillId="0" borderId="0" xfId="9" quotePrefix="1" applyNumberFormat="1" applyFont="1" applyFill="1" applyBorder="1" applyAlignment="1">
      <alignment horizontal="center" vertical="center"/>
    </xf>
    <xf numFmtId="172" fontId="141" fillId="0" borderId="0" xfId="0" applyNumberFormat="1" applyFont="1" applyFill="1" applyBorder="1" applyAlignment="1">
      <alignment horizontal="center" vertical="center" wrapText="1"/>
    </xf>
    <xf numFmtId="178" fontId="37" fillId="0" borderId="0" xfId="2" quotePrefix="1" applyNumberFormat="1" applyFont="1" applyFill="1" applyBorder="1" applyAlignment="1">
      <alignment horizontal="center" vertical="center"/>
    </xf>
    <xf numFmtId="0" fontId="227" fillId="0" borderId="0" xfId="0" applyFont="1" applyBorder="1" applyAlignment="1">
      <alignment horizontal="center" vertical="center"/>
    </xf>
    <xf numFmtId="0" fontId="227" fillId="0" borderId="0" xfId="0" applyFont="1" applyBorder="1"/>
    <xf numFmtId="0" fontId="138" fillId="0" borderId="0" xfId="0" applyFont="1" applyFill="1" applyBorder="1" applyAlignment="1">
      <alignment vertical="center"/>
    </xf>
    <xf numFmtId="172" fontId="127" fillId="0" borderId="0" xfId="0" applyNumberFormat="1" applyFont="1" applyFill="1" applyBorder="1" applyAlignment="1">
      <alignment horizontal="center" vertical="center"/>
    </xf>
    <xf numFmtId="0" fontId="127" fillId="0" borderId="0" xfId="0" applyFont="1" applyFill="1" applyBorder="1" applyAlignment="1">
      <alignment vertical="center" wrapText="1"/>
    </xf>
    <xf numFmtId="0" fontId="141" fillId="0" borderId="0" xfId="0" applyFont="1" applyFill="1" applyBorder="1" applyAlignment="1">
      <alignment vertical="center"/>
    </xf>
    <xf numFmtId="0" fontId="141" fillId="0" borderId="0" xfId="0" quotePrefix="1" applyFont="1" applyFill="1" applyBorder="1" applyAlignment="1">
      <alignment vertical="center"/>
    </xf>
    <xf numFmtId="172" fontId="141" fillId="0" borderId="0" xfId="0" applyNumberFormat="1" applyFont="1" applyFill="1" applyBorder="1" applyAlignment="1">
      <alignment vertical="center"/>
    </xf>
    <xf numFmtId="0" fontId="141" fillId="0" borderId="0" xfId="0" quotePrefix="1" applyFont="1" applyFill="1" applyBorder="1" applyAlignment="1">
      <alignment horizontal="center" vertical="center"/>
    </xf>
    <xf numFmtId="173" fontId="141" fillId="0" borderId="0" xfId="9" applyNumberFormat="1" applyFont="1" applyFill="1" applyBorder="1" applyAlignment="1">
      <alignment vertical="center"/>
    </xf>
    <xf numFmtId="173" fontId="232" fillId="0" borderId="0" xfId="0" applyNumberFormat="1" applyFont="1" applyBorder="1" applyAlignment="1">
      <alignment vertical="center"/>
    </xf>
    <xf numFmtId="0" fontId="142" fillId="0" borderId="0" xfId="0" quotePrefix="1" applyFont="1" applyFill="1" applyBorder="1" applyAlignment="1">
      <alignment vertical="center"/>
    </xf>
    <xf numFmtId="0" fontId="142" fillId="0" borderId="0" xfId="0" applyFont="1" applyFill="1" applyBorder="1" applyAlignment="1">
      <alignment vertical="center"/>
    </xf>
    <xf numFmtId="0" fontId="233" fillId="0" borderId="0" xfId="0" applyFont="1" applyFill="1" applyBorder="1" applyAlignment="1">
      <alignment horizontal="center" vertical="center"/>
    </xf>
    <xf numFmtId="0" fontId="235" fillId="0" borderId="0" xfId="0" applyFont="1" applyFill="1" applyAlignment="1">
      <alignment horizontal="center" vertical="center"/>
    </xf>
    <xf numFmtId="0" fontId="234" fillId="0" borderId="0" xfId="0" applyFont="1" applyFill="1" applyBorder="1" applyAlignment="1">
      <alignment horizontal="center" vertical="center"/>
    </xf>
    <xf numFmtId="0" fontId="234" fillId="0" borderId="0" xfId="0" applyFont="1" applyFill="1" applyBorder="1" applyAlignment="1">
      <alignment horizontal="center" vertical="center" wrapText="1"/>
    </xf>
    <xf numFmtId="0" fontId="238" fillId="0" borderId="0" xfId="0" applyFont="1" applyFill="1" applyBorder="1" applyAlignment="1">
      <alignment horizontal="center" vertical="center"/>
    </xf>
    <xf numFmtId="175" fontId="240" fillId="0" borderId="0" xfId="0" quotePrefix="1" applyNumberFormat="1" applyFont="1" applyFill="1" applyBorder="1" applyAlignment="1">
      <alignment horizontal="center" vertical="center"/>
    </xf>
    <xf numFmtId="0" fontId="234" fillId="0" borderId="0" xfId="0" quotePrefix="1" applyFont="1" applyFill="1" applyBorder="1" applyAlignment="1">
      <alignment horizontal="right" vertical="center"/>
    </xf>
    <xf numFmtId="0" fontId="234" fillId="0" borderId="0" xfId="0" applyFont="1" applyFill="1" applyBorder="1"/>
    <xf numFmtId="0" fontId="234" fillId="0" borderId="0" xfId="0" applyFont="1" applyFill="1" applyBorder="1" applyAlignment="1">
      <alignment horizontal="left" vertical="center"/>
    </xf>
    <xf numFmtId="0" fontId="234" fillId="0" borderId="0" xfId="0" quotePrefix="1" applyFont="1" applyFill="1" applyBorder="1" applyAlignment="1">
      <alignment horizontal="center" vertical="center"/>
    </xf>
    <xf numFmtId="0" fontId="234" fillId="0" borderId="0" xfId="0" applyFont="1" applyFill="1" applyBorder="1" applyAlignment="1">
      <alignment horizontal="center"/>
    </xf>
    <xf numFmtId="172" fontId="234" fillId="0" borderId="0" xfId="0" applyNumberFormat="1" applyFont="1" applyFill="1" applyBorder="1"/>
    <xf numFmtId="0" fontId="229" fillId="0" borderId="0" xfId="0" applyFont="1" applyBorder="1"/>
    <xf numFmtId="0" fontId="235" fillId="0" borderId="0" xfId="0" applyFont="1" applyFill="1" applyBorder="1" applyAlignment="1">
      <alignment horizontal="center" vertical="center"/>
    </xf>
    <xf numFmtId="0" fontId="234" fillId="0" borderId="0" xfId="0" applyFont="1" applyFill="1" applyBorder="1" applyAlignment="1">
      <alignment vertical="center"/>
    </xf>
    <xf numFmtId="172" fontId="236" fillId="0" borderId="0" xfId="0" applyNumberFormat="1" applyFont="1" applyFill="1" applyBorder="1" applyAlignment="1">
      <alignment horizontal="center" vertical="center"/>
    </xf>
    <xf numFmtId="0" fontId="237" fillId="0" borderId="0" xfId="0" applyFont="1" applyFill="1" applyBorder="1"/>
    <xf numFmtId="0" fontId="237" fillId="0" borderId="0" xfId="0" applyFont="1" applyFill="1" applyBorder="1" applyAlignment="1">
      <alignment horizontal="center" vertical="center"/>
    </xf>
    <xf numFmtId="0" fontId="237" fillId="0" borderId="0" xfId="0" applyFont="1" applyFill="1" applyBorder="1" applyAlignment="1">
      <alignment horizontal="center"/>
    </xf>
    <xf numFmtId="172" fontId="237" fillId="0" borderId="0" xfId="0" applyNumberFormat="1" applyFont="1" applyFill="1" applyBorder="1"/>
    <xf numFmtId="173" fontId="238" fillId="0" borderId="0" xfId="9" applyNumberFormat="1" applyFont="1" applyFill="1" applyBorder="1" applyAlignment="1">
      <alignment horizontal="center" vertical="center"/>
    </xf>
    <xf numFmtId="173" fontId="238" fillId="0" borderId="0" xfId="9" quotePrefix="1" applyNumberFormat="1" applyFont="1" applyFill="1" applyBorder="1" applyAlignment="1">
      <alignment horizontal="center" vertical="center"/>
    </xf>
    <xf numFmtId="172" fontId="238" fillId="0" borderId="0" xfId="0" applyNumberFormat="1" applyFont="1" applyFill="1" applyBorder="1" applyAlignment="1">
      <alignment horizontal="center" vertical="center" wrapText="1"/>
    </xf>
    <xf numFmtId="178" fontId="231" fillId="0" borderId="0" xfId="2" quotePrefix="1" applyNumberFormat="1" applyFont="1" applyFill="1" applyBorder="1" applyAlignment="1">
      <alignment horizontal="center" vertical="center"/>
    </xf>
    <xf numFmtId="0" fontId="233" fillId="0" borderId="0" xfId="0" applyFont="1" applyFill="1" applyBorder="1" applyAlignment="1">
      <alignment vertical="center"/>
    </xf>
    <xf numFmtId="172" fontId="234" fillId="0" borderId="0" xfId="0" applyNumberFormat="1" applyFont="1" applyFill="1" applyBorder="1" applyAlignment="1">
      <alignment horizontal="center" vertical="center"/>
    </xf>
    <xf numFmtId="0" fontId="234" fillId="0" borderId="0" xfId="0" applyFont="1" applyFill="1" applyBorder="1" applyAlignment="1">
      <alignment vertical="center" wrapText="1"/>
    </xf>
    <xf numFmtId="0" fontId="238" fillId="0" borderId="0" xfId="0" applyFont="1" applyFill="1" applyBorder="1" applyAlignment="1">
      <alignment vertical="center"/>
    </xf>
    <xf numFmtId="0" fontId="238" fillId="0" borderId="0" xfId="0" quotePrefix="1" applyFont="1" applyFill="1" applyBorder="1" applyAlignment="1">
      <alignment vertical="center"/>
    </xf>
    <xf numFmtId="172" fontId="238" fillId="0" borderId="0" xfId="0" applyNumberFormat="1" applyFont="1" applyFill="1" applyBorder="1" applyAlignment="1">
      <alignment vertical="center"/>
    </xf>
    <xf numFmtId="0" fontId="238" fillId="0" borderId="0" xfId="0" quotePrefix="1" applyFont="1" applyFill="1" applyBorder="1" applyAlignment="1">
      <alignment horizontal="center" vertical="center"/>
    </xf>
    <xf numFmtId="173" fontId="238" fillId="0" borderId="0" xfId="9" applyNumberFormat="1" applyFont="1" applyFill="1" applyBorder="1" applyAlignment="1">
      <alignment vertical="center"/>
    </xf>
    <xf numFmtId="173" fontId="239" fillId="0" borderId="0" xfId="0" applyNumberFormat="1" applyFont="1" applyBorder="1" applyAlignment="1">
      <alignment vertical="center"/>
    </xf>
    <xf numFmtId="0" fontId="240" fillId="0" borderId="0" xfId="0" quotePrefix="1" applyFont="1" applyFill="1" applyBorder="1" applyAlignment="1">
      <alignment vertical="center"/>
    </xf>
    <xf numFmtId="0" fontId="240" fillId="0" borderId="0" xfId="0" applyFont="1" applyFill="1" applyBorder="1" applyAlignment="1">
      <alignment vertical="center"/>
    </xf>
    <xf numFmtId="0" fontId="243" fillId="0" borderId="0" xfId="5" applyFont="1" applyFill="1"/>
    <xf numFmtId="0" fontId="244" fillId="17" borderId="2" xfId="5" applyFont="1" applyFill="1" applyBorder="1" applyAlignment="1">
      <alignment vertical="center"/>
    </xf>
    <xf numFmtId="0" fontId="245" fillId="0" borderId="2" xfId="5" applyFont="1" applyFill="1" applyBorder="1" applyAlignment="1">
      <alignment vertical="center"/>
    </xf>
    <xf numFmtId="0" fontId="77" fillId="0" borderId="6" xfId="5" quotePrefix="1" applyFont="1" applyFill="1" applyBorder="1" applyAlignment="1">
      <alignment vertical="center"/>
    </xf>
    <xf numFmtId="0" fontId="9" fillId="0" borderId="5" xfId="5" quotePrefix="1" applyFont="1" applyFill="1" applyBorder="1" applyAlignment="1">
      <alignment horizontal="right" vertical="center"/>
    </xf>
    <xf numFmtId="0" fontId="9" fillId="0" borderId="14" xfId="5" applyFont="1" applyFill="1" applyBorder="1" applyAlignment="1">
      <alignment horizontal="right" vertical="center"/>
    </xf>
    <xf numFmtId="0" fontId="77" fillId="0" borderId="7" xfId="5" quotePrefix="1" applyFont="1" applyFill="1" applyBorder="1" applyAlignment="1">
      <alignment horizontal="right" vertical="center" readingOrder="2"/>
    </xf>
    <xf numFmtId="0" fontId="9" fillId="0" borderId="2" xfId="5" quotePrefix="1" applyFont="1" applyFill="1" applyBorder="1" applyAlignment="1">
      <alignment horizontal="center" vertical="center"/>
    </xf>
    <xf numFmtId="0" fontId="9" fillId="0" borderId="14" xfId="5" quotePrefix="1" applyFont="1" applyFill="1" applyBorder="1" applyAlignment="1">
      <alignment horizontal="right" vertical="center"/>
    </xf>
    <xf numFmtId="0" fontId="246" fillId="0" borderId="2" xfId="5" applyFont="1" applyFill="1" applyBorder="1" applyAlignment="1">
      <alignment horizontal="right" vertical="center" readingOrder="2"/>
    </xf>
    <xf numFmtId="0" fontId="9" fillId="0" borderId="2" xfId="5" applyFont="1" applyFill="1" applyBorder="1" applyAlignment="1">
      <alignment horizontal="left" vertical="center" readingOrder="2"/>
    </xf>
    <xf numFmtId="0" fontId="9" fillId="0" borderId="5" xfId="5" applyFont="1" applyFill="1" applyBorder="1" applyAlignment="1">
      <alignment horizontal="center" vertical="center"/>
    </xf>
    <xf numFmtId="0" fontId="9" fillId="0" borderId="8" xfId="5" applyFont="1" applyFill="1" applyBorder="1" applyAlignment="1">
      <alignment horizontal="center" vertical="center"/>
    </xf>
    <xf numFmtId="0" fontId="9" fillId="3" borderId="5" xfId="5" applyFont="1" applyFill="1" applyBorder="1" applyAlignment="1">
      <alignment horizontal="center" vertical="center"/>
    </xf>
    <xf numFmtId="0" fontId="9" fillId="0" borderId="3" xfId="5" applyFont="1" applyFill="1" applyBorder="1" applyAlignment="1">
      <alignment vertical="center"/>
    </xf>
    <xf numFmtId="0" fontId="9" fillId="3" borderId="9" xfId="5" applyFont="1" applyFill="1" applyBorder="1" applyAlignment="1">
      <alignment horizontal="center" vertical="center" wrapText="1"/>
    </xf>
    <xf numFmtId="0" fontId="9" fillId="3" borderId="9" xfId="5" applyFont="1" applyFill="1" applyBorder="1" applyAlignment="1">
      <alignment horizontal="center" vertical="justify" wrapText="1"/>
    </xf>
    <xf numFmtId="0" fontId="9" fillId="0" borderId="2" xfId="5" applyFont="1" applyFill="1" applyBorder="1" applyAlignment="1">
      <alignment horizontal="center" vertical="center"/>
    </xf>
    <xf numFmtId="0" fontId="9" fillId="0" borderId="10" xfId="5" applyFont="1" applyFill="1" applyBorder="1" applyAlignment="1">
      <alignment horizontal="center" vertical="center"/>
    </xf>
    <xf numFmtId="0" fontId="9" fillId="0" borderId="2" xfId="5" applyFont="1" applyFill="1" applyBorder="1" applyAlignment="1">
      <alignment horizontal="center" vertical="center" wrapText="1"/>
    </xf>
    <xf numFmtId="0" fontId="9" fillId="0" borderId="9" xfId="5" quotePrefix="1" applyFont="1" applyFill="1" applyBorder="1" applyAlignment="1">
      <alignment horizontal="center" vertical="center"/>
    </xf>
    <xf numFmtId="0" fontId="9" fillId="0" borderId="9" xfId="5" quotePrefix="1" applyFont="1" applyFill="1" applyBorder="1" applyAlignment="1">
      <alignment horizontal="center" vertical="center" wrapText="1" readingOrder="2"/>
    </xf>
    <xf numFmtId="0" fontId="9" fillId="0" borderId="2" xfId="5" quotePrefix="1" applyFont="1" applyFill="1" applyBorder="1" applyAlignment="1">
      <alignment horizontal="center" vertical="center" wrapText="1" readingOrder="2"/>
    </xf>
    <xf numFmtId="0" fontId="9" fillId="0" borderId="2" xfId="5" applyFont="1" applyFill="1" applyBorder="1" applyAlignment="1">
      <alignment horizontal="center" vertical="center" wrapText="1" readingOrder="2"/>
    </xf>
    <xf numFmtId="0" fontId="9" fillId="0" borderId="14" xfId="5" quotePrefix="1" applyFont="1" applyFill="1" applyBorder="1" applyAlignment="1">
      <alignment vertical="center"/>
    </xf>
    <xf numFmtId="0" fontId="247" fillId="0" borderId="3" xfId="5" applyFont="1" applyBorder="1" applyAlignment="1"/>
    <xf numFmtId="0" fontId="247" fillId="0" borderId="12" xfId="5" applyFont="1" applyBorder="1" applyAlignment="1"/>
    <xf numFmtId="178" fontId="248" fillId="0" borderId="2" xfId="8" quotePrefix="1" applyNumberFormat="1" applyFont="1" applyFill="1" applyBorder="1" applyAlignment="1">
      <alignment horizontal="center" vertical="center"/>
    </xf>
    <xf numFmtId="0" fontId="249" fillId="0" borderId="2" xfId="5" applyNumberFormat="1" applyFont="1" applyFill="1" applyBorder="1" applyAlignment="1">
      <alignment horizontal="right" vertical="center"/>
    </xf>
    <xf numFmtId="0" fontId="249" fillId="0" borderId="2" xfId="5" applyNumberFormat="1" applyFont="1" applyFill="1" applyBorder="1" applyAlignment="1">
      <alignment horizontal="center" vertical="center"/>
    </xf>
    <xf numFmtId="43" fontId="250" fillId="0" borderId="2" xfId="8" applyNumberFormat="1" applyFont="1" applyFill="1" applyBorder="1" applyAlignment="1">
      <alignment horizontal="center" vertical="center"/>
    </xf>
    <xf numFmtId="43" fontId="250" fillId="0" borderId="2" xfId="8" quotePrefix="1" applyNumberFormat="1" applyFont="1" applyFill="1" applyBorder="1" applyAlignment="1">
      <alignment horizontal="center" vertical="center"/>
    </xf>
    <xf numFmtId="174" fontId="248" fillId="0" borderId="2" xfId="8" quotePrefix="1" applyNumberFormat="1" applyFont="1" applyFill="1" applyBorder="1" applyAlignment="1">
      <alignment horizontal="center" vertical="center"/>
    </xf>
    <xf numFmtId="0" fontId="251" fillId="0" borderId="0" xfId="5" quotePrefix="1" applyNumberFormat="1" applyFont="1" applyFill="1" applyAlignment="1">
      <alignment horizontal="center" vertical="center"/>
    </xf>
    <xf numFmtId="0" fontId="248" fillId="0" borderId="0" xfId="5" applyFont="1" applyFill="1"/>
    <xf numFmtId="0" fontId="252" fillId="0" borderId="0" xfId="5" applyFont="1"/>
    <xf numFmtId="0" fontId="251" fillId="0" borderId="0" xfId="5" applyFont="1"/>
    <xf numFmtId="178" fontId="253" fillId="0" borderId="2" xfId="2" quotePrefix="1" applyNumberFormat="1" applyFont="1" applyFill="1" applyBorder="1" applyAlignment="1">
      <alignment horizontal="center" vertical="center"/>
    </xf>
    <xf numFmtId="174" fontId="254" fillId="0" borderId="0" xfId="5" applyNumberFormat="1" applyFont="1" applyFill="1"/>
    <xf numFmtId="43" fontId="255" fillId="3" borderId="2" xfId="8" applyFont="1" applyFill="1" applyBorder="1" applyAlignment="1">
      <alignment horizontal="center" vertical="center"/>
    </xf>
    <xf numFmtId="43" fontId="255" fillId="0" borderId="2" xfId="8" applyFont="1" applyFill="1" applyBorder="1" applyAlignment="1">
      <alignment horizontal="center" vertical="center"/>
    </xf>
    <xf numFmtId="0" fontId="254" fillId="17" borderId="2" xfId="5" applyFont="1" applyFill="1" applyBorder="1" applyAlignment="1">
      <alignment vertical="center"/>
    </xf>
    <xf numFmtId="0" fontId="254" fillId="0" borderId="13" xfId="5" applyFont="1" applyFill="1" applyBorder="1" applyAlignment="1">
      <alignment horizontal="center" vertical="center"/>
    </xf>
    <xf numFmtId="0" fontId="254" fillId="0" borderId="0" xfId="5" applyFont="1" applyFill="1"/>
    <xf numFmtId="0" fontId="256" fillId="0" borderId="0" xfId="5" applyFont="1" applyFill="1"/>
    <xf numFmtId="0" fontId="256" fillId="0" borderId="0" xfId="5" applyFont="1" applyFill="1" applyBorder="1"/>
    <xf numFmtId="0" fontId="256" fillId="0" borderId="0" xfId="5" applyFont="1" applyFill="1" applyAlignment="1">
      <alignment horizontal="center" vertical="center"/>
    </xf>
    <xf numFmtId="0" fontId="254" fillId="0" borderId="0" xfId="5" applyFont="1" applyFill="1" applyAlignment="1">
      <alignment horizontal="center" vertical="center"/>
    </xf>
    <xf numFmtId="2" fontId="254" fillId="0" borderId="0" xfId="5" applyNumberFormat="1" applyFont="1" applyFill="1"/>
    <xf numFmtId="41" fontId="255" fillId="0" borderId="2" xfId="8" applyNumberFormat="1" applyFont="1" applyFill="1" applyBorder="1" applyAlignment="1">
      <alignment horizontal="center" vertical="center"/>
    </xf>
    <xf numFmtId="0" fontId="254" fillId="0" borderId="0" xfId="5" applyFont="1" applyFill="1" applyAlignment="1">
      <alignment horizontal="center"/>
    </xf>
    <xf numFmtId="174" fontId="254" fillId="12" borderId="0" xfId="5" applyNumberFormat="1" applyFont="1" applyFill="1"/>
    <xf numFmtId="43" fontId="255" fillId="12" borderId="2" xfId="8" applyFont="1" applyFill="1" applyBorder="1" applyAlignment="1">
      <alignment horizontal="center" vertical="center"/>
    </xf>
    <xf numFmtId="0" fontId="254" fillId="12" borderId="2" xfId="5" applyFont="1" applyFill="1" applyBorder="1" applyAlignment="1">
      <alignment vertical="center"/>
    </xf>
    <xf numFmtId="0" fontId="254" fillId="12" borderId="13" xfId="5" applyFont="1" applyFill="1" applyBorder="1" applyAlignment="1">
      <alignment horizontal="center" vertical="center"/>
    </xf>
    <xf numFmtId="0" fontId="254" fillId="12" borderId="0" xfId="5" applyFont="1" applyFill="1"/>
    <xf numFmtId="0" fontId="256" fillId="12" borderId="0" xfId="5" applyFont="1" applyFill="1"/>
    <xf numFmtId="0" fontId="256" fillId="12" borderId="0" xfId="5" applyFont="1" applyFill="1" applyBorder="1"/>
    <xf numFmtId="0" fontId="256" fillId="12" borderId="0" xfId="5" applyFont="1" applyFill="1" applyAlignment="1">
      <alignment horizontal="center" vertical="center"/>
    </xf>
    <xf numFmtId="0" fontId="254" fillId="12" borderId="0" xfId="5" applyFont="1" applyFill="1" applyAlignment="1">
      <alignment horizontal="center" vertical="center"/>
    </xf>
    <xf numFmtId="2" fontId="254" fillId="12" borderId="0" xfId="5" applyNumberFormat="1" applyFont="1" applyFill="1"/>
    <xf numFmtId="0" fontId="258" fillId="0" borderId="0" xfId="5" quotePrefix="1" applyFont="1" applyAlignment="1">
      <alignment horizontal="left" vertical="center"/>
    </xf>
    <xf numFmtId="173" fontId="258" fillId="0" borderId="0" xfId="5" quotePrefix="1" applyNumberFormat="1" applyFont="1" applyAlignment="1">
      <alignment horizontal="right" vertical="center"/>
    </xf>
    <xf numFmtId="173" fontId="258" fillId="0" borderId="0" xfId="5" quotePrefix="1" applyNumberFormat="1" applyFont="1" applyAlignment="1">
      <alignment vertical="center"/>
    </xf>
    <xf numFmtId="43" fontId="261" fillId="3" borderId="2" xfId="8" applyFont="1" applyFill="1" applyBorder="1" applyAlignment="1">
      <alignment horizontal="center" vertical="center"/>
    </xf>
    <xf numFmtId="43" fontId="261" fillId="0" borderId="2" xfId="8" applyFont="1" applyFill="1" applyBorder="1" applyAlignment="1">
      <alignment horizontal="center" vertical="center"/>
    </xf>
    <xf numFmtId="0" fontId="9" fillId="0" borderId="5" xfId="5" quotePrefix="1" applyFont="1" applyFill="1" applyBorder="1" applyAlignment="1">
      <alignment horizontal="center" vertical="center"/>
    </xf>
    <xf numFmtId="178" fontId="254" fillId="0" borderId="2" xfId="8" quotePrefix="1" applyNumberFormat="1" applyFont="1" applyFill="1" applyBorder="1" applyAlignment="1">
      <alignment horizontal="center" vertical="center"/>
    </xf>
    <xf numFmtId="0" fontId="262" fillId="0" borderId="2" xfId="5" applyNumberFormat="1" applyFont="1" applyFill="1" applyBorder="1" applyAlignment="1">
      <alignment horizontal="right" vertical="center"/>
    </xf>
    <xf numFmtId="0" fontId="262" fillId="0" borderId="2" xfId="5" applyNumberFormat="1" applyFont="1" applyFill="1" applyBorder="1" applyAlignment="1">
      <alignment horizontal="center" vertical="center"/>
    </xf>
    <xf numFmtId="43" fontId="255" fillId="0" borderId="2" xfId="8" applyNumberFormat="1" applyFont="1" applyFill="1" applyBorder="1" applyAlignment="1">
      <alignment horizontal="center" vertical="center"/>
    </xf>
    <xf numFmtId="43" fontId="255" fillId="0" borderId="2" xfId="8" quotePrefix="1" applyNumberFormat="1" applyFont="1" applyFill="1" applyBorder="1" applyAlignment="1">
      <alignment horizontal="center" vertical="center"/>
    </xf>
    <xf numFmtId="179" fontId="255" fillId="0" borderId="2" xfId="8" applyNumberFormat="1" applyFont="1" applyFill="1" applyBorder="1" applyAlignment="1">
      <alignment horizontal="center" vertical="center"/>
    </xf>
    <xf numFmtId="0" fontId="9" fillId="0" borderId="5" xfId="0" quotePrefix="1" applyFont="1" applyFill="1" applyBorder="1" applyAlignment="1">
      <alignment horizontal="right" vertical="center"/>
    </xf>
    <xf numFmtId="0" fontId="9" fillId="0" borderId="7" xfId="0" quotePrefix="1" applyFont="1" applyFill="1" applyBorder="1" applyAlignment="1">
      <alignment horizontal="right" vertical="center" readingOrder="2"/>
    </xf>
    <xf numFmtId="0" fontId="246" fillId="0" borderId="6" xfId="0" applyFont="1" applyFill="1" applyBorder="1" applyAlignment="1">
      <alignment horizontal="center" vertical="center"/>
    </xf>
    <xf numFmtId="0" fontId="246" fillId="0" borderId="5" xfId="0" applyFont="1" applyFill="1" applyBorder="1" applyAlignment="1">
      <alignment horizontal="center" vertical="center"/>
    </xf>
    <xf numFmtId="0" fontId="246" fillId="0" borderId="8" xfId="0" applyFont="1" applyFill="1" applyBorder="1" applyAlignment="1">
      <alignment horizontal="center" vertical="center"/>
    </xf>
    <xf numFmtId="0" fontId="246" fillId="3" borderId="5" xfId="0" applyFont="1" applyFill="1" applyBorder="1" applyAlignment="1">
      <alignment horizontal="center" vertical="center"/>
    </xf>
    <xf numFmtId="0" fontId="246" fillId="0" borderId="5" xfId="0" quotePrefix="1" applyFont="1" applyFill="1" applyBorder="1" applyAlignment="1">
      <alignment horizontal="center" vertical="center"/>
    </xf>
    <xf numFmtId="0" fontId="246" fillId="0" borderId="2" xfId="0" quotePrefix="1" applyFont="1" applyFill="1" applyBorder="1" applyAlignment="1">
      <alignment horizontal="center" vertical="center"/>
    </xf>
    <xf numFmtId="0" fontId="246" fillId="3" borderId="9" xfId="0" applyFont="1" applyFill="1" applyBorder="1" applyAlignment="1">
      <alignment horizontal="center" vertical="center" wrapText="1"/>
    </xf>
    <xf numFmtId="0" fontId="246" fillId="3" borderId="9" xfId="0" applyFont="1" applyFill="1" applyBorder="1" applyAlignment="1">
      <alignment horizontal="center" vertical="justify" wrapText="1"/>
    </xf>
    <xf numFmtId="0" fontId="246" fillId="0" borderId="10" xfId="0" quotePrefix="1" applyFont="1" applyFill="1" applyBorder="1" applyAlignment="1">
      <alignment horizontal="center" vertical="center"/>
    </xf>
    <xf numFmtId="0" fontId="246" fillId="0" borderId="2" xfId="0" applyFont="1" applyFill="1" applyBorder="1" applyAlignment="1">
      <alignment horizontal="center" vertical="center"/>
    </xf>
    <xf numFmtId="0" fontId="246" fillId="3" borderId="9" xfId="0" applyFont="1" applyFill="1" applyBorder="1" applyAlignment="1">
      <alignment horizontal="center" vertical="center"/>
    </xf>
    <xf numFmtId="0" fontId="246" fillId="0" borderId="9" xfId="0" quotePrefix="1" applyFont="1" applyFill="1" applyBorder="1" applyAlignment="1">
      <alignment horizontal="center" vertical="center"/>
    </xf>
    <xf numFmtId="0" fontId="246" fillId="0" borderId="9" xfId="0" quotePrefix="1" applyFont="1" applyFill="1" applyBorder="1" applyAlignment="1">
      <alignment horizontal="center" vertical="center" wrapText="1" readingOrder="2"/>
    </xf>
    <xf numFmtId="0" fontId="246" fillId="0" borderId="2" xfId="0" quotePrefix="1" applyFont="1" applyFill="1" applyBorder="1" applyAlignment="1">
      <alignment horizontal="center" vertical="center" wrapText="1" readingOrder="2"/>
    </xf>
    <xf numFmtId="0" fontId="246" fillId="0" borderId="2" xfId="0" applyFont="1" applyFill="1" applyBorder="1" applyAlignment="1">
      <alignment horizontal="center" vertical="center" wrapText="1" readingOrder="2"/>
    </xf>
    <xf numFmtId="0" fontId="246" fillId="0" borderId="2" xfId="0" applyFont="1" applyFill="1" applyBorder="1" applyAlignment="1">
      <alignment horizontal="center" vertical="center" wrapText="1"/>
    </xf>
    <xf numFmtId="0" fontId="263" fillId="0" borderId="2" xfId="0" quotePrefix="1" applyFont="1" applyFill="1" applyBorder="1" applyAlignment="1">
      <alignment horizontal="center" vertical="center" wrapText="1" readingOrder="2"/>
    </xf>
    <xf numFmtId="0" fontId="245" fillId="0" borderId="4" xfId="0" quotePrefix="1" applyFont="1" applyFill="1" applyBorder="1" applyAlignment="1">
      <alignment vertical="center"/>
    </xf>
    <xf numFmtId="0" fontId="0" fillId="0" borderId="0" xfId="0" applyBorder="1" applyAlignment="1">
      <alignment horizontal="center"/>
    </xf>
    <xf numFmtId="0" fontId="265" fillId="0" borderId="0" xfId="5" applyFont="1" applyFill="1" applyAlignment="1">
      <alignment horizontal="center"/>
    </xf>
    <xf numFmtId="169" fontId="13" fillId="0" borderId="2" xfId="5" applyNumberFormat="1" applyFont="1" applyFill="1" applyBorder="1" applyAlignment="1"/>
    <xf numFmtId="14" fontId="269" fillId="0" borderId="2" xfId="0" quotePrefix="1" applyNumberFormat="1" applyFont="1" applyFill="1" applyBorder="1" applyAlignment="1">
      <alignment horizontal="right"/>
    </xf>
    <xf numFmtId="0" fontId="271" fillId="0" borderId="2" xfId="0" applyNumberFormat="1" applyFont="1" applyFill="1" applyBorder="1"/>
    <xf numFmtId="172" fontId="271" fillId="0" borderId="0" xfId="0" applyNumberFormat="1" applyFont="1" applyFill="1" applyBorder="1"/>
    <xf numFmtId="171" fontId="40" fillId="0" borderId="0" xfId="0" quotePrefix="1" applyNumberFormat="1" applyFont="1" applyFill="1" applyAlignment="1">
      <alignment horizontal="center" vertical="center"/>
    </xf>
    <xf numFmtId="14" fontId="6" fillId="0" borderId="0" xfId="0" applyNumberFormat="1" applyFont="1" applyBorder="1"/>
    <xf numFmtId="14" fontId="272" fillId="0" borderId="0" xfId="0" applyNumberFormat="1" applyFont="1" applyBorder="1"/>
    <xf numFmtId="14" fontId="273" fillId="0" borderId="0" xfId="0" applyNumberFormat="1" applyFont="1" applyBorder="1"/>
    <xf numFmtId="0" fontId="274" fillId="0" borderId="15" xfId="0" applyNumberFormat="1" applyFont="1" applyBorder="1" applyAlignment="1">
      <alignment horizontal="center"/>
    </xf>
    <xf numFmtId="0" fontId="28" fillId="0" borderId="14" xfId="0" applyFont="1" applyBorder="1" applyAlignment="1">
      <alignment horizontal="center" vertical="center" wrapText="1"/>
    </xf>
    <xf numFmtId="43" fontId="0" fillId="0" borderId="7" xfId="2" applyFont="1" applyBorder="1"/>
    <xf numFmtId="0" fontId="181" fillId="0" borderId="0" xfId="5" applyFont="1" applyFill="1" applyAlignment="1">
      <alignment horizontal="center"/>
    </xf>
    <xf numFmtId="164" fontId="24" fillId="0" borderId="35" xfId="2" applyNumberFormat="1" applyFont="1" applyBorder="1" applyAlignment="1">
      <alignment horizontal="center" vertical="center"/>
    </xf>
    <xf numFmtId="0" fontId="20" fillId="0" borderId="0" xfId="0" applyFont="1" applyBorder="1"/>
    <xf numFmtId="164" fontId="8" fillId="0" borderId="0" xfId="2" applyNumberFormat="1" applyFont="1" applyBorder="1" applyAlignment="1">
      <alignment vertical="center"/>
    </xf>
    <xf numFmtId="164" fontId="8" fillId="0" borderId="2" xfId="2" applyNumberFormat="1" applyFont="1" applyBorder="1" applyAlignment="1">
      <alignment vertical="center"/>
    </xf>
    <xf numFmtId="164" fontId="24" fillId="0" borderId="14" xfId="2" applyNumberFormat="1" applyFont="1" applyBorder="1" applyAlignment="1">
      <alignment horizontal="center" vertical="center"/>
    </xf>
    <xf numFmtId="41" fontId="24" fillId="0" borderId="2" xfId="2" applyNumberFormat="1" applyFont="1" applyBorder="1" applyAlignment="1">
      <alignment horizontal="center" vertical="center"/>
    </xf>
    <xf numFmtId="0" fontId="181" fillId="17" borderId="2" xfId="5" applyFont="1" applyFill="1" applyBorder="1" applyAlignment="1">
      <alignment vertical="center"/>
    </xf>
    <xf numFmtId="0" fontId="181" fillId="17" borderId="14" xfId="5" applyFont="1" applyFill="1" applyBorder="1" applyAlignment="1">
      <alignment vertical="center"/>
    </xf>
    <xf numFmtId="0" fontId="181" fillId="17" borderId="0" xfId="5" applyFont="1" applyFill="1" applyBorder="1" applyAlignment="1">
      <alignment vertical="center"/>
    </xf>
    <xf numFmtId="14" fontId="123" fillId="0" borderId="0" xfId="0" applyNumberFormat="1" applyFont="1"/>
    <xf numFmtId="14" fontId="157" fillId="0" borderId="0" xfId="0" applyNumberFormat="1" applyFont="1" applyBorder="1" applyAlignment="1">
      <alignment horizontal="right"/>
    </xf>
    <xf numFmtId="0" fontId="3" fillId="0" borderId="0" xfId="0" applyFont="1" applyAlignment="1">
      <alignment horizontal="left" vertical="center"/>
    </xf>
    <xf numFmtId="14" fontId="157" fillId="0" borderId="0" xfId="0" applyNumberFormat="1" applyFont="1" applyBorder="1"/>
    <xf numFmtId="14" fontId="157" fillId="0" borderId="0" xfId="0" applyNumberFormat="1" applyFont="1"/>
    <xf numFmtId="0" fontId="266" fillId="0" borderId="2" xfId="5" applyFont="1" applyFill="1" applyBorder="1" applyAlignment="1">
      <alignment horizontal="right"/>
    </xf>
    <xf numFmtId="176" fontId="26" fillId="0" borderId="2" xfId="2" applyNumberFormat="1" applyFont="1" applyBorder="1" applyAlignment="1">
      <alignment horizontal="center" vertical="center"/>
    </xf>
    <xf numFmtId="41" fontId="278" fillId="0" borderId="0" xfId="0" applyNumberFormat="1" applyFont="1" applyAlignment="1">
      <alignment horizontal="right"/>
    </xf>
    <xf numFmtId="0" fontId="278" fillId="0" borderId="0" xfId="0" applyFont="1" applyAlignment="1">
      <alignment horizontal="right"/>
    </xf>
    <xf numFmtId="0" fontId="279" fillId="0" borderId="0" xfId="0" applyFont="1" applyAlignment="1">
      <alignment horizontal="center"/>
    </xf>
    <xf numFmtId="41" fontId="279" fillId="0" borderId="0" xfId="0" applyNumberFormat="1" applyFont="1" applyAlignment="1">
      <alignment horizontal="center"/>
    </xf>
    <xf numFmtId="0" fontId="6" fillId="0" borderId="0" xfId="0" applyFont="1" applyBorder="1" applyAlignment="1">
      <alignment horizontal="right" vertical="center"/>
    </xf>
    <xf numFmtId="0" fontId="23" fillId="0" borderId="0" xfId="0" applyFont="1" applyBorder="1" applyAlignment="1">
      <alignment horizontal="right" vertical="center"/>
    </xf>
    <xf numFmtId="176" fontId="22" fillId="0" borderId="2" xfId="2" applyNumberFormat="1" applyFont="1" applyBorder="1" applyAlignment="1">
      <alignment horizontal="center" vertical="center"/>
    </xf>
    <xf numFmtId="0" fontId="275" fillId="0" borderId="2" xfId="0" applyFont="1" applyBorder="1" applyAlignment="1">
      <alignment horizontal="right" vertical="center"/>
    </xf>
    <xf numFmtId="0" fontId="281" fillId="0" borderId="0" xfId="0" applyFont="1"/>
    <xf numFmtId="171" fontId="282" fillId="0" borderId="0" xfId="0" applyNumberFormat="1" applyFont="1" applyAlignment="1">
      <alignment horizontal="right" vertical="center"/>
    </xf>
    <xf numFmtId="171" fontId="270" fillId="0" borderId="0" xfId="0" quotePrefix="1" applyNumberFormat="1" applyFont="1" applyAlignment="1">
      <alignment horizontal="left" vertical="center"/>
    </xf>
    <xf numFmtId="178" fontId="131" fillId="0" borderId="5" xfId="0" applyNumberFormat="1" applyFont="1" applyBorder="1" applyAlignment="1">
      <alignment horizontal="center" vertical="center" wrapText="1"/>
    </xf>
    <xf numFmtId="0" fontId="285" fillId="0" borderId="0" xfId="0" applyFont="1"/>
    <xf numFmtId="0" fontId="285" fillId="0" borderId="0" xfId="0" applyFont="1" applyAlignment="1">
      <alignment vertical="center"/>
    </xf>
    <xf numFmtId="0" fontId="286" fillId="0" borderId="0" xfId="0" quotePrefix="1" applyFont="1" applyAlignment="1">
      <alignment horizontal="right"/>
    </xf>
    <xf numFmtId="0" fontId="24" fillId="0" borderId="0" xfId="0" applyNumberFormat="1" applyFont="1"/>
    <xf numFmtId="0" fontId="18" fillId="0" borderId="0" xfId="0" applyFont="1" applyBorder="1" applyAlignment="1"/>
    <xf numFmtId="14" fontId="288" fillId="0" borderId="0" xfId="2" applyNumberFormat="1" applyFont="1" applyAlignment="1">
      <alignment vertical="center"/>
    </xf>
    <xf numFmtId="14" fontId="289" fillId="0" borderId="2" xfId="0" applyNumberFormat="1" applyFont="1" applyBorder="1" applyAlignment="1">
      <alignment horizontal="left" vertical="center"/>
    </xf>
    <xf numFmtId="14" fontId="232" fillId="0" borderId="0" xfId="0" applyNumberFormat="1" applyFont="1"/>
    <xf numFmtId="14" fontId="290" fillId="0" borderId="0" xfId="0" quotePrefix="1" applyNumberFormat="1" applyFont="1" applyAlignment="1">
      <alignment horizontal="right" vertical="center"/>
    </xf>
    <xf numFmtId="14" fontId="156" fillId="0" borderId="0" xfId="0" applyNumberFormat="1" applyFont="1"/>
    <xf numFmtId="14" fontId="267" fillId="0" borderId="0" xfId="0" applyNumberFormat="1" applyFont="1"/>
    <xf numFmtId="14" fontId="293" fillId="0" borderId="0" xfId="5" applyNumberFormat="1" applyFont="1" applyFill="1"/>
    <xf numFmtId="14" fontId="294" fillId="0" borderId="0" xfId="5" applyNumberFormat="1" applyFont="1" applyFill="1"/>
    <xf numFmtId="14" fontId="295" fillId="0" borderId="2" xfId="0" applyNumberFormat="1" applyFont="1" applyBorder="1" applyAlignment="1">
      <alignment horizontal="left" vertical="center"/>
    </xf>
    <xf numFmtId="14" fontId="296" fillId="0" borderId="0" xfId="5" applyNumberFormat="1" applyFont="1" applyFill="1"/>
    <xf numFmtId="14" fontId="297" fillId="0" borderId="0" xfId="0" applyNumberFormat="1" applyFont="1"/>
    <xf numFmtId="14" fontId="298" fillId="0" borderId="0" xfId="0" quotePrefix="1" applyNumberFormat="1" applyFont="1" applyAlignment="1">
      <alignment horizontal="right" vertical="center"/>
    </xf>
    <xf numFmtId="14" fontId="299" fillId="0" borderId="0" xfId="5" applyNumberFormat="1" applyFont="1" applyFill="1"/>
    <xf numFmtId="0" fontId="229" fillId="0" borderId="15" xfId="0" applyFont="1" applyBorder="1"/>
    <xf numFmtId="0" fontId="235" fillId="0" borderId="0" xfId="0" applyFont="1" applyAlignment="1">
      <alignment horizontal="center" vertical="center"/>
    </xf>
    <xf numFmtId="0" fontId="234" fillId="0" borderId="15" xfId="0" applyFont="1" applyBorder="1" applyAlignment="1">
      <alignment horizontal="center"/>
    </xf>
    <xf numFmtId="0" fontId="234" fillId="0" borderId="66" xfId="0" applyFont="1" applyBorder="1" applyAlignment="1">
      <alignment horizontal="center"/>
    </xf>
    <xf numFmtId="0" fontId="234" fillId="0" borderId="67" xfId="0" applyFont="1" applyBorder="1" applyAlignment="1">
      <alignment horizontal="center"/>
    </xf>
    <xf numFmtId="0" fontId="234" fillId="0" borderId="68" xfId="0" applyFont="1" applyBorder="1" applyAlignment="1">
      <alignment horizontal="center"/>
    </xf>
    <xf numFmtId="0" fontId="291" fillId="0" borderId="2" xfId="0" applyFont="1" applyBorder="1"/>
    <xf numFmtId="0" fontId="291" fillId="0" borderId="2" xfId="0" quotePrefix="1" applyFont="1" applyBorder="1"/>
    <xf numFmtId="0" fontId="301" fillId="0" borderId="0" xfId="0" applyFont="1" applyBorder="1" applyAlignment="1">
      <alignment horizontal="right"/>
    </xf>
    <xf numFmtId="0" fontId="302" fillId="0" borderId="0" xfId="0" applyFont="1"/>
    <xf numFmtId="0" fontId="303" fillId="0" borderId="0" xfId="0" applyFont="1" applyAlignment="1">
      <alignment horizontal="left"/>
    </xf>
    <xf numFmtId="2" fontId="304" fillId="0" borderId="0" xfId="0" applyNumberFormat="1" applyFont="1" applyBorder="1" applyAlignment="1">
      <alignment vertical="center"/>
    </xf>
    <xf numFmtId="14" fontId="305" fillId="0" borderId="2" xfId="0" applyNumberFormat="1" applyFont="1" applyBorder="1" applyAlignment="1">
      <alignment horizontal="left" vertical="center"/>
    </xf>
    <xf numFmtId="2" fontId="306" fillId="0" borderId="0" xfId="0" applyNumberFormat="1" applyFont="1" applyBorder="1" applyAlignment="1">
      <alignment vertical="center"/>
    </xf>
    <xf numFmtId="0" fontId="307" fillId="0" borderId="0" xfId="0" applyFont="1"/>
    <xf numFmtId="0" fontId="307" fillId="0" borderId="0" xfId="0" quotePrefix="1" applyFont="1" applyAlignment="1"/>
    <xf numFmtId="0" fontId="308" fillId="0" borderId="0" xfId="5" quotePrefix="1" applyFont="1" applyFill="1" applyAlignment="1">
      <alignment horizontal="right"/>
    </xf>
    <xf numFmtId="0" fontId="309" fillId="0" borderId="0" xfId="5" applyFont="1" applyFill="1"/>
    <xf numFmtId="0" fontId="309" fillId="0" borderId="0" xfId="5" quotePrefix="1" applyFont="1" applyFill="1" applyAlignment="1">
      <alignment horizontal="right"/>
    </xf>
    <xf numFmtId="0" fontId="297" fillId="0" borderId="0" xfId="5" applyFont="1" applyFill="1"/>
    <xf numFmtId="169" fontId="13" fillId="0" borderId="0" xfId="0" applyNumberFormat="1" applyFont="1" applyFill="1" applyBorder="1" applyAlignment="1">
      <alignment horizontal="center"/>
    </xf>
    <xf numFmtId="169" fontId="13" fillId="0" borderId="0" xfId="5" applyNumberFormat="1" applyFont="1" applyFill="1" applyBorder="1" applyAlignment="1"/>
    <xf numFmtId="0" fontId="310" fillId="0" borderId="14" xfId="5" applyFont="1" applyFill="1" applyBorder="1" applyAlignment="1">
      <alignment horizontal="right" vertical="center"/>
    </xf>
    <xf numFmtId="0" fontId="310" fillId="0" borderId="2" xfId="5" quotePrefix="1" applyFont="1" applyFill="1" applyBorder="1" applyAlignment="1">
      <alignment horizontal="center" vertical="center"/>
    </xf>
    <xf numFmtId="0" fontId="311" fillId="0" borderId="0" xfId="5" applyFont="1" applyFill="1" applyBorder="1" applyAlignment="1">
      <alignment horizontal="right" vertical="center"/>
    </xf>
    <xf numFmtId="0" fontId="310" fillId="0" borderId="3" xfId="5" applyFont="1" applyFill="1" applyBorder="1" applyAlignment="1">
      <alignment horizontal="right" vertical="center"/>
    </xf>
    <xf numFmtId="0" fontId="312" fillId="0" borderId="0" xfId="0" applyFont="1" applyBorder="1"/>
    <xf numFmtId="0" fontId="312" fillId="0" borderId="0" xfId="0" quotePrefix="1" applyFont="1" applyBorder="1" applyAlignment="1">
      <alignment horizontal="right" vertical="center"/>
    </xf>
    <xf numFmtId="0" fontId="314" fillId="0" borderId="0" xfId="5" applyFont="1" applyFill="1" applyAlignment="1">
      <alignment horizontal="right"/>
    </xf>
    <xf numFmtId="0" fontId="307" fillId="0" borderId="0" xfId="0" quotePrefix="1" applyFont="1" applyAlignment="1">
      <alignment horizontal="right"/>
    </xf>
    <xf numFmtId="0" fontId="307" fillId="0" borderId="0" xfId="0" applyFont="1" applyAlignment="1">
      <alignment horizontal="right"/>
    </xf>
    <xf numFmtId="0" fontId="316" fillId="0" borderId="0" xfId="0" applyFont="1" applyBorder="1"/>
    <xf numFmtId="0" fontId="317" fillId="0" borderId="0" xfId="0" applyFont="1" applyBorder="1"/>
    <xf numFmtId="0" fontId="313" fillId="0" borderId="2" xfId="0" applyFont="1" applyBorder="1" applyAlignment="1">
      <alignment horizontal="right" vertical="center"/>
    </xf>
    <xf numFmtId="0" fontId="36" fillId="3" borderId="9" xfId="5" applyFont="1" applyFill="1" applyBorder="1" applyAlignment="1">
      <alignment horizontal="center" vertical="center" wrapText="1"/>
    </xf>
    <xf numFmtId="0" fontId="319" fillId="0" borderId="0" xfId="0" applyFont="1" applyBorder="1" applyAlignment="1">
      <alignment horizontal="right"/>
    </xf>
    <xf numFmtId="0" fontId="311" fillId="0" borderId="0" xfId="0" applyFont="1" applyFill="1" applyBorder="1" applyAlignment="1">
      <alignment horizontal="right" vertical="center"/>
    </xf>
    <xf numFmtId="0" fontId="310" fillId="0" borderId="2" xfId="0" quotePrefix="1" applyFont="1" applyFill="1" applyBorder="1" applyAlignment="1">
      <alignment horizontal="center" vertical="center"/>
    </xf>
    <xf numFmtId="0" fontId="310" fillId="0" borderId="3" xfId="0" applyFont="1" applyFill="1" applyBorder="1" applyAlignment="1">
      <alignment horizontal="right" vertical="center"/>
    </xf>
    <xf numFmtId="0" fontId="308" fillId="0" borderId="0" xfId="0" quotePrefix="1" applyFont="1" applyFill="1" applyAlignment="1">
      <alignment horizontal="right"/>
    </xf>
    <xf numFmtId="0" fontId="309" fillId="0" borderId="0" xfId="0" applyFont="1" applyFill="1"/>
    <xf numFmtId="0" fontId="309" fillId="0" borderId="0" xfId="0" quotePrefix="1" applyFont="1" applyFill="1" applyAlignment="1">
      <alignment horizontal="right"/>
    </xf>
    <xf numFmtId="0" fontId="314" fillId="0" borderId="0" xfId="0" applyFont="1" applyFill="1" applyAlignment="1">
      <alignment horizontal="right"/>
    </xf>
    <xf numFmtId="0" fontId="307" fillId="0" borderId="0" xfId="0" applyFont="1" applyBorder="1" applyAlignment="1">
      <alignment horizontal="right"/>
    </xf>
    <xf numFmtId="0" fontId="321" fillId="0" borderId="0" xfId="0" applyFont="1" applyBorder="1" applyAlignment="1">
      <alignment horizontal="left"/>
    </xf>
    <xf numFmtId="0" fontId="0" fillId="0" borderId="7" xfId="0" applyBorder="1"/>
    <xf numFmtId="0" fontId="75" fillId="0" borderId="7" xfId="0" applyFont="1" applyBorder="1"/>
    <xf numFmtId="43" fontId="23" fillId="0" borderId="7" xfId="2" applyFont="1" applyBorder="1"/>
    <xf numFmtId="172" fontId="312" fillId="0" borderId="2" xfId="0" applyNumberFormat="1" applyFont="1" applyFill="1" applyBorder="1"/>
    <xf numFmtId="172" fontId="322" fillId="0" borderId="15" xfId="0" applyNumberFormat="1" applyFont="1" applyFill="1" applyBorder="1" applyAlignment="1">
      <alignment horizontal="center"/>
    </xf>
    <xf numFmtId="0" fontId="323" fillId="0" borderId="14" xfId="0" applyFont="1" applyFill="1" applyBorder="1"/>
    <xf numFmtId="0" fontId="9" fillId="0" borderId="14" xfId="0" quotePrefix="1" applyFont="1" applyFill="1" applyBorder="1" applyAlignment="1">
      <alignment horizontal="right" vertical="center"/>
    </xf>
    <xf numFmtId="0" fontId="9" fillId="0" borderId="12" xfId="0" quotePrefix="1" applyFont="1" applyFill="1" applyBorder="1" applyAlignment="1">
      <alignment horizontal="right" vertical="center"/>
    </xf>
    <xf numFmtId="170" fontId="47" fillId="0" borderId="5" xfId="0" applyNumberFormat="1" applyFont="1" applyFill="1" applyBorder="1" applyAlignment="1">
      <alignment horizontal="center" vertical="center"/>
    </xf>
    <xf numFmtId="170" fontId="47" fillId="0" borderId="9" xfId="0" applyNumberFormat="1" applyFont="1" applyFill="1" applyBorder="1" applyAlignment="1">
      <alignment horizontal="center" vertical="center"/>
    </xf>
    <xf numFmtId="0" fontId="246" fillId="0" borderId="14" xfId="0" quotePrefix="1" applyFont="1" applyFill="1" applyBorder="1" applyAlignment="1">
      <alignment horizontal="center" vertical="center"/>
    </xf>
    <xf numFmtId="0" fontId="246" fillId="0" borderId="3" xfId="0" quotePrefix="1" applyFont="1" applyFill="1" applyBorder="1" applyAlignment="1">
      <alignment horizontal="center" vertical="center"/>
    </xf>
    <xf numFmtId="0" fontId="246" fillId="0" borderId="12" xfId="0" quotePrefix="1" applyFont="1" applyFill="1" applyBorder="1" applyAlignment="1">
      <alignment horizontal="center" vertical="center"/>
    </xf>
    <xf numFmtId="43" fontId="40" fillId="0" borderId="14" xfId="2" applyFont="1" applyFill="1" applyBorder="1" applyAlignment="1">
      <alignment horizontal="center" vertical="center"/>
    </xf>
    <xf numFmtId="43" fontId="40" fillId="0" borderId="3" xfId="2" applyFont="1" applyFill="1" applyBorder="1" applyAlignment="1">
      <alignment horizontal="center" vertical="center"/>
    </xf>
    <xf numFmtId="43" fontId="40" fillId="0" borderId="12" xfId="2" applyFont="1" applyFill="1" applyBorder="1" applyAlignment="1">
      <alignment horizontal="center" vertical="center"/>
    </xf>
    <xf numFmtId="0" fontId="246" fillId="0" borderId="5" xfId="0" applyFont="1" applyFill="1" applyBorder="1" applyAlignment="1">
      <alignment horizontal="center" vertical="center"/>
    </xf>
    <xf numFmtId="0" fontId="246" fillId="0" borderId="9" xfId="0" applyFont="1" applyFill="1" applyBorder="1" applyAlignment="1">
      <alignment horizontal="center" vertical="center"/>
    </xf>
    <xf numFmtId="0" fontId="246" fillId="0" borderId="14" xfId="0" applyFont="1" applyFill="1" applyBorder="1" applyAlignment="1">
      <alignment horizontal="center" vertical="center"/>
    </xf>
    <xf numFmtId="0" fontId="246" fillId="0" borderId="3" xfId="0" applyFont="1" applyFill="1" applyBorder="1" applyAlignment="1">
      <alignment horizontal="center" vertical="center"/>
    </xf>
    <xf numFmtId="0" fontId="246" fillId="0" borderId="12" xfId="0" applyFont="1" applyFill="1" applyBorder="1" applyAlignment="1">
      <alignment horizontal="center" vertical="center"/>
    </xf>
    <xf numFmtId="0" fontId="9" fillId="0" borderId="14" xfId="0" applyFont="1" applyFill="1" applyBorder="1" applyAlignment="1">
      <alignment horizontal="right" vertical="center"/>
    </xf>
    <xf numFmtId="0" fontId="9" fillId="0" borderId="12" xfId="0" applyFont="1" applyFill="1" applyBorder="1" applyAlignment="1">
      <alignment horizontal="right" vertical="center"/>
    </xf>
    <xf numFmtId="0" fontId="310" fillId="0" borderId="14" xfId="0" applyFont="1" applyFill="1" applyBorder="1" applyAlignment="1">
      <alignment horizontal="right" vertical="center"/>
    </xf>
    <xf numFmtId="0" fontId="310" fillId="0" borderId="12" xfId="0" quotePrefix="1" applyFont="1" applyFill="1" applyBorder="1" applyAlignment="1">
      <alignment horizontal="right" vertical="center"/>
    </xf>
    <xf numFmtId="169" fontId="196" fillId="0" borderId="0" xfId="0" applyNumberFormat="1" applyFont="1" applyFill="1" applyAlignment="1">
      <alignment horizontal="center" readingOrder="2"/>
    </xf>
    <xf numFmtId="0" fontId="11" fillId="0" borderId="7"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1" xfId="0" applyFont="1" applyFill="1" applyBorder="1" applyAlignment="1">
      <alignment horizontal="center" vertical="center" wrapText="1"/>
    </xf>
    <xf numFmtId="14" fontId="267" fillId="0" borderId="0" xfId="0" applyNumberFormat="1" applyFont="1" applyFill="1" applyAlignment="1">
      <alignment horizontal="right"/>
    </xf>
    <xf numFmtId="0" fontId="77" fillId="0" borderId="0" xfId="0" applyFont="1" applyFill="1" applyAlignment="1">
      <alignment horizontal="center"/>
    </xf>
    <xf numFmtId="172" fontId="22" fillId="0" borderId="14" xfId="0" applyNumberFormat="1" applyFont="1" applyFill="1" applyBorder="1" applyAlignment="1">
      <alignment horizontal="center" vertical="center"/>
    </xf>
    <xf numFmtId="172" fontId="22" fillId="0" borderId="3" xfId="0" applyNumberFormat="1" applyFont="1" applyFill="1" applyBorder="1" applyAlignment="1">
      <alignment horizontal="center" vertical="center"/>
    </xf>
    <xf numFmtId="172" fontId="22" fillId="0" borderId="12" xfId="0" applyNumberFormat="1" applyFont="1" applyFill="1" applyBorder="1" applyAlignment="1">
      <alignment horizontal="center" vertical="center"/>
    </xf>
    <xf numFmtId="0" fontId="79" fillId="0" borderId="14" xfId="0" applyFont="1" applyFill="1" applyBorder="1" applyAlignment="1">
      <alignment horizontal="center"/>
    </xf>
    <xf numFmtId="0" fontId="79" fillId="0" borderId="3" xfId="0" applyFont="1" applyFill="1" applyBorder="1" applyAlignment="1">
      <alignment horizontal="center"/>
    </xf>
    <xf numFmtId="0" fontId="79" fillId="0" borderId="12" xfId="0" applyFont="1" applyFill="1" applyBorder="1" applyAlignment="1">
      <alignment horizontal="center"/>
    </xf>
    <xf numFmtId="14" fontId="268" fillId="0" borderId="0" xfId="0" applyNumberFormat="1" applyFont="1" applyFill="1" applyAlignment="1">
      <alignment horizontal="right"/>
    </xf>
    <xf numFmtId="0" fontId="10" fillId="0" borderId="0" xfId="0" applyFont="1" applyBorder="1" applyAlignment="1">
      <alignment horizontal="center" vertical="center" wrapText="1"/>
    </xf>
    <xf numFmtId="0" fontId="64" fillId="0" borderId="0" xfId="0" quotePrefix="1" applyFont="1" applyBorder="1" applyAlignment="1">
      <alignment horizontal="center"/>
    </xf>
    <xf numFmtId="0" fontId="71" fillId="0" borderId="0" xfId="0" quotePrefix="1" applyFont="1" applyBorder="1" applyAlignment="1">
      <alignment horizontal="center"/>
    </xf>
    <xf numFmtId="0" fontId="30" fillId="0" borderId="0" xfId="0" applyFont="1" applyAlignment="1">
      <alignment horizontal="center" vertical="center"/>
    </xf>
    <xf numFmtId="0" fontId="24" fillId="0" borderId="0" xfId="0" quotePrefix="1" applyFont="1" applyBorder="1" applyAlignment="1">
      <alignment horizontal="left" vertical="center"/>
    </xf>
    <xf numFmtId="0" fontId="24" fillId="0" borderId="0" xfId="0" quotePrefix="1" applyFont="1" applyBorder="1" applyAlignment="1">
      <alignment horizontal="left" vertical="center" readingOrder="2"/>
    </xf>
    <xf numFmtId="0" fontId="26" fillId="0" borderId="14" xfId="0" applyFont="1" applyBorder="1"/>
    <xf numFmtId="0" fontId="26" fillId="0" borderId="3" xfId="0" applyFont="1" applyBorder="1"/>
    <xf numFmtId="0" fontId="26" fillId="0" borderId="12" xfId="0" applyFont="1" applyBorder="1"/>
    <xf numFmtId="164" fontId="26" fillId="0" borderId="14" xfId="2" applyNumberFormat="1" applyFont="1" applyBorder="1" applyAlignment="1">
      <alignment horizontal="center" vertical="center"/>
    </xf>
    <xf numFmtId="164" fontId="26" fillId="0" borderId="12" xfId="2" applyNumberFormat="1" applyFont="1" applyBorder="1" applyAlignment="1">
      <alignment horizontal="center" vertical="center"/>
    </xf>
    <xf numFmtId="0" fontId="118" fillId="0" borderId="0" xfId="0" applyFont="1" applyFill="1" applyBorder="1" applyAlignment="1">
      <alignment horizontal="center" vertical="center"/>
    </xf>
    <xf numFmtId="164" fontId="26" fillId="0" borderId="3" xfId="2" applyNumberFormat="1" applyFont="1" applyBorder="1" applyAlignment="1">
      <alignment horizontal="center" vertical="center"/>
    </xf>
    <xf numFmtId="0" fontId="22" fillId="0" borderId="0" xfId="0" applyFont="1" applyAlignment="1">
      <alignment horizontal="center"/>
    </xf>
    <xf numFmtId="0" fontId="118" fillId="0" borderId="0" xfId="0" applyFont="1" applyBorder="1" applyAlignment="1">
      <alignment horizontal="center" vertical="center"/>
    </xf>
    <xf numFmtId="0" fontId="28" fillId="0" borderId="5" xfId="0" applyFont="1" applyBorder="1" applyAlignment="1">
      <alignment horizontal="center" vertical="center"/>
    </xf>
    <xf numFmtId="0" fontId="28" fillId="0" borderId="9" xfId="0" applyFont="1" applyBorder="1" applyAlignment="1">
      <alignment horizontal="center" vertical="center"/>
    </xf>
    <xf numFmtId="0" fontId="28" fillId="0" borderId="6" xfId="0" applyFont="1" applyBorder="1" applyAlignment="1">
      <alignment horizontal="center" vertical="center"/>
    </xf>
    <xf numFmtId="0" fontId="28"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16" xfId="0" applyFont="1" applyBorder="1" applyAlignment="1">
      <alignment horizontal="center" vertical="center"/>
    </xf>
    <xf numFmtId="0" fontId="28" fillId="0" borderId="1" xfId="0" applyFont="1" applyBorder="1" applyAlignment="1">
      <alignment horizontal="center" vertical="center"/>
    </xf>
    <xf numFmtId="0" fontId="22" fillId="0" borderId="0" xfId="0" applyFont="1" applyAlignment="1">
      <alignment horizontal="center" vertical="center"/>
    </xf>
    <xf numFmtId="0" fontId="24" fillId="0" borderId="44" xfId="0" quotePrefix="1" applyFont="1" applyBorder="1" applyAlignment="1">
      <alignment horizontal="right" vertical="center"/>
    </xf>
    <xf numFmtId="167" fontId="0" fillId="0" borderId="0" xfId="0" applyNumberFormat="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24" fillId="0" borderId="2" xfId="0" applyFont="1" applyBorder="1" applyAlignment="1">
      <alignment horizontal="center" vertical="center"/>
    </xf>
    <xf numFmtId="0" fontId="119" fillId="0" borderId="2" xfId="0" applyFont="1" applyBorder="1" applyAlignment="1">
      <alignment horizontal="center" vertical="center"/>
    </xf>
    <xf numFmtId="0" fontId="122" fillId="0" borderId="0" xfId="0" applyFont="1" applyBorder="1" applyAlignment="1">
      <alignment horizontal="center" vertical="center"/>
    </xf>
    <xf numFmtId="0" fontId="13" fillId="0" borderId="0" xfId="0" applyFont="1" applyBorder="1" applyAlignment="1">
      <alignment horizontal="center" vertical="center" wrapText="1"/>
    </xf>
    <xf numFmtId="0" fontId="119" fillId="0" borderId="5" xfId="0" applyFont="1" applyBorder="1" applyAlignment="1">
      <alignment horizontal="center" vertical="center"/>
    </xf>
    <xf numFmtId="0" fontId="119" fillId="0" borderId="9" xfId="0" applyFont="1" applyBorder="1" applyAlignment="1">
      <alignment horizontal="center" vertical="center"/>
    </xf>
    <xf numFmtId="2" fontId="22" fillId="0" borderId="0" xfId="0" applyNumberFormat="1" applyFont="1" applyBorder="1" applyAlignment="1">
      <alignment horizontal="center" vertical="center"/>
    </xf>
    <xf numFmtId="0" fontId="297" fillId="0" borderId="0" xfId="0" applyFont="1" applyBorder="1" applyAlignment="1">
      <alignment horizontal="center" vertical="center"/>
    </xf>
    <xf numFmtId="0" fontId="124" fillId="0" borderId="14" xfId="0" quotePrefix="1" applyFont="1" applyBorder="1" applyAlignment="1">
      <alignment horizontal="center" vertical="center" wrapText="1"/>
    </xf>
    <xf numFmtId="0" fontId="124" fillId="0" borderId="3" xfId="0" quotePrefix="1" applyFont="1" applyBorder="1" applyAlignment="1">
      <alignment horizontal="center" vertical="center" wrapText="1"/>
    </xf>
    <xf numFmtId="0" fontId="124" fillId="0" borderId="12" xfId="0" quotePrefix="1"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4" fillId="0" borderId="0" xfId="3" applyFont="1" applyBorder="1" applyAlignment="1">
      <alignment horizontal="center" readingOrder="2"/>
    </xf>
    <xf numFmtId="3" fontId="8" fillId="0" borderId="29" xfId="3" applyNumberFormat="1" applyFont="1" applyBorder="1" applyAlignment="1">
      <alignment horizontal="center"/>
    </xf>
    <xf numFmtId="0" fontId="106" fillId="0" borderId="1" xfId="3" applyFont="1" applyBorder="1" applyAlignment="1">
      <alignment horizontal="center" vertical="center"/>
    </xf>
    <xf numFmtId="0" fontId="106" fillId="0" borderId="16" xfId="3" applyFont="1" applyBorder="1" applyAlignment="1">
      <alignment horizontal="center" vertical="center"/>
    </xf>
    <xf numFmtId="4" fontId="3" fillId="0" borderId="50" xfId="3" applyNumberFormat="1" applyFont="1" applyBorder="1" applyAlignment="1">
      <alignment horizontal="center" vertical="center"/>
    </xf>
    <xf numFmtId="4" fontId="3" fillId="0" borderId="51" xfId="3" applyNumberFormat="1" applyFont="1" applyBorder="1" applyAlignment="1">
      <alignment horizontal="center" vertical="center"/>
    </xf>
    <xf numFmtId="4" fontId="3" fillId="0" borderId="52" xfId="3" applyNumberFormat="1" applyFont="1" applyBorder="1" applyAlignment="1">
      <alignment horizontal="center" vertical="center"/>
    </xf>
    <xf numFmtId="0" fontId="108" fillId="0" borderId="6" xfId="3" applyFont="1" applyBorder="1" applyAlignment="1">
      <alignment horizontal="left" vertical="top" wrapText="1"/>
    </xf>
    <xf numFmtId="0" fontId="108" fillId="0" borderId="4" xfId="3" applyFont="1" applyBorder="1" applyAlignment="1">
      <alignment horizontal="left" vertical="top"/>
    </xf>
    <xf numFmtId="0" fontId="108" fillId="0" borderId="8" xfId="3" applyFont="1" applyBorder="1" applyAlignment="1">
      <alignment horizontal="left" vertical="top"/>
    </xf>
    <xf numFmtId="0" fontId="108" fillId="0" borderId="7" xfId="3" applyFont="1" applyBorder="1" applyAlignment="1">
      <alignment horizontal="left" vertical="top"/>
    </xf>
    <xf numFmtId="0" fontId="108" fillId="0" borderId="0" xfId="3" applyFont="1" applyBorder="1" applyAlignment="1">
      <alignment horizontal="left" vertical="top"/>
    </xf>
    <xf numFmtId="0" fontId="108" fillId="0" borderId="11" xfId="3" applyFont="1" applyBorder="1" applyAlignment="1">
      <alignment horizontal="left" vertical="top"/>
    </xf>
    <xf numFmtId="0" fontId="108" fillId="0" borderId="10" xfId="3" applyFont="1" applyBorder="1" applyAlignment="1">
      <alignment horizontal="left" vertical="top"/>
    </xf>
    <xf numFmtId="0" fontId="108" fillId="0" borderId="1" xfId="3" applyFont="1" applyBorder="1" applyAlignment="1">
      <alignment horizontal="left" vertical="top"/>
    </xf>
    <xf numFmtId="0" fontId="108" fillId="0" borderId="16" xfId="3" applyFont="1" applyBorder="1" applyAlignment="1">
      <alignment horizontal="left" vertical="top"/>
    </xf>
    <xf numFmtId="3" fontId="8" fillId="0" borderId="23" xfId="3" applyNumberFormat="1" applyFont="1" applyBorder="1" applyAlignment="1">
      <alignment horizontal="center"/>
    </xf>
    <xf numFmtId="4" fontId="3" fillId="0" borderId="28" xfId="3" applyNumberFormat="1" applyFont="1" applyBorder="1" applyAlignment="1">
      <alignment horizontal="center" vertical="center"/>
    </xf>
    <xf numFmtId="4" fontId="3" fillId="0" borderId="29" xfId="3" applyNumberFormat="1" applyFont="1" applyBorder="1" applyAlignment="1">
      <alignment horizontal="center" vertical="center"/>
    </xf>
    <xf numFmtId="4" fontId="3" fillId="0" borderId="30" xfId="3" applyNumberFormat="1" applyFont="1" applyBorder="1" applyAlignment="1">
      <alignment horizontal="center" vertical="center"/>
    </xf>
    <xf numFmtId="14" fontId="291" fillId="0" borderId="7" xfId="3" applyNumberFormat="1" applyFont="1" applyBorder="1" applyAlignment="1">
      <alignment horizontal="center"/>
    </xf>
    <xf numFmtId="0" fontId="291" fillId="0" borderId="0" xfId="3" applyFont="1" applyBorder="1" applyAlignment="1">
      <alignment horizontal="center"/>
    </xf>
    <xf numFmtId="0" fontId="102" fillId="0" borderId="14" xfId="3" applyFont="1" applyBorder="1" applyAlignment="1">
      <alignment horizontal="center" vertical="center" readingOrder="2"/>
    </xf>
    <xf numFmtId="0" fontId="102" fillId="0" borderId="3" xfId="3" applyFont="1" applyBorder="1" applyAlignment="1">
      <alignment horizontal="center" vertical="center" readingOrder="2"/>
    </xf>
    <xf numFmtId="0" fontId="102" fillId="0" borderId="12" xfId="3" applyFont="1" applyBorder="1" applyAlignment="1">
      <alignment horizontal="center" vertical="center" readingOrder="2"/>
    </xf>
    <xf numFmtId="0" fontId="102" fillId="0" borderId="14" xfId="3" applyFont="1" applyBorder="1" applyAlignment="1">
      <alignment horizontal="center" vertical="center"/>
    </xf>
    <xf numFmtId="0" fontId="102" fillId="0" borderId="3" xfId="3" applyFont="1" applyBorder="1" applyAlignment="1">
      <alignment horizontal="center" vertical="center"/>
    </xf>
    <xf numFmtId="0" fontId="102" fillId="0" borderId="12" xfId="3" applyFont="1" applyBorder="1" applyAlignment="1">
      <alignment horizontal="center" vertical="center"/>
    </xf>
    <xf numFmtId="0" fontId="102" fillId="0" borderId="6" xfId="3" applyFont="1" applyBorder="1" applyAlignment="1">
      <alignment horizontal="center" vertical="center"/>
    </xf>
    <xf numFmtId="0" fontId="102" fillId="0" borderId="4" xfId="3" applyFont="1" applyBorder="1" applyAlignment="1">
      <alignment horizontal="center" vertical="center"/>
    </xf>
    <xf numFmtId="0" fontId="102" fillId="0" borderId="8" xfId="3" applyFont="1" applyBorder="1" applyAlignment="1">
      <alignment horizontal="center" vertical="center"/>
    </xf>
    <xf numFmtId="0" fontId="109" fillId="0" borderId="6" xfId="3" applyFont="1" applyBorder="1" applyAlignment="1">
      <alignment horizontal="center" vertical="top" wrapText="1"/>
    </xf>
    <xf numFmtId="0" fontId="109" fillId="0" borderId="4" xfId="3" applyFont="1" applyBorder="1" applyAlignment="1">
      <alignment horizontal="center" vertical="top" wrapText="1"/>
    </xf>
    <xf numFmtId="0" fontId="109" fillId="0" borderId="8" xfId="3" applyFont="1" applyBorder="1" applyAlignment="1">
      <alignment horizontal="center" vertical="top" wrapText="1"/>
    </xf>
    <xf numFmtId="0" fontId="109" fillId="0" borderId="7" xfId="3" applyFont="1" applyBorder="1" applyAlignment="1">
      <alignment horizontal="center" vertical="top" wrapText="1"/>
    </xf>
    <xf numFmtId="0" fontId="109" fillId="0" borderId="0" xfId="3" applyFont="1" applyBorder="1" applyAlignment="1">
      <alignment horizontal="center" vertical="top" wrapText="1"/>
    </xf>
    <xf numFmtId="0" fontId="109" fillId="0" borderId="11" xfId="3" applyFont="1" applyBorder="1" applyAlignment="1">
      <alignment horizontal="center" vertical="top" wrapText="1"/>
    </xf>
    <xf numFmtId="0" fontId="102" fillId="0" borderId="7" xfId="3" applyFont="1" applyBorder="1" applyAlignment="1">
      <alignment horizontal="center" vertical="top" wrapText="1"/>
    </xf>
    <xf numFmtId="0" fontId="102" fillId="0" borderId="0" xfId="3" applyFont="1" applyBorder="1" applyAlignment="1">
      <alignment horizontal="center" vertical="top"/>
    </xf>
    <xf numFmtId="0" fontId="102" fillId="0" borderId="11" xfId="3" applyFont="1" applyBorder="1" applyAlignment="1">
      <alignment horizontal="center" vertical="top"/>
    </xf>
    <xf numFmtId="0" fontId="102" fillId="0" borderId="7" xfId="3" applyFont="1" applyBorder="1" applyAlignment="1">
      <alignment horizontal="center" vertical="top"/>
    </xf>
    <xf numFmtId="0" fontId="102" fillId="0" borderId="10" xfId="3" applyFont="1" applyBorder="1" applyAlignment="1">
      <alignment horizontal="center" vertical="top"/>
    </xf>
    <xf numFmtId="0" fontId="102" fillId="0" borderId="1" xfId="3" applyFont="1" applyBorder="1" applyAlignment="1">
      <alignment horizontal="center" vertical="top"/>
    </xf>
    <xf numFmtId="0" fontId="102" fillId="0" borderId="16" xfId="3" applyFont="1" applyBorder="1" applyAlignment="1">
      <alignment horizontal="center" vertical="top"/>
    </xf>
    <xf numFmtId="0" fontId="102" fillId="0" borderId="15" xfId="3" applyFont="1" applyBorder="1" applyAlignment="1">
      <alignment horizontal="center" vertical="center" wrapText="1"/>
    </xf>
    <xf numFmtId="0" fontId="102" fillId="0" borderId="15" xfId="3" applyFont="1" applyBorder="1" applyAlignment="1">
      <alignment horizontal="center" vertical="center"/>
    </xf>
    <xf numFmtId="4" fontId="199" fillId="0" borderId="48" xfId="3" applyNumberFormat="1" applyFont="1" applyBorder="1" applyAlignment="1">
      <alignment horizontal="center" vertical="center"/>
    </xf>
    <xf numFmtId="4" fontId="199" fillId="0" borderId="0" xfId="3" applyNumberFormat="1" applyFont="1" applyBorder="1" applyAlignment="1">
      <alignment horizontal="center" vertical="center"/>
    </xf>
    <xf numFmtId="4" fontId="199" fillId="0" borderId="49" xfId="3" applyNumberFormat="1" applyFont="1" applyBorder="1" applyAlignment="1">
      <alignment horizontal="center" vertical="center"/>
    </xf>
    <xf numFmtId="1" fontId="8" fillId="0" borderId="23" xfId="3" applyNumberFormat="1" applyFont="1" applyBorder="1" applyAlignment="1">
      <alignment horizontal="center"/>
    </xf>
    <xf numFmtId="1" fontId="8" fillId="0" borderId="3" xfId="3" applyNumberFormat="1" applyFont="1" applyBorder="1" applyAlignment="1">
      <alignment horizontal="center"/>
    </xf>
    <xf numFmtId="4" fontId="3" fillId="0" borderId="14" xfId="3" applyNumberFormat="1" applyFont="1" applyBorder="1" applyAlignment="1">
      <alignment horizontal="center"/>
    </xf>
    <xf numFmtId="4" fontId="3" fillId="0" borderId="3" xfId="3" applyNumberFormat="1" applyFont="1" applyBorder="1" applyAlignment="1">
      <alignment horizontal="center"/>
    </xf>
    <xf numFmtId="4" fontId="3" fillId="0" borderId="12" xfId="3" applyNumberFormat="1" applyFont="1" applyBorder="1" applyAlignment="1">
      <alignment horizontal="center"/>
    </xf>
    <xf numFmtId="3" fontId="5" fillId="0" borderId="3" xfId="3" applyNumberFormat="1" applyFont="1" applyBorder="1" applyAlignment="1">
      <alignment horizontal="center"/>
    </xf>
    <xf numFmtId="0" fontId="5" fillId="0" borderId="3" xfId="3" applyFont="1" applyBorder="1" applyAlignment="1">
      <alignment horizontal="center"/>
    </xf>
    <xf numFmtId="0" fontId="108" fillId="0" borderId="14" xfId="3" applyFont="1" applyBorder="1" applyAlignment="1">
      <alignment horizontal="center" vertical="center"/>
    </xf>
    <xf numFmtId="0" fontId="108" fillId="0" borderId="3" xfId="3" applyFont="1" applyBorder="1" applyAlignment="1">
      <alignment horizontal="center" vertical="center"/>
    </xf>
    <xf numFmtId="0" fontId="108" fillId="0" borderId="12" xfId="3" applyFont="1" applyBorder="1" applyAlignment="1">
      <alignment horizontal="center" vertical="center"/>
    </xf>
    <xf numFmtId="0" fontId="102" fillId="0" borderId="14" xfId="3" applyFont="1" applyBorder="1" applyAlignment="1">
      <alignment horizontal="center" vertical="center" wrapText="1"/>
    </xf>
    <xf numFmtId="0" fontId="102" fillId="0" borderId="3" xfId="3" applyFont="1" applyBorder="1" applyAlignment="1">
      <alignment vertical="center" wrapText="1"/>
    </xf>
    <xf numFmtId="0" fontId="102" fillId="0" borderId="12" xfId="3" applyFont="1" applyBorder="1" applyAlignment="1">
      <alignment vertical="center" wrapText="1"/>
    </xf>
    <xf numFmtId="0" fontId="5" fillId="0" borderId="7" xfId="3" applyFont="1" applyBorder="1" applyAlignment="1">
      <alignment horizontal="center" vertical="center"/>
    </xf>
    <xf numFmtId="0" fontId="5" fillId="0" borderId="0" xfId="3" applyFont="1" applyBorder="1" applyAlignment="1">
      <alignment horizontal="center" vertical="center"/>
    </xf>
    <xf numFmtId="0" fontId="5" fillId="0" borderId="11" xfId="3" applyFont="1" applyBorder="1" applyAlignment="1">
      <alignment horizontal="center" vertical="center"/>
    </xf>
    <xf numFmtId="3" fontId="8" fillId="0" borderId="45" xfId="3" applyNumberFormat="1" applyFont="1" applyBorder="1" applyAlignment="1">
      <alignment horizontal="center"/>
    </xf>
    <xf numFmtId="3" fontId="8" fillId="0" borderId="46" xfId="3" applyNumberFormat="1" applyFont="1" applyBorder="1" applyAlignment="1">
      <alignment horizontal="center"/>
    </xf>
    <xf numFmtId="3" fontId="8" fillId="0" borderId="47" xfId="3" applyNumberFormat="1" applyFont="1" applyBorder="1" applyAlignment="1">
      <alignment horizontal="center"/>
    </xf>
    <xf numFmtId="0" fontId="5" fillId="0" borderId="7" xfId="4" applyFont="1" applyBorder="1" applyAlignment="1">
      <alignment horizontal="center" vertical="center"/>
    </xf>
    <xf numFmtId="0" fontId="5" fillId="0" borderId="0" xfId="4" applyFont="1" applyAlignment="1">
      <alignment horizontal="center" vertical="center"/>
    </xf>
    <xf numFmtId="0" fontId="5" fillId="0" borderId="11" xfId="4" applyFont="1" applyBorder="1" applyAlignment="1">
      <alignment horizontal="center" vertical="center"/>
    </xf>
    <xf numFmtId="3" fontId="8" fillId="0" borderId="1" xfId="3" applyNumberFormat="1" applyFont="1" applyBorder="1" applyAlignment="1">
      <alignment horizontal="center"/>
    </xf>
    <xf numFmtId="3" fontId="8" fillId="0" borderId="3" xfId="3" applyNumberFormat="1" applyFont="1" applyBorder="1" applyAlignment="1">
      <alignment horizontal="center"/>
    </xf>
    <xf numFmtId="3" fontId="8" fillId="0" borderId="0" xfId="3" applyNumberFormat="1" applyFont="1" applyBorder="1" applyAlignment="1">
      <alignment vertical="center"/>
    </xf>
    <xf numFmtId="3" fontId="8" fillId="0" borderId="0" xfId="3" applyNumberFormat="1" applyFont="1" applyBorder="1" applyAlignment="1">
      <alignment horizontal="center" vertical="center"/>
    </xf>
    <xf numFmtId="3" fontId="8" fillId="0" borderId="0" xfId="3" applyNumberFormat="1" applyFont="1" applyBorder="1" applyAlignment="1">
      <alignment horizontal="center"/>
    </xf>
    <xf numFmtId="0" fontId="108" fillId="0" borderId="14" xfId="3" applyFont="1" applyBorder="1" applyAlignment="1">
      <alignment horizontal="center" vertical="center" wrapText="1"/>
    </xf>
    <xf numFmtId="0" fontId="108" fillId="0" borderId="3" xfId="3" applyFont="1" applyBorder="1" applyAlignment="1">
      <alignment vertical="center" wrapText="1"/>
    </xf>
    <xf numFmtId="0" fontId="108" fillId="0" borderId="12" xfId="3" applyFont="1" applyBorder="1" applyAlignment="1">
      <alignment vertical="center" wrapText="1"/>
    </xf>
    <xf numFmtId="0" fontId="295" fillId="0" borderId="0" xfId="3" applyFont="1" applyBorder="1" applyAlignment="1">
      <alignment horizontal="center" vertical="top"/>
    </xf>
    <xf numFmtId="0" fontId="295" fillId="0" borderId="1" xfId="3" applyFont="1" applyBorder="1" applyAlignment="1">
      <alignment horizontal="center" vertical="top"/>
    </xf>
    <xf numFmtId="49" fontId="8" fillId="0" borderId="10" xfId="3" applyNumberFormat="1" applyFont="1" applyBorder="1" applyAlignment="1">
      <alignment horizontal="center" vertical="center"/>
    </xf>
    <xf numFmtId="49" fontId="8" fillId="0" borderId="1" xfId="3" applyNumberFormat="1" applyFont="1" applyBorder="1" applyAlignment="1">
      <alignment horizontal="center" vertical="center"/>
    </xf>
    <xf numFmtId="49" fontId="8" fillId="0" borderId="16" xfId="3" applyNumberFormat="1" applyFont="1" applyBorder="1" applyAlignment="1">
      <alignment horizontal="center" vertical="center"/>
    </xf>
    <xf numFmtId="0" fontId="106" fillId="0" borderId="7" xfId="3" applyFont="1" applyBorder="1" applyAlignment="1">
      <alignment horizontal="center" vertical="center"/>
    </xf>
    <xf numFmtId="0" fontId="106" fillId="0" borderId="0" xfId="3" applyFont="1" applyBorder="1" applyAlignment="1">
      <alignment horizontal="center" vertical="center"/>
    </xf>
    <xf numFmtId="0" fontId="106" fillId="0" borderId="11" xfId="3" applyFont="1" applyBorder="1" applyAlignment="1">
      <alignment horizontal="center" vertical="center"/>
    </xf>
    <xf numFmtId="0" fontId="108" fillId="0" borderId="0" xfId="3" applyFont="1" applyAlignment="1">
      <alignment horizontal="center" vertical="center"/>
    </xf>
    <xf numFmtId="0" fontId="8" fillId="0" borderId="10" xfId="3" applyFont="1" applyBorder="1" applyAlignment="1">
      <alignment horizontal="center"/>
    </xf>
    <xf numFmtId="0" fontId="8" fillId="0" borderId="1" xfId="3" applyFont="1" applyBorder="1" applyAlignment="1">
      <alignment horizontal="center"/>
    </xf>
    <xf numFmtId="0" fontId="8" fillId="0" borderId="16" xfId="3" applyFont="1" applyBorder="1" applyAlignment="1">
      <alignment horizontal="center"/>
    </xf>
    <xf numFmtId="0" fontId="109" fillId="0" borderId="6" xfId="3" applyFont="1" applyBorder="1" applyAlignment="1">
      <alignment horizontal="center" vertical="center" wrapText="1"/>
    </xf>
    <xf numFmtId="0" fontId="109" fillId="0" borderId="4" xfId="3" applyFont="1" applyBorder="1" applyAlignment="1">
      <alignment horizontal="center" vertical="center" wrapText="1"/>
    </xf>
    <xf numFmtId="0" fontId="109" fillId="0" borderId="8" xfId="3" applyFont="1" applyBorder="1" applyAlignment="1">
      <alignment horizontal="center" vertical="center" wrapText="1"/>
    </xf>
    <xf numFmtId="0" fontId="109" fillId="0" borderId="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 xfId="3" applyFont="1" applyBorder="1" applyAlignment="1">
      <alignment horizontal="center" vertical="center" wrapText="1"/>
    </xf>
    <xf numFmtId="0" fontId="109" fillId="0" borderId="10" xfId="3" applyFont="1" applyBorder="1" applyAlignment="1">
      <alignment horizontal="center" vertical="center" wrapText="1"/>
    </xf>
    <xf numFmtId="0" fontId="109" fillId="0" borderId="1" xfId="3" applyFont="1" applyBorder="1" applyAlignment="1">
      <alignment horizontal="center" vertical="center" wrapText="1"/>
    </xf>
    <xf numFmtId="0" fontId="109" fillId="0" borderId="16" xfId="3" applyFont="1" applyBorder="1" applyAlignment="1">
      <alignment horizontal="center" vertical="center" wrapText="1"/>
    </xf>
    <xf numFmtId="0" fontId="110" fillId="0" borderId="0" xfId="3" applyFont="1" applyAlignment="1">
      <alignment horizontal="center" vertical="center"/>
    </xf>
    <xf numFmtId="0" fontId="111" fillId="0" borderId="6" xfId="3" applyFont="1" applyBorder="1" applyAlignment="1">
      <alignment horizontal="center"/>
    </xf>
    <xf numFmtId="0" fontId="111" fillId="0" borderId="4" xfId="3" applyFont="1" applyBorder="1" applyAlignment="1">
      <alignment horizontal="center"/>
    </xf>
    <xf numFmtId="0" fontId="111" fillId="0" borderId="8" xfId="3" applyFont="1" applyBorder="1" applyAlignment="1">
      <alignment horizontal="center"/>
    </xf>
    <xf numFmtId="0" fontId="102" fillId="0" borderId="0" xfId="3" applyFont="1" applyAlignment="1">
      <alignment horizontal="center" vertical="center"/>
    </xf>
    <xf numFmtId="0" fontId="8" fillId="0" borderId="0" xfId="3" applyFont="1" applyAlignment="1">
      <alignment horizontal="center" vertical="center"/>
    </xf>
    <xf numFmtId="0" fontId="102" fillId="0" borderId="7" xfId="3" applyFont="1" applyFill="1" applyBorder="1" applyAlignment="1">
      <alignment horizontal="center"/>
    </xf>
    <xf numFmtId="0" fontId="102" fillId="0" borderId="0" xfId="3" applyFont="1" applyFill="1" applyBorder="1" applyAlignment="1">
      <alignment horizontal="center"/>
    </xf>
    <xf numFmtId="0" fontId="102" fillId="0" borderId="11" xfId="3" applyFont="1" applyFill="1" applyBorder="1" applyAlignment="1">
      <alignment horizontal="center"/>
    </xf>
    <xf numFmtId="0" fontId="295" fillId="0" borderId="4" xfId="3" applyFont="1" applyBorder="1" applyAlignment="1">
      <alignment horizontal="center" vertical="center"/>
    </xf>
    <xf numFmtId="0" fontId="102" fillId="0" borderId="0" xfId="3" applyFont="1" applyAlignment="1"/>
    <xf numFmtId="0" fontId="8" fillId="0" borderId="0" xfId="3" applyFont="1" applyAlignment="1"/>
    <xf numFmtId="0" fontId="102" fillId="0" borderId="10" xfId="3" applyFont="1" applyFill="1" applyBorder="1" applyAlignment="1">
      <alignment horizontal="center"/>
    </xf>
    <xf numFmtId="0" fontId="102" fillId="0" borderId="1" xfId="3" applyFont="1" applyFill="1" applyBorder="1" applyAlignment="1">
      <alignment horizontal="center"/>
    </xf>
    <xf numFmtId="0" fontId="102" fillId="0" borderId="16" xfId="3" applyFont="1" applyFill="1" applyBorder="1" applyAlignment="1">
      <alignment horizontal="center"/>
    </xf>
    <xf numFmtId="0" fontId="3" fillId="0" borderId="7" xfId="3" applyFont="1" applyBorder="1" applyAlignment="1">
      <alignment horizontal="center" vertical="center"/>
    </xf>
    <xf numFmtId="0" fontId="3" fillId="0" borderId="0" xfId="3" applyFont="1" applyBorder="1" applyAlignment="1">
      <alignment horizontal="center" vertical="center"/>
    </xf>
    <xf numFmtId="0" fontId="3" fillId="0" borderId="11" xfId="3" applyFont="1" applyBorder="1" applyAlignment="1">
      <alignment horizontal="center" vertical="center"/>
    </xf>
    <xf numFmtId="0" fontId="109" fillId="0" borderId="7" xfId="3" applyFont="1" applyBorder="1" applyAlignment="1">
      <alignment horizontal="center" vertical="center"/>
    </xf>
    <xf numFmtId="0" fontId="109" fillId="0" borderId="0" xfId="3" applyFont="1" applyBorder="1" applyAlignment="1">
      <alignment horizontal="center" vertical="center"/>
    </xf>
    <xf numFmtId="0" fontId="105" fillId="0" borderId="0" xfId="4" applyFont="1" applyAlignment="1">
      <alignment horizontal="center" vertical="center"/>
    </xf>
    <xf numFmtId="0" fontId="3" fillId="0" borderId="10" xfId="3" applyFont="1" applyBorder="1" applyAlignment="1">
      <alignment horizontal="right" vertical="center"/>
    </xf>
    <xf numFmtId="0" fontId="3" fillId="0" borderId="1" xfId="3" applyFont="1" applyBorder="1" applyAlignment="1">
      <alignment horizontal="right" vertical="center"/>
    </xf>
    <xf numFmtId="0" fontId="3" fillId="0" borderId="16" xfId="3" applyFont="1" applyBorder="1" applyAlignment="1">
      <alignment horizontal="right" vertical="center"/>
    </xf>
    <xf numFmtId="1" fontId="3" fillId="0" borderId="0" xfId="3" applyNumberFormat="1" applyFont="1" applyBorder="1" applyAlignment="1">
      <alignment horizontal="center" vertical="center"/>
    </xf>
    <xf numFmtId="1" fontId="3" fillId="0" borderId="11" xfId="3" applyNumberFormat="1" applyFont="1" applyBorder="1" applyAlignment="1">
      <alignment horizontal="center" vertical="center"/>
    </xf>
    <xf numFmtId="0" fontId="275" fillId="0" borderId="34" xfId="0" applyFont="1" applyBorder="1" applyAlignment="1">
      <alignment horizontal="center" vertical="center"/>
    </xf>
    <xf numFmtId="0" fontId="275" fillId="0" borderId="40" xfId="0" applyFont="1" applyBorder="1" applyAlignment="1">
      <alignment horizontal="center" vertical="center"/>
    </xf>
    <xf numFmtId="0" fontId="101" fillId="0" borderId="0" xfId="4" applyFont="1" applyAlignment="1">
      <alignment horizontal="center" vertical="center" readingOrder="2"/>
    </xf>
    <xf numFmtId="1" fontId="3" fillId="0" borderId="6" xfId="3" applyNumberFormat="1" applyFont="1" applyBorder="1" applyAlignment="1">
      <alignment horizontal="center" vertical="center"/>
    </xf>
    <xf numFmtId="0" fontId="3" fillId="0" borderId="4" xfId="3" applyFont="1" applyBorder="1" applyAlignment="1">
      <alignment horizontal="center" vertical="center"/>
    </xf>
    <xf numFmtId="0" fontId="3" fillId="0" borderId="8" xfId="3" applyFont="1" applyBorder="1" applyAlignment="1">
      <alignment horizontal="center" vertical="center"/>
    </xf>
    <xf numFmtId="0" fontId="104" fillId="0" borderId="0" xfId="3" applyFont="1" applyBorder="1" applyAlignment="1">
      <alignment horizontal="center" vertical="center"/>
    </xf>
    <xf numFmtId="0" fontId="103" fillId="0" borderId="6" xfId="3" applyFont="1" applyBorder="1" applyAlignment="1">
      <alignment horizontal="center"/>
    </xf>
    <xf numFmtId="0" fontId="103" fillId="0" borderId="4" xfId="3" applyFont="1" applyBorder="1" applyAlignment="1">
      <alignment horizontal="center"/>
    </xf>
    <xf numFmtId="0" fontId="103" fillId="0" borderId="8" xfId="3" applyFont="1" applyBorder="1" applyAlignment="1">
      <alignment horizontal="center"/>
    </xf>
    <xf numFmtId="0" fontId="105" fillId="0" borderId="0" xfId="4" applyFont="1" applyAlignment="1">
      <alignment horizontal="center"/>
    </xf>
    <xf numFmtId="1" fontId="103" fillId="0" borderId="0" xfId="3" applyNumberFormat="1" applyFont="1" applyBorder="1" applyAlignment="1">
      <alignment horizontal="center" vertical="center"/>
    </xf>
    <xf numFmtId="0" fontId="103" fillId="0" borderId="0" xfId="3" applyFont="1" applyBorder="1" applyAlignment="1">
      <alignment horizontal="center" vertical="center"/>
    </xf>
    <xf numFmtId="0" fontId="103" fillId="0" borderId="11" xfId="3" applyFont="1" applyBorder="1" applyAlignment="1">
      <alignment horizontal="center" vertical="center"/>
    </xf>
    <xf numFmtId="0" fontId="103" fillId="0" borderId="7" xfId="3" applyFont="1" applyBorder="1" applyAlignment="1">
      <alignment horizontal="center"/>
    </xf>
    <xf numFmtId="0" fontId="103" fillId="0" borderId="0" xfId="3" applyFont="1" applyBorder="1" applyAlignment="1">
      <alignment horizontal="center"/>
    </xf>
    <xf numFmtId="0" fontId="103" fillId="0" borderId="11" xfId="3" applyFont="1" applyBorder="1" applyAlignment="1">
      <alignment horizontal="center"/>
    </xf>
    <xf numFmtId="0" fontId="107" fillId="0" borderId="0" xfId="3" applyFont="1" applyBorder="1" applyAlignment="1">
      <alignment horizontal="center" vertical="center"/>
    </xf>
    <xf numFmtId="14" fontId="232" fillId="0" borderId="0" xfId="0" applyNumberFormat="1" applyFont="1" applyAlignment="1">
      <alignment horizontal="right"/>
    </xf>
    <xf numFmtId="0" fontId="232" fillId="0" borderId="0" xfId="0" applyFont="1" applyAlignment="1">
      <alignment horizontal="right"/>
    </xf>
    <xf numFmtId="0" fontId="132" fillId="0" borderId="0" xfId="0" quotePrefix="1" applyFont="1" applyAlignment="1">
      <alignment horizontal="right" vertical="center"/>
    </xf>
    <xf numFmtId="0" fontId="135" fillId="0" borderId="10" xfId="0" applyFont="1" applyBorder="1" applyAlignment="1">
      <alignment horizontal="center" vertical="center"/>
    </xf>
    <xf numFmtId="0" fontId="135" fillId="0" borderId="1" xfId="0" applyFont="1" applyBorder="1" applyAlignment="1">
      <alignment horizontal="center" vertical="center"/>
    </xf>
    <xf numFmtId="0" fontId="135" fillId="0" borderId="16" xfId="0" applyFont="1" applyBorder="1" applyAlignment="1">
      <alignment horizontal="center" vertical="center"/>
    </xf>
    <xf numFmtId="0" fontId="26" fillId="0" borderId="2" xfId="0" applyFont="1" applyBorder="1" applyAlignment="1">
      <alignment horizontal="center"/>
    </xf>
    <xf numFmtId="164" fontId="24" fillId="0" borderId="10" xfId="2" applyNumberFormat="1" applyFont="1" applyBorder="1" applyAlignment="1">
      <alignment horizontal="center" vertical="center"/>
    </xf>
    <xf numFmtId="164" fontId="24" fillId="0" borderId="1" xfId="2" applyNumberFormat="1" applyFont="1" applyBorder="1" applyAlignment="1">
      <alignment horizontal="center" vertical="center"/>
    </xf>
    <xf numFmtId="164" fontId="24" fillId="0" borderId="12" xfId="2" applyNumberFormat="1" applyFont="1" applyBorder="1" applyAlignment="1">
      <alignment horizontal="center" vertical="center"/>
    </xf>
    <xf numFmtId="0" fontId="133" fillId="0" borderId="0" xfId="0" quotePrefix="1" applyFont="1" applyAlignment="1">
      <alignment horizontal="center" vertical="center"/>
    </xf>
    <xf numFmtId="0" fontId="133" fillId="0" borderId="0" xfId="0" applyFont="1" applyAlignment="1">
      <alignment horizontal="center" vertical="center"/>
    </xf>
    <xf numFmtId="0" fontId="24" fillId="0" borderId="0" xfId="0" quotePrefix="1" applyFont="1" applyAlignment="1">
      <alignment horizontal="center" vertical="center"/>
    </xf>
    <xf numFmtId="0" fontId="26" fillId="0" borderId="2" xfId="0" quotePrefix="1" applyFont="1" applyBorder="1" applyAlignment="1">
      <alignment horizontal="center"/>
    </xf>
    <xf numFmtId="0" fontId="30" fillId="0" borderId="0" xfId="0" applyFont="1" applyAlignment="1">
      <alignment horizontal="center"/>
    </xf>
    <xf numFmtId="0" fontId="320" fillId="0" borderId="0" xfId="0" quotePrefix="1" applyFont="1" applyAlignment="1">
      <alignment horizontal="right" vertical="center"/>
    </xf>
    <xf numFmtId="0" fontId="320" fillId="0" borderId="0" xfId="0" applyFont="1" applyAlignment="1">
      <alignment horizontal="right" vertical="center"/>
    </xf>
    <xf numFmtId="14" fontId="6" fillId="0" borderId="0" xfId="0" applyNumberFormat="1" applyFont="1" applyAlignment="1">
      <alignment horizontal="right"/>
    </xf>
    <xf numFmtId="0" fontId="22" fillId="0" borderId="2" xfId="0" quotePrefix="1" applyFont="1" applyBorder="1" applyAlignment="1">
      <alignment horizontal="center" vertical="center"/>
    </xf>
    <xf numFmtId="0" fontId="126" fillId="0" borderId="14" xfId="0" quotePrefix="1" applyFont="1" applyBorder="1" applyAlignment="1">
      <alignment horizontal="center" vertical="center"/>
    </xf>
    <xf numFmtId="0" fontId="126" fillId="0" borderId="12" xfId="0" quotePrefix="1" applyFont="1" applyBorder="1" applyAlignment="1">
      <alignment horizontal="center" vertical="center"/>
    </xf>
    <xf numFmtId="0" fontId="125" fillId="0" borderId="0" xfId="0" applyFont="1" applyAlignment="1">
      <alignment horizontal="center" vertical="center"/>
    </xf>
    <xf numFmtId="0" fontId="130" fillId="0" borderId="0" xfId="0" applyFont="1" applyAlignment="1">
      <alignment horizontal="center" vertical="center"/>
    </xf>
    <xf numFmtId="0" fontId="62" fillId="0" borderId="0" xfId="0" applyFont="1" applyAlignment="1">
      <alignment horizontal="center" vertical="center"/>
    </xf>
    <xf numFmtId="0" fontId="127" fillId="0" borderId="14" xfId="0" applyFont="1" applyBorder="1" applyAlignment="1">
      <alignment horizontal="center" vertical="center"/>
    </xf>
    <xf numFmtId="0" fontId="127" fillId="0" borderId="3" xfId="0" applyFont="1" applyBorder="1" applyAlignment="1">
      <alignment horizontal="center" vertical="center"/>
    </xf>
    <xf numFmtId="0" fontId="127" fillId="0" borderId="12" xfId="0" applyFont="1" applyBorder="1" applyAlignment="1">
      <alignment horizontal="center" vertical="center"/>
    </xf>
    <xf numFmtId="0" fontId="132" fillId="0" borderId="4" xfId="0" quotePrefix="1" applyFont="1" applyBorder="1" applyAlignment="1">
      <alignment horizontal="center" vertical="center" wrapText="1"/>
    </xf>
    <xf numFmtId="0" fontId="141" fillId="0" borderId="34" xfId="0" applyFont="1" applyFill="1" applyBorder="1" applyAlignment="1">
      <alignment horizontal="center" vertical="center"/>
    </xf>
    <xf numFmtId="0" fontId="141" fillId="0" borderId="40" xfId="0" applyFont="1" applyFill="1" applyBorder="1" applyAlignment="1">
      <alignment horizontal="center" vertical="center"/>
    </xf>
    <xf numFmtId="173" fontId="141" fillId="0" borderId="39" xfId="9" applyNumberFormat="1" applyFont="1" applyFill="1" applyBorder="1" applyAlignment="1">
      <alignment horizontal="center" vertical="center"/>
    </xf>
    <xf numFmtId="173" fontId="141" fillId="0" borderId="35" xfId="9" applyNumberFormat="1" applyFont="1" applyFill="1" applyBorder="1" applyAlignment="1">
      <alignment horizontal="center" vertical="center"/>
    </xf>
    <xf numFmtId="173" fontId="232" fillId="0" borderId="38" xfId="0" applyNumberFormat="1" applyFont="1" applyBorder="1" applyAlignment="1">
      <alignment horizontal="center" vertical="center"/>
    </xf>
    <xf numFmtId="173" fontId="232" fillId="0" borderId="35" xfId="0" applyNumberFormat="1" applyFont="1" applyBorder="1" applyAlignment="1">
      <alignment horizontal="center" vertical="center"/>
    </xf>
    <xf numFmtId="0" fontId="142" fillId="0" borderId="39" xfId="0" quotePrefix="1" applyFont="1" applyFill="1" applyBorder="1" applyAlignment="1">
      <alignment horizontal="center" vertical="center"/>
    </xf>
    <xf numFmtId="0" fontId="142" fillId="0" borderId="38" xfId="0" applyFont="1" applyFill="1" applyBorder="1" applyAlignment="1">
      <alignment horizontal="center" vertical="center"/>
    </xf>
    <xf numFmtId="0" fontId="142" fillId="0" borderId="35" xfId="0" applyFont="1" applyFill="1" applyBorder="1" applyAlignment="1">
      <alignment horizontal="center" vertical="center"/>
    </xf>
    <xf numFmtId="0" fontId="141" fillId="0" borderId="34" xfId="0" quotePrefix="1" applyFont="1" applyFill="1" applyBorder="1" applyAlignment="1">
      <alignment horizontal="center" vertical="center"/>
    </xf>
    <xf numFmtId="0" fontId="141" fillId="0" borderId="40" xfId="0" quotePrefix="1" applyFont="1" applyFill="1" applyBorder="1" applyAlignment="1">
      <alignment horizontal="center" vertical="center"/>
    </xf>
    <xf numFmtId="0" fontId="141" fillId="0" borderId="39" xfId="0" applyFont="1" applyFill="1" applyBorder="1" applyAlignment="1">
      <alignment horizontal="center" vertical="center"/>
    </xf>
    <xf numFmtId="0" fontId="141" fillId="0" borderId="38" xfId="0" applyFont="1" applyFill="1" applyBorder="1" applyAlignment="1">
      <alignment horizontal="center" vertical="center"/>
    </xf>
    <xf numFmtId="0" fontId="141" fillId="0" borderId="43" xfId="0" quotePrefix="1" applyFont="1" applyFill="1" applyBorder="1" applyAlignment="1">
      <alignment horizontal="center" vertical="center"/>
    </xf>
    <xf numFmtId="0" fontId="141" fillId="0" borderId="41" xfId="0" quotePrefix="1" applyFont="1" applyFill="1" applyBorder="1" applyAlignment="1">
      <alignment horizontal="center" vertical="center"/>
    </xf>
    <xf numFmtId="0" fontId="141" fillId="0" borderId="42" xfId="0" quotePrefix="1" applyFont="1" applyFill="1" applyBorder="1" applyAlignment="1">
      <alignment horizontal="center" vertical="center"/>
    </xf>
    <xf numFmtId="0" fontId="141" fillId="0" borderId="36" xfId="0" quotePrefix="1" applyFont="1" applyFill="1" applyBorder="1" applyAlignment="1">
      <alignment horizontal="center" vertical="center"/>
    </xf>
    <xf numFmtId="0" fontId="141" fillId="0" borderId="37" xfId="0" quotePrefix="1" applyFont="1" applyFill="1" applyBorder="1" applyAlignment="1">
      <alignment horizontal="center" vertical="center"/>
    </xf>
    <xf numFmtId="0" fontId="141" fillId="0" borderId="53" xfId="0" quotePrefix="1" applyFont="1" applyFill="1" applyBorder="1" applyAlignment="1">
      <alignment horizontal="center" vertical="center"/>
    </xf>
    <xf numFmtId="172" fontId="141" fillId="0" borderId="34" xfId="0" applyNumberFormat="1" applyFont="1" applyFill="1" applyBorder="1" applyAlignment="1">
      <alignment horizontal="center" vertical="center"/>
    </xf>
    <xf numFmtId="172" fontId="141" fillId="0" borderId="40" xfId="0" applyNumberFormat="1" applyFont="1" applyFill="1" applyBorder="1" applyAlignment="1">
      <alignment horizontal="center" vertical="center"/>
    </xf>
    <xf numFmtId="0" fontId="141" fillId="0" borderId="43" xfId="0" applyFont="1" applyFill="1" applyBorder="1" applyAlignment="1">
      <alignment horizontal="center" vertical="center"/>
    </xf>
    <xf numFmtId="0" fontId="141" fillId="0" borderId="41" xfId="0" applyFont="1" applyFill="1" applyBorder="1" applyAlignment="1">
      <alignment horizontal="center" vertical="center"/>
    </xf>
    <xf numFmtId="0" fontId="141" fillId="0" borderId="42" xfId="0" applyFont="1" applyFill="1" applyBorder="1" applyAlignment="1">
      <alignment horizontal="center" vertical="center"/>
    </xf>
    <xf numFmtId="0" fontId="141" fillId="0" borderId="36" xfId="0" applyFont="1" applyFill="1" applyBorder="1" applyAlignment="1">
      <alignment horizontal="center" vertical="center"/>
    </xf>
    <xf numFmtId="0" fontId="141" fillId="0" borderId="37" xfId="0" applyFont="1" applyFill="1" applyBorder="1" applyAlignment="1">
      <alignment horizontal="center" vertical="center"/>
    </xf>
    <xf numFmtId="0" fontId="141" fillId="0" borderId="53" xfId="0" applyFont="1" applyFill="1" applyBorder="1" applyAlignment="1">
      <alignment horizontal="center" vertical="center"/>
    </xf>
    <xf numFmtId="0" fontId="138" fillId="0" borderId="54" xfId="0" applyFont="1" applyFill="1" applyBorder="1" applyAlignment="1">
      <alignment horizontal="center" vertical="center"/>
    </xf>
    <xf numFmtId="0" fontId="138" fillId="0" borderId="0" xfId="0" applyFont="1" applyFill="1" applyBorder="1" applyAlignment="1">
      <alignment horizontal="center" vertical="center"/>
    </xf>
    <xf numFmtId="0" fontId="127" fillId="0" borderId="39" xfId="0" applyFont="1" applyFill="1" applyBorder="1" applyAlignment="1">
      <alignment horizontal="center" vertical="center"/>
    </xf>
    <xf numFmtId="0" fontId="127" fillId="0" borderId="38" xfId="0" applyFont="1" applyFill="1" applyBorder="1" applyAlignment="1">
      <alignment horizontal="center" vertical="center"/>
    </xf>
    <xf numFmtId="0" fontId="127" fillId="0" borderId="35" xfId="0" applyFont="1" applyFill="1" applyBorder="1" applyAlignment="1">
      <alignment horizontal="center" vertical="center"/>
    </xf>
    <xf numFmtId="0" fontId="127" fillId="0" borderId="39" xfId="0" applyFont="1" applyFill="1" applyBorder="1" applyAlignment="1">
      <alignment horizontal="center" vertical="center" wrapText="1"/>
    </xf>
    <xf numFmtId="0" fontId="127" fillId="0" borderId="38" xfId="0" applyFont="1" applyFill="1" applyBorder="1" applyAlignment="1">
      <alignment horizontal="center" vertical="center" wrapText="1"/>
    </xf>
    <xf numFmtId="0" fontId="127" fillId="0" borderId="35" xfId="0" applyFont="1" applyFill="1" applyBorder="1" applyAlignment="1">
      <alignment horizontal="center" vertical="center" wrapText="1"/>
    </xf>
    <xf numFmtId="0" fontId="127" fillId="0" borderId="43" xfId="0" applyFont="1" applyFill="1" applyBorder="1" applyAlignment="1">
      <alignment horizontal="center" vertical="center"/>
    </xf>
    <xf numFmtId="0" fontId="127" fillId="0" borderId="41" xfId="0" applyFont="1" applyFill="1" applyBorder="1" applyAlignment="1">
      <alignment horizontal="center" vertical="center"/>
    </xf>
    <xf numFmtId="0" fontId="127" fillId="0" borderId="42" xfId="0" applyFont="1" applyFill="1" applyBorder="1" applyAlignment="1">
      <alignment horizontal="center" vertical="center"/>
    </xf>
    <xf numFmtId="0" fontId="24" fillId="0" borderId="0" xfId="0" applyFont="1" applyBorder="1" applyAlignment="1">
      <alignment horizontal="right" vertical="center" wrapText="1"/>
    </xf>
    <xf numFmtId="0" fontId="22" fillId="0" borderId="6" xfId="0" applyFont="1" applyBorder="1" applyAlignment="1">
      <alignment horizontal="center" vertical="center"/>
    </xf>
    <xf numFmtId="0" fontId="22" fillId="0" borderId="4" xfId="0" applyFont="1" applyBorder="1" applyAlignment="1">
      <alignment horizontal="center" vertical="center"/>
    </xf>
    <xf numFmtId="0" fontId="22" fillId="0" borderId="8" xfId="0" applyFont="1" applyBorder="1" applyAlignment="1">
      <alignment horizontal="center" vertical="center"/>
    </xf>
    <xf numFmtId="0" fontId="221" fillId="0" borderId="0" xfId="0" applyFont="1" applyAlignment="1">
      <alignment horizontal="center" vertical="center"/>
    </xf>
    <xf numFmtId="0" fontId="208" fillId="0" borderId="6" xfId="0" applyFont="1" applyBorder="1" applyAlignment="1">
      <alignment horizontal="center" vertical="center" wrapText="1"/>
    </xf>
    <xf numFmtId="0" fontId="208" fillId="0" borderId="4" xfId="0" applyFont="1" applyBorder="1" applyAlignment="1">
      <alignment horizontal="center" vertical="center" wrapText="1"/>
    </xf>
    <xf numFmtId="0" fontId="208" fillId="0" borderId="8" xfId="0" applyFont="1" applyBorder="1" applyAlignment="1">
      <alignment horizontal="center" vertical="center" wrapText="1"/>
    </xf>
    <xf numFmtId="0" fontId="220" fillId="0" borderId="0" xfId="0" applyFont="1" applyAlignment="1">
      <alignment horizontal="right" vertical="center" wrapText="1"/>
    </xf>
    <xf numFmtId="0" fontId="218" fillId="0" borderId="0" xfId="0" applyFont="1" applyAlignment="1">
      <alignment horizontal="right" vertical="center" wrapText="1"/>
    </xf>
    <xf numFmtId="0" fontId="207" fillId="0" borderId="10" xfId="0" applyFont="1" applyBorder="1" applyAlignment="1">
      <alignment horizontal="center" vertical="center"/>
    </xf>
    <xf numFmtId="0" fontId="207" fillId="0" borderId="1" xfId="0" applyFont="1" applyBorder="1" applyAlignment="1">
      <alignment horizontal="center" vertical="center"/>
    </xf>
    <xf numFmtId="0" fontId="207" fillId="0" borderId="16" xfId="0" applyFont="1" applyBorder="1" applyAlignment="1">
      <alignment horizontal="center" vertical="center"/>
    </xf>
    <xf numFmtId="0" fontId="207" fillId="0" borderId="2" xfId="0" applyFont="1" applyBorder="1" applyAlignment="1">
      <alignment horizontal="center" vertical="center"/>
    </xf>
    <xf numFmtId="49" fontId="141" fillId="0" borderId="15" xfId="0" applyNumberFormat="1" applyFont="1" applyBorder="1" applyAlignment="1">
      <alignment horizontal="right" vertical="center" wrapText="1"/>
    </xf>
    <xf numFmtId="0" fontId="219" fillId="0" borderId="4" xfId="0" quotePrefix="1" applyFont="1" applyBorder="1" applyAlignment="1">
      <alignment horizontal="right" vertical="center" wrapText="1"/>
    </xf>
    <xf numFmtId="0" fontId="219" fillId="0" borderId="0" xfId="0" quotePrefix="1" applyFont="1" applyBorder="1" applyAlignment="1">
      <alignment horizontal="right" vertical="center" wrapText="1"/>
    </xf>
    <xf numFmtId="0" fontId="211" fillId="0" borderId="0" xfId="0" applyFont="1" applyFill="1" applyBorder="1" applyAlignment="1">
      <alignment horizontal="center"/>
    </xf>
    <xf numFmtId="0" fontId="211" fillId="0" borderId="0" xfId="0" applyFont="1" applyBorder="1" applyAlignment="1">
      <alignment horizontal="center"/>
    </xf>
    <xf numFmtId="0" fontId="212" fillId="0" borderId="0" xfId="0" applyFont="1" applyBorder="1" applyAlignment="1">
      <alignment horizontal="center"/>
    </xf>
    <xf numFmtId="14" fontId="292" fillId="0" borderId="0" xfId="0" applyNumberFormat="1" applyFont="1" applyBorder="1" applyAlignment="1">
      <alignment horizontal="right"/>
    </xf>
    <xf numFmtId="49" fontId="0" fillId="0" borderId="15" xfId="0" applyNumberFormat="1" applyBorder="1" applyAlignment="1">
      <alignment horizontal="right" vertical="center" wrapText="1"/>
    </xf>
    <xf numFmtId="0" fontId="9" fillId="12" borderId="0" xfId="5" quotePrefix="1" applyFont="1" applyFill="1" applyAlignment="1">
      <alignment horizontal="left" vertical="center"/>
    </xf>
    <xf numFmtId="173" fontId="9" fillId="12" borderId="0" xfId="5" quotePrefix="1" applyNumberFormat="1" applyFont="1" applyFill="1" applyAlignment="1">
      <alignment horizontal="right" vertical="center"/>
    </xf>
    <xf numFmtId="173" fontId="9" fillId="12" borderId="37" xfId="5" quotePrefix="1" applyNumberFormat="1" applyFont="1" applyFill="1" applyBorder="1" applyAlignment="1">
      <alignment horizontal="right" vertical="center"/>
    </xf>
    <xf numFmtId="173" fontId="9" fillId="12" borderId="0" xfId="5" quotePrefix="1" applyNumberFormat="1" applyFont="1" applyFill="1" applyBorder="1" applyAlignment="1">
      <alignment horizontal="right" vertical="center"/>
    </xf>
    <xf numFmtId="43" fontId="254" fillId="12" borderId="14" xfId="8" applyFont="1" applyFill="1" applyBorder="1" applyAlignment="1">
      <alignment horizontal="center" vertical="center"/>
    </xf>
    <xf numFmtId="43" fontId="254" fillId="12" borderId="3" xfId="8" applyFont="1" applyFill="1" applyBorder="1" applyAlignment="1">
      <alignment horizontal="center" vertical="center"/>
    </xf>
    <xf numFmtId="43" fontId="254" fillId="12" borderId="12" xfId="8" applyFont="1" applyFill="1" applyBorder="1" applyAlignment="1">
      <alignment horizontal="center" vertical="center"/>
    </xf>
    <xf numFmtId="0" fontId="9" fillId="0" borderId="0" xfId="5" quotePrefix="1" applyFont="1" applyAlignment="1">
      <alignment horizontal="left" vertical="center"/>
    </xf>
    <xf numFmtId="173" fontId="9" fillId="0" borderId="37" xfId="5" quotePrefix="1" applyNumberFormat="1" applyFont="1" applyBorder="1" applyAlignment="1">
      <alignment horizontal="right" vertical="center"/>
    </xf>
    <xf numFmtId="173" fontId="9" fillId="0" borderId="0" xfId="5" quotePrefix="1" applyNumberFormat="1" applyFont="1" applyBorder="1" applyAlignment="1">
      <alignment horizontal="right" vertical="center"/>
    </xf>
    <xf numFmtId="43" fontId="254" fillId="0" borderId="14" xfId="8" applyFont="1" applyFill="1" applyBorder="1" applyAlignment="1">
      <alignment horizontal="center" vertical="center"/>
    </xf>
    <xf numFmtId="43" fontId="254" fillId="0" borderId="3" xfId="8" applyFont="1" applyFill="1" applyBorder="1" applyAlignment="1">
      <alignment horizontal="center" vertical="center"/>
    </xf>
    <xf numFmtId="43" fontId="254" fillId="0" borderId="12" xfId="8" applyFont="1" applyFill="1" applyBorder="1" applyAlignment="1">
      <alignment horizontal="center" vertical="center"/>
    </xf>
    <xf numFmtId="173" fontId="9" fillId="0" borderId="0" xfId="5" quotePrefix="1" applyNumberFormat="1" applyFont="1" applyAlignment="1">
      <alignment horizontal="right" vertical="center"/>
    </xf>
    <xf numFmtId="0" fontId="9" fillId="0" borderId="5" xfId="5" applyFont="1" applyFill="1" applyBorder="1" applyAlignment="1">
      <alignment horizontal="center" vertical="center"/>
    </xf>
    <xf numFmtId="0" fontId="9" fillId="0" borderId="9" xfId="5" applyFont="1" applyFill="1" applyBorder="1" applyAlignment="1">
      <alignment horizontal="center" vertical="center"/>
    </xf>
    <xf numFmtId="0" fontId="9" fillId="0" borderId="14" xfId="5" applyFont="1" applyFill="1" applyBorder="1" applyAlignment="1">
      <alignment horizontal="center" vertical="center"/>
    </xf>
    <xf numFmtId="0" fontId="9" fillId="0" borderId="3" xfId="5" applyFont="1" applyFill="1" applyBorder="1" applyAlignment="1">
      <alignment horizontal="center" vertical="center"/>
    </xf>
    <xf numFmtId="0" fontId="9" fillId="0" borderId="12" xfId="5" applyFont="1" applyFill="1" applyBorder="1" applyAlignment="1">
      <alignment horizontal="center" vertical="center"/>
    </xf>
    <xf numFmtId="170" fontId="47" fillId="0" borderId="5" xfId="5" applyNumberFormat="1" applyFont="1" applyFill="1" applyBorder="1" applyAlignment="1">
      <alignment horizontal="center" vertical="center"/>
    </xf>
    <xf numFmtId="170" fontId="47" fillId="0" borderId="9" xfId="5" applyNumberFormat="1" applyFont="1" applyFill="1" applyBorder="1" applyAlignment="1">
      <alignment horizontal="center" vertical="center"/>
    </xf>
    <xf numFmtId="43" fontId="257" fillId="0" borderId="14" xfId="8" applyFont="1" applyFill="1" applyBorder="1" applyAlignment="1">
      <alignment horizontal="center" vertical="center"/>
    </xf>
    <xf numFmtId="43" fontId="257" fillId="0" borderId="3" xfId="8" applyFont="1" applyFill="1" applyBorder="1" applyAlignment="1">
      <alignment horizontal="center" vertical="center"/>
    </xf>
    <xf numFmtId="43" fontId="257" fillId="0" borderId="12" xfId="8" applyFont="1" applyFill="1" applyBorder="1" applyAlignment="1">
      <alignment horizontal="center" vertical="center"/>
    </xf>
    <xf numFmtId="0" fontId="258" fillId="0" borderId="0" xfId="5" quotePrefix="1" applyFont="1" applyAlignment="1">
      <alignment horizontal="left" vertical="center"/>
    </xf>
    <xf numFmtId="173" fontId="260" fillId="0" borderId="0" xfId="5" quotePrefix="1" applyNumberFormat="1" applyFont="1" applyAlignment="1">
      <alignment horizontal="right" vertical="center"/>
    </xf>
    <xf numFmtId="173" fontId="258" fillId="0" borderId="0" xfId="5" quotePrefix="1" applyNumberFormat="1" applyFont="1" applyAlignment="1">
      <alignment horizontal="right" vertical="center"/>
    </xf>
    <xf numFmtId="173" fontId="258" fillId="0" borderId="37" xfId="5" quotePrefix="1" applyNumberFormat="1" applyFont="1" applyBorder="1" applyAlignment="1">
      <alignment horizontal="right" vertical="center"/>
    </xf>
    <xf numFmtId="173" fontId="258" fillId="0" borderId="0" xfId="5" quotePrefix="1" applyNumberFormat="1" applyFont="1" applyBorder="1" applyAlignment="1">
      <alignment horizontal="right" vertical="center"/>
    </xf>
    <xf numFmtId="169" fontId="187" fillId="0" borderId="0" xfId="5" applyNumberFormat="1" applyFont="1" applyFill="1" applyAlignment="1">
      <alignment horizontal="center" readingOrder="2"/>
    </xf>
    <xf numFmtId="0" fontId="192" fillId="0" borderId="7" xfId="5" applyFont="1" applyFill="1" applyBorder="1" applyAlignment="1">
      <alignment horizontal="center" vertical="center" wrapText="1"/>
    </xf>
    <xf numFmtId="0" fontId="192" fillId="0" borderId="0" xfId="5" applyFont="1" applyFill="1" applyBorder="1" applyAlignment="1">
      <alignment horizontal="center" vertical="center" wrapText="1"/>
    </xf>
    <xf numFmtId="0" fontId="192" fillId="0" borderId="11" xfId="5" applyFont="1" applyFill="1" applyBorder="1" applyAlignment="1">
      <alignment horizontal="center" vertical="center" wrapText="1"/>
    </xf>
    <xf numFmtId="0" fontId="313" fillId="0" borderId="14" xfId="0" quotePrefix="1" applyFont="1" applyBorder="1" applyAlignment="1">
      <alignment horizontal="center" vertical="center"/>
    </xf>
    <xf numFmtId="0" fontId="313" fillId="0" borderId="12" xfId="0" quotePrefix="1" applyFont="1" applyBorder="1" applyAlignment="1">
      <alignment horizontal="center" vertical="center"/>
    </xf>
    <xf numFmtId="0" fontId="265" fillId="0" borderId="14" xfId="0" applyFont="1" applyBorder="1" applyAlignment="1">
      <alignment horizontal="center" vertical="center" wrapText="1"/>
    </xf>
    <xf numFmtId="0" fontId="265" fillId="0" borderId="12" xfId="0" applyFont="1" applyBorder="1" applyAlignment="1">
      <alignment horizontal="center" vertical="center" wrapText="1"/>
    </xf>
    <xf numFmtId="0" fontId="18" fillId="0" borderId="0" xfId="0" applyFont="1" applyBorder="1" applyAlignment="1">
      <alignment horizontal="center"/>
    </xf>
    <xf numFmtId="173" fontId="141" fillId="0" borderId="38" xfId="9" applyNumberFormat="1" applyFont="1" applyFill="1" applyBorder="1" applyAlignment="1">
      <alignment horizontal="center" vertical="center"/>
    </xf>
    <xf numFmtId="0" fontId="142" fillId="0" borderId="38" xfId="0" quotePrefix="1" applyFont="1" applyFill="1" applyBorder="1" applyAlignment="1">
      <alignment horizontal="center" vertical="center"/>
    </xf>
    <xf numFmtId="0" fontId="142" fillId="0" borderId="35" xfId="0" quotePrefix="1" applyFont="1" applyFill="1" applyBorder="1" applyAlignment="1">
      <alignment horizontal="center" vertical="center"/>
    </xf>
    <xf numFmtId="0" fontId="287" fillId="0" borderId="0" xfId="0" applyFont="1" applyAlignment="1">
      <alignment horizontal="center" vertical="center"/>
    </xf>
    <xf numFmtId="14" fontId="141" fillId="0" borderId="0" xfId="0" applyNumberFormat="1" applyFont="1" applyBorder="1" applyAlignment="1">
      <alignment horizontal="right"/>
    </xf>
    <xf numFmtId="0" fontId="127" fillId="0" borderId="15" xfId="0" applyFont="1" applyBorder="1" applyAlignment="1">
      <alignment horizontal="center" vertical="center" textRotation="135"/>
    </xf>
    <xf numFmtId="0" fontId="3" fillId="0" borderId="15" xfId="0" applyFont="1" applyBorder="1" applyAlignment="1">
      <alignment horizontal="center" vertical="center" textRotation="135" wrapText="1"/>
    </xf>
    <xf numFmtId="0" fontId="21" fillId="0" borderId="14" xfId="0" applyFont="1" applyBorder="1" applyAlignment="1">
      <alignment horizontal="center"/>
    </xf>
    <xf numFmtId="0" fontId="21" fillId="0" borderId="3" xfId="0" applyFont="1" applyBorder="1" applyAlignment="1">
      <alignment horizontal="center"/>
    </xf>
    <xf numFmtId="0" fontId="21" fillId="0" borderId="12" xfId="0" applyFont="1" applyBorder="1" applyAlignment="1">
      <alignment horizontal="center"/>
    </xf>
    <xf numFmtId="0" fontId="21" fillId="0" borderId="5" xfId="0" applyFont="1" applyBorder="1" applyAlignment="1">
      <alignment horizontal="center"/>
    </xf>
    <xf numFmtId="0" fontId="21" fillId="0" borderId="9" xfId="0" applyFont="1" applyBorder="1" applyAlignment="1">
      <alignment horizontal="center"/>
    </xf>
    <xf numFmtId="0" fontId="111" fillId="0" borderId="0" xfId="0" applyFont="1" applyAlignment="1">
      <alignment horizontal="center"/>
    </xf>
    <xf numFmtId="0" fontId="111" fillId="0" borderId="11" xfId="0" applyFont="1" applyBorder="1" applyAlignment="1">
      <alignment horizontal="center"/>
    </xf>
    <xf numFmtId="0" fontId="89" fillId="0" borderId="0" xfId="0" applyFont="1" applyBorder="1" applyAlignment="1">
      <alignment horizontal="center"/>
    </xf>
    <xf numFmtId="0" fontId="111" fillId="0" borderId="0" xfId="0" applyFont="1" applyBorder="1" applyAlignment="1">
      <alignment horizontal="center"/>
    </xf>
    <xf numFmtId="0" fontId="300" fillId="0" borderId="0" xfId="0" applyFont="1" applyAlignment="1">
      <alignment horizontal="center"/>
    </xf>
  </cellXfs>
  <cellStyles count="10">
    <cellStyle name="Euro" xfId="1"/>
    <cellStyle name="Milliers" xfId="2" builtinId="3"/>
    <cellStyle name="Milliers 2" xfId="8"/>
    <cellStyle name="Milliers 3" xfId="9"/>
    <cellStyle name="Normal" xfId="0" builtinId="0"/>
    <cellStyle name="Normal 3" xfId="5"/>
    <cellStyle name="Normal 5" xfId="3"/>
    <cellStyle name="Normal_Feuil4" xfId="6"/>
    <cellStyle name="Normal_Feuil5" xfId="7"/>
    <cellStyle name="Normal_IRG rendement"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1608;&#1585;&#1602;&#1577; &#1575;&#1604;&#1593;&#1605;&#1604;'!A1"/><Relationship Id="rId5" Type="http://schemas.openxmlformats.org/officeDocument/2006/relationships/hyperlink" Target="#&#1575;&#1604;&#1601;&#1585;&#1593;&#1610;&#1577;1!A1"/><Relationship Id="rId4" Type="http://schemas.openxmlformats.org/officeDocument/2006/relationships/hyperlink" Target="#&#1575;&#1604;&#1601;&#1585;&#1593;&#1610;&#1577;2!A1"/></Relationships>
</file>

<file path=xl/drawings/_rels/drawing10.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1!A1"/></Relationships>
</file>

<file path=xl/drawings/_rels/drawing11.xml.rels><?xml version="1.0" encoding="UTF-8" standalone="yes"?>
<Relationships xmlns="http://schemas.openxmlformats.org/package/2006/relationships"><Relationship Id="rId3" Type="http://schemas.openxmlformats.org/officeDocument/2006/relationships/hyperlink" Target="#'&#1608;&#1585;&#1602;&#1577; &#1575;&#1604;&#1593;&#1605;&#1604;'!Y1"/><Relationship Id="rId2" Type="http://schemas.openxmlformats.org/officeDocument/2006/relationships/hyperlink" Target="#&#1575;&#1604;&#1601;&#1585;&#1593;&#1610;&#1577;2!A1"/><Relationship Id="rId1" Type="http://schemas.openxmlformats.org/officeDocument/2006/relationships/hyperlink" Target="#&#1575;&#1604;&#1601;&#1585;&#1593;&#1610;&#1577;1!A1"/></Relationships>
</file>

<file path=xl/drawings/_rels/drawing12.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13.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14.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15.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16.xml.rels><?xml version="1.0" encoding="UTF-8" standalone="yes"?>
<Relationships xmlns="http://schemas.openxmlformats.org/package/2006/relationships"><Relationship Id="rId2" Type="http://schemas.openxmlformats.org/officeDocument/2006/relationships/hyperlink" Target="#'BRD-Titr-PRS-PERM'!A1"/><Relationship Id="rId1" Type="http://schemas.openxmlformats.org/officeDocument/2006/relationships/hyperlink" Target="#&#1575;&#1604;&#1601;&#1585;&#1593;&#1610;&#1577;1!A1"/></Relationships>
</file>

<file path=xl/drawings/_rels/drawing17.xml.rels><?xml version="1.0" encoding="UTF-8" standalone="yes"?>
<Relationships xmlns="http://schemas.openxmlformats.org/package/2006/relationships"><Relationship Id="rId2" Type="http://schemas.openxmlformats.org/officeDocument/2006/relationships/hyperlink" Target="#'Titre-PRS-PERM'!A1"/><Relationship Id="rId1" Type="http://schemas.openxmlformats.org/officeDocument/2006/relationships/hyperlink" Target="#&#1575;&#1604;&#1601;&#1585;&#1593;&#1610;&#1577;1!A1"/></Relationships>
</file>

<file path=xl/drawings/_rels/drawing18.xml.rels><?xml version="1.0" encoding="UTF-8" standalone="yes"?>
<Relationships xmlns="http://schemas.openxmlformats.org/package/2006/relationships"><Relationship Id="rId2" Type="http://schemas.openxmlformats.org/officeDocument/2006/relationships/hyperlink" Target="#&#1575;&#1604;&#1601;&#1585;&#1593;&#1610;&#1577;1!A1"/><Relationship Id="rId1" Type="http://schemas.openxmlformats.org/officeDocument/2006/relationships/hyperlink" Target="#&#1575;&#1604;&#1601;&#1585;&#1593;&#1610;&#1577;1!A1"/></Relationships>
</file>

<file path=xl/drawings/_rels/drawing19.xml.rels><?xml version="1.0" encoding="UTF-8" standalone="yes"?>
<Relationships xmlns="http://schemas.openxmlformats.org/package/2006/relationships"><Relationship Id="rId3" Type="http://schemas.openxmlformats.org/officeDocument/2006/relationships/hyperlink" Target="#&#1575;&#1604;&#1601;&#1585;&#1593;&#1610;&#1577;2!A1"/><Relationship Id="rId2" Type="http://schemas.openxmlformats.org/officeDocument/2006/relationships/hyperlink" Target="#'&#1608;&#1585;&#1602;&#1577; &#1575;&#1604;&#1593;&#1605;&#1604;'!M1"/><Relationship Id="rId1" Type="http://schemas.openxmlformats.org/officeDocument/2006/relationships/hyperlink" Target="#&#1575;&#1604;&#1601;&#1585;&#1593;&#1610;&#1577;2!A1"/><Relationship Id="rId6" Type="http://schemas.openxmlformats.org/officeDocument/2006/relationships/hyperlink" Target="#'VAC-TCMP'!A1"/><Relationship Id="rId5" Type="http://schemas.openxmlformats.org/officeDocument/2006/relationships/hyperlink" Target="#'VAC-TCMP'!A1"/><Relationship Id="rId4" Type="http://schemas.openxmlformats.org/officeDocument/2006/relationships/hyperlink" Target="#'&#1608;&#1585;&#1602;&#1577; &#1575;&#1604;&#1593;&#1605;&#1604;'!M1"/></Relationships>
</file>

<file path=xl/drawings/_rels/drawing2.xml.rels><?xml version="1.0" encoding="UTF-8" standalone="yes"?>
<Relationships xmlns="http://schemas.openxmlformats.org/package/2006/relationships"><Relationship Id="rId8" Type="http://schemas.openxmlformats.org/officeDocument/2006/relationships/hyperlink" Target="#'Base-D'!A1"/><Relationship Id="rId13" Type="http://schemas.openxmlformats.org/officeDocument/2006/relationships/hyperlink" Target="#m&#233;tuel!A1"/><Relationship Id="rId18" Type="http://schemas.openxmlformats.org/officeDocument/2006/relationships/hyperlink" Target="#'BRD bancaire'!A1"/><Relationship Id="rId3" Type="http://schemas.openxmlformats.org/officeDocument/2006/relationships/image" Target="../media/image6.jpeg"/><Relationship Id="rId21" Type="http://schemas.openxmlformats.org/officeDocument/2006/relationships/hyperlink" Target="#'avi vir PERM'!A1"/><Relationship Id="rId7" Type="http://schemas.openxmlformats.org/officeDocument/2006/relationships/hyperlink" Target="#'BRD Global'!A1"/><Relationship Id="rId12" Type="http://schemas.openxmlformats.org/officeDocument/2006/relationships/hyperlink" Target="#'SEC-SOCIAL-PERM'!A1"/><Relationship Id="rId17" Type="http://schemas.openxmlformats.org/officeDocument/2006/relationships/hyperlink" Target="#'BRD CCP'!A1"/><Relationship Id="rId2" Type="http://schemas.openxmlformats.org/officeDocument/2006/relationships/image" Target="../media/image5.jpeg"/><Relationship Id="rId16" Type="http://schemas.openxmlformats.org/officeDocument/2006/relationships/hyperlink" Target="#'OEUVR-SOC-PER'!A1"/><Relationship Id="rId20" Type="http://schemas.openxmlformats.org/officeDocument/2006/relationships/hyperlink" Target="#'ETAT-SECSOC'!A1"/><Relationship Id="rId1" Type="http://schemas.openxmlformats.org/officeDocument/2006/relationships/image" Target="../media/image4.jpeg"/><Relationship Id="rId6" Type="http://schemas.openxmlformats.org/officeDocument/2006/relationships/hyperlink" Target="#'BRD-Titr-PRS-PERM'!A1"/><Relationship Id="rId11" Type="http://schemas.openxmlformats.org/officeDocument/2006/relationships/hyperlink" Target="#'MAND-PAY-PERM'!A1"/><Relationship Id="rId5" Type="http://schemas.openxmlformats.org/officeDocument/2006/relationships/image" Target="../media/image8.jpeg"/><Relationship Id="rId15" Type="http://schemas.openxmlformats.org/officeDocument/2006/relationships/hyperlink" Target="#'tab retr'!A1"/><Relationship Id="rId10" Type="http://schemas.openxmlformats.org/officeDocument/2006/relationships/hyperlink" Target="#'ETAT-PAY-PERM'!A1"/><Relationship Id="rId19" Type="http://schemas.openxmlformats.org/officeDocument/2006/relationships/hyperlink" Target="#'MAND-SEC-SOC'!A1"/><Relationship Id="rId4" Type="http://schemas.openxmlformats.org/officeDocument/2006/relationships/image" Target="../media/image7.jpeg"/><Relationship Id="rId9" Type="http://schemas.openxmlformats.org/officeDocument/2006/relationships/hyperlink" Target="#&#1575;&#1604;&#1585;&#1574;&#1610;&#1587;&#1610;&#1577;!A1"/><Relationship Id="rId14" Type="http://schemas.openxmlformats.org/officeDocument/2006/relationships/hyperlink" Target="#IRG!A1"/></Relationships>
</file>

<file path=xl/drawings/_rels/drawing20.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2!A1"/></Relationships>
</file>

<file path=xl/drawings/_rels/drawing21.xml.rels><?xml version="1.0" encoding="UTF-8" standalone="yes"?>
<Relationships xmlns="http://schemas.openxmlformats.org/package/2006/relationships"><Relationship Id="rId1" Type="http://schemas.openxmlformats.org/officeDocument/2006/relationships/hyperlink" Target="#&#1575;&#1604;&#1601;&#1585;&#1593;&#1610;&#1577;2!A1"/></Relationships>
</file>

<file path=xl/drawings/_rels/drawing22.xml.rels><?xml version="1.0" encoding="UTF-8" standalone="yes"?>
<Relationships xmlns="http://schemas.openxmlformats.org/package/2006/relationships"><Relationship Id="rId2" Type="http://schemas.openxmlformats.org/officeDocument/2006/relationships/hyperlink" Target="#'&#1608;&#1585;&#1602;&#1577; &#1575;&#1604;&#1593;&#1605;&#1604;'!M1"/><Relationship Id="rId1" Type="http://schemas.openxmlformats.org/officeDocument/2006/relationships/hyperlink" Target="#&#1575;&#1604;&#1601;&#1585;&#1593;&#1610;&#1577;2!A1"/></Relationships>
</file>

<file path=xl/drawings/_rels/drawing23.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2!A1"/></Relationships>
</file>

<file path=xl/drawings/_rels/drawing24.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2!A1"/></Relationships>
</file>

<file path=xl/drawings/_rels/drawing25.xml.rels><?xml version="1.0" encoding="UTF-8" standalone="yes"?>
<Relationships xmlns="http://schemas.openxmlformats.org/package/2006/relationships"><Relationship Id="rId1" Type="http://schemas.openxmlformats.org/officeDocument/2006/relationships/hyperlink" Target="#&#1575;&#1604;&#1601;&#1585;&#1593;&#1610;&#1577;2!A1"/></Relationships>
</file>

<file path=xl/drawings/_rels/drawing26.xml.rels><?xml version="1.0" encoding="UTF-8" standalone="yes"?>
<Relationships xmlns="http://schemas.openxmlformats.org/package/2006/relationships"><Relationship Id="rId3" Type="http://schemas.openxmlformats.org/officeDocument/2006/relationships/hyperlink" Target="#'&#1608;&#1585;&#1602;&#1577; &#1575;&#1604;&#1593;&#1605;&#1604;'!M1"/><Relationship Id="rId2" Type="http://schemas.openxmlformats.org/officeDocument/2006/relationships/hyperlink" Target="#&#1575;&#1604;&#1601;&#1585;&#1593;&#1610;&#1577;2!A1"/><Relationship Id="rId1" Type="http://schemas.openxmlformats.org/officeDocument/2006/relationships/hyperlink" Target="#&#1575;&#1604;&#1585;&#1574;&#1610;&#1587;&#1610;&#1577;!A1"/><Relationship Id="rId6" Type="http://schemas.openxmlformats.org/officeDocument/2006/relationships/hyperlink" Target="#'VAC-TCMP'!A1"/><Relationship Id="rId5" Type="http://schemas.openxmlformats.org/officeDocument/2006/relationships/hyperlink" Target="#'&#1608;&#1585;&#1602;&#1577; &#1575;&#1604;&#1593;&#1605;&#1604;'!M1"/><Relationship Id="rId4" Type="http://schemas.openxmlformats.org/officeDocument/2006/relationships/hyperlink" Target="#&#1575;&#1604;&#1601;&#1585;&#1593;&#1610;&#1577;2!A1"/></Relationships>
</file>

<file path=xl/drawings/_rels/drawing27.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2!A1"/></Relationships>
</file>

<file path=xl/drawings/_rels/drawing28.xml.rels><?xml version="1.0" encoding="UTF-8" standalone="yes"?>
<Relationships xmlns="http://schemas.openxmlformats.org/package/2006/relationships"><Relationship Id="rId2" Type="http://schemas.openxmlformats.org/officeDocument/2006/relationships/hyperlink" Target="#'&#1608;&#1585;&#1602;&#1577; &#1575;&#1604;&#1593;&#1605;&#1604;'!M1"/><Relationship Id="rId1" Type="http://schemas.openxmlformats.org/officeDocument/2006/relationships/hyperlink" Target="#&#1575;&#1604;&#1601;&#1585;&#1593;&#1610;&#1577;2!A1"/></Relationships>
</file>

<file path=xl/drawings/_rels/drawing29.xml.rels><?xml version="1.0" encoding="UTF-8" standalone="yes"?>
<Relationships xmlns="http://schemas.openxmlformats.org/package/2006/relationships"><Relationship Id="rId1" Type="http://schemas.openxmlformats.org/officeDocument/2006/relationships/hyperlink" Target="#&#1575;&#1604;&#1601;&#1585;&#1593;&#1610;&#1577;2!A1"/></Relationships>
</file>

<file path=xl/drawings/_rels/drawing3.xml.rels><?xml version="1.0" encoding="UTF-8" standalone="yes"?>
<Relationships xmlns="http://schemas.openxmlformats.org/package/2006/relationships"><Relationship Id="rId8" Type="http://schemas.openxmlformats.org/officeDocument/2006/relationships/hyperlink" Target="#'SEC-SOCIAL-VACT'!A1"/><Relationship Id="rId13" Type="http://schemas.openxmlformats.org/officeDocument/2006/relationships/hyperlink" Target="#'BRD bancaireVTC'!A1"/><Relationship Id="rId18" Type="http://schemas.openxmlformats.org/officeDocument/2006/relationships/hyperlink" Target="#'BRD CCPVAHEUR'!A1"/><Relationship Id="rId3" Type="http://schemas.openxmlformats.org/officeDocument/2006/relationships/image" Target="../media/image10.jpeg"/><Relationship Id="rId21" Type="http://schemas.openxmlformats.org/officeDocument/2006/relationships/hyperlink" Target="#'BRD Global'!A51"/><Relationship Id="rId7" Type="http://schemas.openxmlformats.org/officeDocument/2006/relationships/hyperlink" Target="#&#1575;&#1604;&#1585;&#1574;&#1610;&#1587;&#1610;&#1577;!A1"/><Relationship Id="rId12" Type="http://schemas.openxmlformats.org/officeDocument/2006/relationships/hyperlink" Target="#'BRD CCPVATC'!A1"/><Relationship Id="rId17" Type="http://schemas.openxmlformats.org/officeDocument/2006/relationships/hyperlink" Target="#'MAND-PAY-VCTHEUR'!A1"/><Relationship Id="rId2" Type="http://schemas.openxmlformats.org/officeDocument/2006/relationships/image" Target="../media/image9.jpeg"/><Relationship Id="rId16" Type="http://schemas.openxmlformats.org/officeDocument/2006/relationships/hyperlink" Target="#'ETAT-PAY-VACT (2)'!A1"/><Relationship Id="rId20" Type="http://schemas.openxmlformats.org/officeDocument/2006/relationships/hyperlink" Target="#'VAC-TCMP'!A1"/><Relationship Id="rId1" Type="http://schemas.openxmlformats.org/officeDocument/2006/relationships/image" Target="../media/image3.jpeg"/><Relationship Id="rId6" Type="http://schemas.openxmlformats.org/officeDocument/2006/relationships/hyperlink" Target="#'m&#233;tuel VAC'!A1"/><Relationship Id="rId11" Type="http://schemas.openxmlformats.org/officeDocument/2006/relationships/hyperlink" Target="#'MAND-PAY-VCTCMP'!A1"/><Relationship Id="rId5" Type="http://schemas.openxmlformats.org/officeDocument/2006/relationships/hyperlink" Target="#'OEUVR-SOC-VACT'!A1"/><Relationship Id="rId15" Type="http://schemas.openxmlformats.org/officeDocument/2006/relationships/hyperlink" Target="#'m&#233;tuel VAC-HEUR'!A1"/><Relationship Id="rId23" Type="http://schemas.openxmlformats.org/officeDocument/2006/relationships/hyperlink" Target="#'avi vir VAC'!A1"/><Relationship Id="rId10" Type="http://schemas.openxmlformats.org/officeDocument/2006/relationships/hyperlink" Target="#'ETAT-PAY-VACT'!A1"/><Relationship Id="rId19" Type="http://schemas.openxmlformats.org/officeDocument/2006/relationships/hyperlink" Target="#'BRD bancaireVACHEUR'!A1"/><Relationship Id="rId4" Type="http://schemas.openxmlformats.org/officeDocument/2006/relationships/image" Target="../media/image11.jpeg"/><Relationship Id="rId9" Type="http://schemas.openxmlformats.org/officeDocument/2006/relationships/hyperlink" Target="#IRG!A1"/><Relationship Id="rId14" Type="http://schemas.openxmlformats.org/officeDocument/2006/relationships/hyperlink" Target="#'OEUVR-SOC-VACHEUR'!A1"/><Relationship Id="rId22" Type="http://schemas.openxmlformats.org/officeDocument/2006/relationships/hyperlink" Target="#'BRD-Titr-PRS-VAC'!A1"/></Relationships>
</file>

<file path=xl/drawings/_rels/drawing30.xml.rels><?xml version="1.0" encoding="UTF-8" standalone="yes"?>
<Relationships xmlns="http://schemas.openxmlformats.org/package/2006/relationships"><Relationship Id="rId1" Type="http://schemas.openxmlformats.org/officeDocument/2006/relationships/hyperlink" Target="#&#1575;&#1604;&#1601;&#1585;&#1593;&#1610;&#1577;2!A1"/></Relationships>
</file>

<file path=xl/drawings/_rels/drawing31.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2!A1"/></Relationships>
</file>

<file path=xl/drawings/_rels/drawing32.xml.rels><?xml version="1.0" encoding="UTF-8" standalone="yes"?>
<Relationships xmlns="http://schemas.openxmlformats.org/package/2006/relationships"><Relationship Id="rId1" Type="http://schemas.openxmlformats.org/officeDocument/2006/relationships/hyperlink" Target="#&#1575;&#1604;&#1601;&#1585;&#1593;&#1610;&#1577;2!A1"/></Relationships>
</file>

<file path=xl/drawings/_rels/drawing33.xml.rels><?xml version="1.0" encoding="UTF-8" standalone="yes"?>
<Relationships xmlns="http://schemas.openxmlformats.org/package/2006/relationships"><Relationship Id="rId2" Type="http://schemas.openxmlformats.org/officeDocument/2006/relationships/hyperlink" Target="#'BRD-Titr-PRS-VAC'!A1"/><Relationship Id="rId1" Type="http://schemas.openxmlformats.org/officeDocument/2006/relationships/hyperlink" Target="#&#1575;&#1604;&#1601;&#1585;&#1593;&#1610;&#1577;2!A1"/></Relationships>
</file>

<file path=xl/drawings/_rels/drawing34.xml.rels><?xml version="1.0" encoding="UTF-8" standalone="yes"?>
<Relationships xmlns="http://schemas.openxmlformats.org/package/2006/relationships"><Relationship Id="rId2" Type="http://schemas.openxmlformats.org/officeDocument/2006/relationships/hyperlink" Target="#'Titre-PRS-VAC'!A1"/><Relationship Id="rId1" Type="http://schemas.openxmlformats.org/officeDocument/2006/relationships/hyperlink" Target="#&#1575;&#1604;&#1601;&#1585;&#1593;&#1610;&#1577;2!A1"/></Relationships>
</file>

<file path=xl/drawings/_rels/drawing35.xml.rels><?xml version="1.0" encoding="UTF-8" standalone="yes"?>
<Relationships xmlns="http://schemas.openxmlformats.org/package/2006/relationships"><Relationship Id="rId3" Type="http://schemas.openxmlformats.org/officeDocument/2006/relationships/hyperlink" Target="#&#1575;&#1604;&#1601;&#1585;&#1593;&#1610;&#1577;2!A1"/><Relationship Id="rId2" Type="http://schemas.openxmlformats.org/officeDocument/2006/relationships/hyperlink" Target="#&#1575;&#1604;&#1601;&#1585;&#1593;&#1610;&#1577;1!A1"/><Relationship Id="rId1" Type="http://schemas.openxmlformats.org/officeDocument/2006/relationships/hyperlink" Target="#&#1575;&#1604;&#1601;&#1585;&#1593;&#1610;&#1577;1!A1"/><Relationship Id="rId4" Type="http://schemas.openxmlformats.org/officeDocument/2006/relationships/hyperlink" Target="#&#1575;&#1604;&#1601;&#1585;&#1593;&#1610;&#1577;2!A1"/></Relationships>
</file>

<file path=xl/drawings/_rels/drawing36.xml.rels><?xml version="1.0" encoding="UTF-8" standalone="yes"?>
<Relationships xmlns="http://schemas.openxmlformats.org/package/2006/relationships"><Relationship Id="rId3" Type="http://schemas.openxmlformats.org/officeDocument/2006/relationships/hyperlink" Target="#&#1575;&#1604;&#1601;&#1585;&#1593;&#1610;&#1577;2!A1"/><Relationship Id="rId2" Type="http://schemas.openxmlformats.org/officeDocument/2006/relationships/hyperlink" Target="#&#1575;&#1604;&#1601;&#1585;&#1593;&#1610;&#1577;1!A1"/><Relationship Id="rId1" Type="http://schemas.openxmlformats.org/officeDocument/2006/relationships/hyperlink" Target="#&#1575;&#1604;&#1585;&#1574;&#1610;&#1587;&#1610;&#1577;!A1"/></Relationships>
</file>

<file path=xl/drawings/_rels/drawing37.xml.rels><?xml version="1.0" encoding="UTF-8" standalone="yes"?>
<Relationships xmlns="http://schemas.openxmlformats.org/package/2006/relationships"><Relationship Id="rId2" Type="http://schemas.openxmlformats.org/officeDocument/2006/relationships/hyperlink" Target="#&#1575;&#1604;&#1601;&#1585;&#1593;&#1610;&#1577;2!A1"/><Relationship Id="rId1" Type="http://schemas.openxmlformats.org/officeDocument/2006/relationships/hyperlink" Target="#&#1575;&#1604;&#1601;&#1585;&#1593;&#1610;&#1577;2!A1"/></Relationships>
</file>

<file path=xl/drawings/_rels/drawing4.xml.rels><?xml version="1.0" encoding="UTF-8" standalone="yes"?>
<Relationships xmlns="http://schemas.openxmlformats.org/package/2006/relationships"><Relationship Id="rId3" Type="http://schemas.openxmlformats.org/officeDocument/2006/relationships/hyperlink" Target="#'Base-D'!A1"/><Relationship Id="rId2" Type="http://schemas.openxmlformats.org/officeDocument/2006/relationships/hyperlink" Target="#&#1575;&#1604;&#1601;&#1585;&#1593;&#1610;&#1577;1!A1"/><Relationship Id="rId1" Type="http://schemas.openxmlformats.org/officeDocument/2006/relationships/hyperlink" Target="#'Base-D'!A1"/><Relationship Id="rId6" Type="http://schemas.openxmlformats.org/officeDocument/2006/relationships/hyperlink" Target="#'&#1608;&#1585;&#1602;&#1577; &#1575;&#1604;&#1593;&#1605;&#1604;'!A1"/><Relationship Id="rId5" Type="http://schemas.openxmlformats.org/officeDocument/2006/relationships/hyperlink" Target="#'&#1608;&#1585;&#1602;&#1577; &#1575;&#1604;&#1593;&#1605;&#1604;'!A1"/><Relationship Id="rId4" Type="http://schemas.openxmlformats.org/officeDocument/2006/relationships/hyperlink" Target="#&#1575;&#1604;&#1601;&#1585;&#1593;&#1610;&#1577;1!A1"/></Relationships>
</file>

<file path=xl/drawings/_rels/drawing5.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1!A1"/></Relationships>
</file>

<file path=xl/drawings/_rels/drawing6.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7.xml.rels><?xml version="1.0" encoding="UTF-8" standalone="yes"?>
<Relationships xmlns="http://schemas.openxmlformats.org/package/2006/relationships"><Relationship Id="rId1" Type="http://schemas.openxmlformats.org/officeDocument/2006/relationships/hyperlink" Target="#&#1575;&#1604;&#1601;&#1585;&#1593;&#1610;&#1577;1!A1"/></Relationships>
</file>

<file path=xl/drawings/_rels/drawing8.xml.rels><?xml version="1.0" encoding="UTF-8" standalone="yes"?>
<Relationships xmlns="http://schemas.openxmlformats.org/package/2006/relationships"><Relationship Id="rId2" Type="http://schemas.openxmlformats.org/officeDocument/2006/relationships/hyperlink" Target="#'&#1608;&#1585;&#1602;&#1577; &#1575;&#1604;&#1593;&#1605;&#1604;'!Y1"/><Relationship Id="rId1" Type="http://schemas.openxmlformats.org/officeDocument/2006/relationships/hyperlink" Target="#&#1575;&#1604;&#1601;&#1585;&#1593;&#1610;&#1577;1!A1"/></Relationships>
</file>

<file path=xl/drawings/_rels/drawing9.xml.rels><?xml version="1.0" encoding="UTF-8" standalone="yes"?>
<Relationships xmlns="http://schemas.openxmlformats.org/package/2006/relationships"><Relationship Id="rId2" Type="http://schemas.openxmlformats.org/officeDocument/2006/relationships/hyperlink" Target="#'&#1608;&#1585;&#1602;&#1577; &#1575;&#1604;&#1593;&#1605;&#1604;'!A1"/><Relationship Id="rId1" Type="http://schemas.openxmlformats.org/officeDocument/2006/relationships/hyperlink" Target="#&#1575;&#1604;&#1601;&#1585;&#1593;&#1610;&#1577;1!A1"/></Relationships>
</file>

<file path=xl/drawings/drawing1.xml><?xml version="1.0" encoding="utf-8"?>
<xdr:wsDr xmlns:xdr="http://schemas.openxmlformats.org/drawingml/2006/spreadsheetDrawing" xmlns:a="http://schemas.openxmlformats.org/drawingml/2006/main">
  <xdr:twoCellAnchor editAs="oneCell">
    <xdr:from>
      <xdr:col>12</xdr:col>
      <xdr:colOff>514352</xdr:colOff>
      <xdr:row>10</xdr:row>
      <xdr:rowOff>19050</xdr:rowOff>
    </xdr:from>
    <xdr:to>
      <xdr:col>14</xdr:col>
      <xdr:colOff>0</xdr:colOff>
      <xdr:row>35</xdr:row>
      <xdr:rowOff>161924</xdr:rowOff>
    </xdr:to>
    <xdr:pic>
      <xdr:nvPicPr>
        <xdr:cNvPr id="31" name="Image 30" descr="58619859_2709296099142378_7666458405078302720_n.jpg"/>
        <xdr:cNvPicPr>
          <a:picLocks noChangeAspect="1"/>
        </xdr:cNvPicPr>
      </xdr:nvPicPr>
      <xdr:blipFill>
        <a:blip xmlns:r="http://schemas.openxmlformats.org/officeDocument/2006/relationships" r:embed="rId1"/>
        <a:stretch>
          <a:fillRect/>
        </a:stretch>
      </xdr:blipFill>
      <xdr:spPr>
        <a:xfrm rot="16200000">
          <a:off x="-1295401" y="3533776"/>
          <a:ext cx="4190999" cy="1600198"/>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12</xdr:col>
      <xdr:colOff>828675</xdr:colOff>
      <xdr:row>0</xdr:row>
      <xdr:rowOff>0</xdr:rowOff>
    </xdr:from>
    <xdr:to>
      <xdr:col>14</xdr:col>
      <xdr:colOff>0</xdr:colOff>
      <xdr:row>7</xdr:row>
      <xdr:rowOff>0</xdr:rowOff>
    </xdr:to>
    <xdr:pic>
      <xdr:nvPicPr>
        <xdr:cNvPr id="30" name="Image 29" descr="45093864_2349276258435742_4441701065506684928_n.jpg"/>
        <xdr:cNvPicPr>
          <a:picLocks noChangeAspect="1"/>
        </xdr:cNvPicPr>
      </xdr:nvPicPr>
      <xdr:blipFill>
        <a:blip xmlns:r="http://schemas.openxmlformats.org/officeDocument/2006/relationships" r:embed="rId2"/>
        <a:stretch>
          <a:fillRect/>
        </a:stretch>
      </xdr:blipFill>
      <xdr:spPr>
        <a:xfrm>
          <a:off x="0" y="0"/>
          <a:ext cx="1285875" cy="1133475"/>
        </a:xfrm>
        <a:prstGeom prst="rect">
          <a:avLst/>
        </a:prstGeom>
      </xdr:spPr>
    </xdr:pic>
    <xdr:clientData/>
  </xdr:twoCellAnchor>
  <xdr:twoCellAnchor editAs="oneCell">
    <xdr:from>
      <xdr:col>0</xdr:col>
      <xdr:colOff>28575</xdr:colOff>
      <xdr:row>0</xdr:row>
      <xdr:rowOff>0</xdr:rowOff>
    </xdr:from>
    <xdr:to>
      <xdr:col>12</xdr:col>
      <xdr:colOff>971550</xdr:colOff>
      <xdr:row>35</xdr:row>
      <xdr:rowOff>83158</xdr:rowOff>
    </xdr:to>
    <xdr:pic>
      <xdr:nvPicPr>
        <xdr:cNvPr id="23" name="Image 22" descr="40602497_2054737761245693_1813032251147943936_n.jpg"/>
        <xdr:cNvPicPr>
          <a:picLocks noChangeAspect="1"/>
        </xdr:cNvPicPr>
      </xdr:nvPicPr>
      <xdr:blipFill>
        <a:blip xmlns:r="http://schemas.openxmlformats.org/officeDocument/2006/relationships" r:embed="rId3"/>
        <a:stretch>
          <a:fillRect/>
        </a:stretch>
      </xdr:blipFill>
      <xdr:spPr>
        <a:xfrm>
          <a:off x="1143000" y="0"/>
          <a:ext cx="10458450" cy="6350608"/>
        </a:xfrm>
        <a:prstGeom prst="roundRect">
          <a:avLst>
            <a:gd name="adj" fmla="val 7449"/>
          </a:avLst>
        </a:prstGeom>
        <a:ln w="190500" cap="rnd">
          <a:solidFill>
            <a:srgbClr val="C8C6BD"/>
          </a:solidFill>
          <a:prstDash val="solid"/>
        </a:ln>
        <a:effectLst>
          <a:outerShdw blurRad="101600" dist="50800" dir="7200000" algn="tl" rotWithShape="0">
            <a:srgbClr val="000000">
              <a:alpha val="45000"/>
            </a:srgbClr>
          </a:outerShdw>
        </a:effectLst>
        <a:scene3d>
          <a:camera prst="perspectiveFront" fov="5400000"/>
          <a:lightRig rig="threePt" dir="t">
            <a:rot lat="0" lon="0" rev="19200000"/>
          </a:lightRig>
        </a:scene3d>
        <a:sp3d extrusionH="25400">
          <a:bevelT w="304800" h="152400" prst="hardEdge"/>
          <a:extrusionClr>
            <a:srgbClr val="FFFFFF"/>
          </a:extrusionClr>
        </a:sp3d>
      </xdr:spPr>
    </xdr:pic>
    <xdr:clientData/>
  </xdr:twoCellAnchor>
  <xdr:twoCellAnchor>
    <xdr:from>
      <xdr:col>1</xdr:col>
      <xdr:colOff>152399</xdr:colOff>
      <xdr:row>0</xdr:row>
      <xdr:rowOff>0</xdr:rowOff>
    </xdr:from>
    <xdr:to>
      <xdr:col>2</xdr:col>
      <xdr:colOff>9524</xdr:colOff>
      <xdr:row>4</xdr:row>
      <xdr:rowOff>95251</xdr:rowOff>
    </xdr:to>
    <xdr:sp macro="" textlink="">
      <xdr:nvSpPr>
        <xdr:cNvPr id="9" name="Soleil 8"/>
        <xdr:cNvSpPr/>
      </xdr:nvSpPr>
      <xdr:spPr>
        <a:xfrm>
          <a:off x="9725026" y="0"/>
          <a:ext cx="990600"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oneCellAnchor>
    <xdr:from>
      <xdr:col>2</xdr:col>
      <xdr:colOff>152400</xdr:colOff>
      <xdr:row>0</xdr:row>
      <xdr:rowOff>0</xdr:rowOff>
    </xdr:from>
    <xdr:ext cx="6438900" cy="895310"/>
    <xdr:sp macro="" textlink="">
      <xdr:nvSpPr>
        <xdr:cNvPr id="6" name="Rectangle 5"/>
        <xdr:cNvSpPr/>
      </xdr:nvSpPr>
      <xdr:spPr>
        <a:xfrm>
          <a:off x="3143250" y="0"/>
          <a:ext cx="6438900" cy="895310"/>
        </a:xfrm>
        <a:prstGeom prst="rect">
          <a:avLst/>
        </a:prstGeom>
        <a:noFill/>
        <a:ln>
          <a:noFill/>
        </a:ln>
        <a:effectLst>
          <a:outerShdw blurRad="107950" dist="12700" dir="5400000" algn="ctr">
            <a:srgbClr val="000000"/>
          </a:outerShdw>
        </a:effectLst>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ar-DZ" sz="5600" b="1" u="none" cap="none" spc="50">
              <a:ln w="11430"/>
              <a:gradFill>
                <a:gsLst>
                  <a:gs pos="25000">
                    <a:schemeClr val="accent2">
                      <a:satMod val="155000"/>
                    </a:schemeClr>
                  </a:gs>
                  <a:gs pos="100000">
                    <a:schemeClr val="accent2">
                      <a:shade val="45000"/>
                      <a:satMod val="165000"/>
                    </a:schemeClr>
                  </a:gs>
                </a:gsLst>
                <a:lin ang="5400000"/>
              </a:gradFill>
              <a:effectLst/>
              <a:latin typeface="Estrangelo Edessa" pitchFamily="66" charset="0"/>
              <a:cs typeface="Estrangelo Edessa" pitchFamily="66" charset="0"/>
            </a:rPr>
            <a:t>مديرية ......</a:t>
          </a:r>
          <a:r>
            <a:rPr lang="ar-DZ" sz="5600" b="1" u="none" cap="none" spc="50" baseline="0">
              <a:ln w="11430"/>
              <a:gradFill>
                <a:gsLst>
                  <a:gs pos="25000">
                    <a:schemeClr val="accent2">
                      <a:satMod val="155000"/>
                    </a:schemeClr>
                  </a:gs>
                  <a:gs pos="100000">
                    <a:schemeClr val="accent2">
                      <a:shade val="45000"/>
                      <a:satMod val="165000"/>
                    </a:schemeClr>
                  </a:gs>
                </a:gsLst>
                <a:lin ang="5400000"/>
              </a:gradFill>
              <a:effectLst/>
              <a:latin typeface="Estrangelo Edessa" pitchFamily="66" charset="0"/>
              <a:cs typeface="Estrangelo Edessa" pitchFamily="66" charset="0"/>
            </a:rPr>
            <a:t>......لولاية .....</a:t>
          </a:r>
          <a:endParaRPr lang="fr-FR" sz="5600" b="1" u="none" cap="none" spc="50">
            <a:ln w="11430"/>
            <a:gradFill>
              <a:gsLst>
                <a:gs pos="25000">
                  <a:schemeClr val="accent2">
                    <a:satMod val="155000"/>
                  </a:schemeClr>
                </a:gs>
                <a:gs pos="100000">
                  <a:schemeClr val="accent2">
                    <a:shade val="45000"/>
                    <a:satMod val="165000"/>
                  </a:schemeClr>
                </a:gs>
              </a:gsLst>
              <a:lin ang="5400000"/>
            </a:gradFill>
            <a:effectLst/>
            <a:latin typeface="Estrangelo Edessa" pitchFamily="66" charset="0"/>
            <a:cs typeface="Estrangelo Edessa" pitchFamily="66" charset="0"/>
          </a:endParaRPr>
        </a:p>
      </xdr:txBody>
    </xdr:sp>
    <xdr:clientData/>
  </xdr:oneCellAnchor>
  <xdr:oneCellAnchor>
    <xdr:from>
      <xdr:col>7</xdr:col>
      <xdr:colOff>371476</xdr:colOff>
      <xdr:row>9</xdr:row>
      <xdr:rowOff>19050</xdr:rowOff>
    </xdr:from>
    <xdr:ext cx="2905124" cy="995337"/>
    <xdr:sp macro="" textlink="">
      <xdr:nvSpPr>
        <xdr:cNvPr id="7" name="Rectangle 6"/>
        <xdr:cNvSpPr/>
      </xdr:nvSpPr>
      <xdr:spPr>
        <a:xfrm>
          <a:off x="2647950" y="1476375"/>
          <a:ext cx="2905124" cy="995337"/>
        </a:xfrm>
        <a:prstGeom prst="rect">
          <a:avLst/>
        </a:prstGeom>
        <a:noFill/>
        <a:ln>
          <a:noFill/>
        </a:ln>
        <a:effectLst>
          <a:outerShdw blurRad="107950" dist="12700" dir="5400000" algn="ctr">
            <a:srgbClr val="000000"/>
          </a:outerShdw>
        </a:effectLst>
      </xdr:spPr>
      <xdr:txBody>
        <a:bodyPr wrap="square" lIns="91440" tIns="45720" rIns="91440" bIns="45720">
          <a:spAutoFit/>
        </a:bodyPr>
        <a:lstStyle/>
        <a:p>
          <a:pPr algn="r"/>
          <a:r>
            <a:rPr lang="ar-DZ" sz="2000" b="0" u="sng" cap="none" spc="0">
              <a:ln>
                <a:noFill/>
              </a:ln>
              <a:solidFill>
                <a:schemeClr val="tx1"/>
              </a:solidFill>
              <a:effectLst/>
            </a:rPr>
            <a:t>تسيير الرواتب والأجور:</a:t>
          </a:r>
        </a:p>
        <a:p>
          <a:pPr algn="r"/>
          <a:r>
            <a:rPr lang="ar-DZ" sz="2000" b="0" u="none" cap="none" spc="0">
              <a:ln>
                <a:noFill/>
              </a:ln>
              <a:solidFill>
                <a:schemeClr val="tx1"/>
              </a:solidFill>
              <a:effectLst/>
            </a:rPr>
            <a:t>                -</a:t>
          </a:r>
          <a:r>
            <a:rPr lang="ar-DZ" sz="2000" b="0" u="none" cap="none" spc="0" baseline="0">
              <a:ln>
                <a:noFill/>
              </a:ln>
              <a:solidFill>
                <a:schemeClr val="tx1"/>
              </a:solidFill>
              <a:effectLst/>
            </a:rPr>
            <a:t> </a:t>
          </a:r>
          <a:r>
            <a:rPr lang="ar-DZ" sz="2000" b="0" u="sng" cap="none" spc="0">
              <a:ln>
                <a:noFill/>
              </a:ln>
              <a:solidFill>
                <a:schemeClr val="tx1"/>
              </a:solidFill>
              <a:effectLst/>
            </a:rPr>
            <a:t>عمال دائمين.</a:t>
          </a:r>
        </a:p>
        <a:p>
          <a:pPr algn="r"/>
          <a:r>
            <a:rPr lang="ar-DZ" sz="2000" b="0" u="none" cap="none" spc="0">
              <a:ln>
                <a:noFill/>
              </a:ln>
              <a:solidFill>
                <a:schemeClr val="tx1"/>
              </a:solidFill>
              <a:effectLst/>
            </a:rPr>
            <a:t>                - </a:t>
          </a:r>
          <a:r>
            <a:rPr lang="ar-DZ" sz="2000" b="0" u="sng" cap="none" spc="0">
              <a:ln>
                <a:noFill/>
              </a:ln>
              <a:solidFill>
                <a:schemeClr val="tx1"/>
              </a:solidFill>
              <a:effectLst/>
            </a:rPr>
            <a:t>عمال متعاقدين.</a:t>
          </a:r>
          <a:endParaRPr lang="fr-FR" sz="2000" b="0" u="sng" cap="none" spc="0">
            <a:ln>
              <a:noFill/>
            </a:ln>
            <a:solidFill>
              <a:schemeClr val="tx1"/>
            </a:solidFill>
            <a:effectLst/>
          </a:endParaRPr>
        </a:p>
      </xdr:txBody>
    </xdr:sp>
    <xdr:clientData/>
  </xdr:oneCellAnchor>
  <xdr:twoCellAnchor>
    <xdr:from>
      <xdr:col>10</xdr:col>
      <xdr:colOff>314325</xdr:colOff>
      <xdr:row>19</xdr:row>
      <xdr:rowOff>142875</xdr:rowOff>
    </xdr:from>
    <xdr:to>
      <xdr:col>12</xdr:col>
      <xdr:colOff>819150</xdr:colOff>
      <xdr:row>25</xdr:row>
      <xdr:rowOff>38100</xdr:rowOff>
    </xdr:to>
    <xdr:sp macro="" textlink="">
      <xdr:nvSpPr>
        <xdr:cNvPr id="12" name="Organigramme : Alternative 11">
          <a:hlinkClick xmlns:r="http://schemas.openxmlformats.org/officeDocument/2006/relationships" r:id="rId4" tooltip="الفرعية2"/>
        </xdr:cNvPr>
        <xdr:cNvSpPr/>
      </xdr:nvSpPr>
      <xdr:spPr>
        <a:xfrm>
          <a:off x="1295400" y="3819525"/>
          <a:ext cx="2028825" cy="866775"/>
        </a:xfrm>
        <a:prstGeom prst="flowChartAlternateProcess">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0">
          <a:schemeClr val="accent3"/>
        </a:lnRef>
        <a:fillRef idx="1002">
          <a:schemeClr val="dk2"/>
        </a:fillRef>
        <a:effectRef idx="3">
          <a:schemeClr val="accent3"/>
        </a:effectRef>
        <a:fontRef idx="minor">
          <a:schemeClr val="lt1"/>
        </a:fontRef>
      </xdr:style>
      <xdr:txBody>
        <a:bodyPr rtlCol="0" anchor="ctr"/>
        <a:lstStyle/>
        <a:p>
          <a:pPr algn="ctr" rtl="1"/>
          <a:r>
            <a:rPr lang="ar-DZ" sz="3600" b="0" cap="none" spc="0">
              <a:ln>
                <a:noFill/>
              </a:ln>
              <a:solidFill>
                <a:schemeClr val="tx1"/>
              </a:solidFill>
              <a:effectLst/>
              <a:latin typeface="Estrangelo Edessa" pitchFamily="66" charset="0"/>
              <a:cs typeface="Estrangelo Edessa" pitchFamily="66" charset="0"/>
            </a:rPr>
            <a:t>العمال المتعاقدين</a:t>
          </a:r>
          <a:endParaRPr lang="fr-FR" sz="3600" b="0" cap="none" spc="0">
            <a:ln>
              <a:noFill/>
            </a:ln>
            <a:solidFill>
              <a:schemeClr val="tx1"/>
            </a:solidFill>
            <a:effectLst/>
            <a:latin typeface="Estrangelo Edessa" pitchFamily="66" charset="0"/>
            <a:cs typeface="Estrangelo Edessa" pitchFamily="66" charset="0"/>
          </a:endParaRPr>
        </a:p>
      </xdr:txBody>
    </xdr:sp>
    <xdr:clientData/>
  </xdr:twoCellAnchor>
  <xdr:twoCellAnchor>
    <xdr:from>
      <xdr:col>7</xdr:col>
      <xdr:colOff>152400</xdr:colOff>
      <xdr:row>17</xdr:row>
      <xdr:rowOff>28575</xdr:rowOff>
    </xdr:from>
    <xdr:to>
      <xdr:col>9</xdr:col>
      <xdr:colOff>657225</xdr:colOff>
      <xdr:row>22</xdr:row>
      <xdr:rowOff>85725</xdr:rowOff>
    </xdr:to>
    <xdr:sp macro="" textlink="">
      <xdr:nvSpPr>
        <xdr:cNvPr id="13" name="Organigramme : Alternative 12">
          <a:hlinkClick xmlns:r="http://schemas.openxmlformats.org/officeDocument/2006/relationships" r:id="rId5" tooltip="الفرعية1"/>
        </xdr:cNvPr>
        <xdr:cNvSpPr/>
      </xdr:nvSpPr>
      <xdr:spPr>
        <a:xfrm>
          <a:off x="3743325" y="3381375"/>
          <a:ext cx="2028825" cy="866775"/>
        </a:xfrm>
        <a:prstGeom prst="flowChartAlternateProcess">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0">
          <a:schemeClr val="accent3"/>
        </a:lnRef>
        <a:fillRef idx="1002">
          <a:schemeClr val="dk2"/>
        </a:fillRef>
        <a:effectRef idx="3">
          <a:schemeClr val="accent3"/>
        </a:effectRef>
        <a:fontRef idx="minor">
          <a:schemeClr val="lt1"/>
        </a:fontRef>
      </xdr:style>
      <xdr:txBody>
        <a:bodyPr rtlCol="0" anchor="ctr"/>
        <a:lstStyle/>
        <a:p>
          <a:pPr algn="ctr" rtl="1"/>
          <a:r>
            <a:rPr lang="ar-DZ" sz="3600" b="0" cap="none" spc="0">
              <a:ln>
                <a:noFill/>
              </a:ln>
              <a:solidFill>
                <a:schemeClr val="tx1"/>
              </a:solidFill>
              <a:effectLst/>
              <a:latin typeface="Estrangelo Edessa" pitchFamily="66" charset="0"/>
              <a:cs typeface="Estrangelo Edessa" pitchFamily="66" charset="0"/>
            </a:rPr>
            <a:t>العمال الدائمين</a:t>
          </a:r>
          <a:endParaRPr lang="fr-FR" sz="3600" b="0" cap="none" spc="0">
            <a:ln>
              <a:noFill/>
            </a:ln>
            <a:solidFill>
              <a:schemeClr val="tx1"/>
            </a:solidFill>
            <a:effectLst/>
            <a:latin typeface="Estrangelo Edessa" pitchFamily="66" charset="0"/>
            <a:cs typeface="Estrangelo Edessa" pitchFamily="66" charset="0"/>
          </a:endParaRPr>
        </a:p>
      </xdr:txBody>
    </xdr:sp>
    <xdr:clientData/>
  </xdr:twoCellAnchor>
  <xdr:twoCellAnchor>
    <xdr:from>
      <xdr:col>2</xdr:col>
      <xdr:colOff>133352</xdr:colOff>
      <xdr:row>17</xdr:row>
      <xdr:rowOff>47624</xdr:rowOff>
    </xdr:from>
    <xdr:to>
      <xdr:col>4</xdr:col>
      <xdr:colOff>581025</xdr:colOff>
      <xdr:row>22</xdr:row>
      <xdr:rowOff>152400</xdr:rowOff>
    </xdr:to>
    <xdr:sp macro="" textlink="">
      <xdr:nvSpPr>
        <xdr:cNvPr id="14" name="Organigramme : Alternative 13">
          <a:hlinkClick xmlns:r="http://schemas.openxmlformats.org/officeDocument/2006/relationships" r:id="rId6" tooltip="ورقة العمل"/>
        </xdr:cNvPr>
        <xdr:cNvSpPr/>
      </xdr:nvSpPr>
      <xdr:spPr>
        <a:xfrm>
          <a:off x="7629525" y="3400424"/>
          <a:ext cx="1971673" cy="914401"/>
        </a:xfrm>
        <a:prstGeom prst="flowChartAlternateProcess">
          <a:avLst/>
        </a:prstGeom>
        <a:ln>
          <a:noFill/>
        </a:ln>
        <a:effectLst>
          <a:outerShdw blurRad="127000" dist="38100" dir="2700000" algn="ctr">
            <a:srgbClr val="000000">
              <a:alpha val="45000"/>
            </a:srgbClr>
          </a:outerShdw>
        </a:effectLst>
        <a:scene3d>
          <a:camera prst="perspectiveFront" fov="2700000">
            <a:rot lat="20376000" lon="1938000" rev="20112001"/>
          </a:camera>
          <a:lightRig rig="soft" dir="t">
            <a:rot lat="0" lon="0" rev="0"/>
          </a:lightRig>
        </a:scene3d>
        <a:sp3d prstMaterial="translucentPowder">
          <a:bevelT w="203200" h="50800" prst="softRound"/>
        </a:sp3d>
      </xdr:spPr>
      <xdr:style>
        <a:lnRef idx="0">
          <a:schemeClr val="accent3"/>
        </a:lnRef>
        <a:fillRef idx="1002">
          <a:schemeClr val="dk2"/>
        </a:fillRef>
        <a:effectRef idx="3">
          <a:schemeClr val="accent3"/>
        </a:effectRef>
        <a:fontRef idx="minor">
          <a:schemeClr val="lt1"/>
        </a:fontRef>
      </xdr:style>
      <xdr:txBody>
        <a:bodyPr rtlCol="0" anchor="ctr"/>
        <a:lstStyle/>
        <a:p>
          <a:pPr algn="ctr" rtl="1"/>
          <a:r>
            <a:rPr lang="fr-FR" sz="2400" b="0" cap="none" spc="0">
              <a:ln>
                <a:noFill/>
              </a:ln>
              <a:solidFill>
                <a:schemeClr val="tx1"/>
              </a:solidFill>
              <a:effectLst/>
              <a:latin typeface="Estrangelo Edessa" pitchFamily="66" charset="0"/>
              <a:cs typeface="Estrangelo Edessa" pitchFamily="66" charset="0"/>
            </a:rPr>
            <a:t>  </a:t>
          </a:r>
          <a:r>
            <a:rPr lang="ar-DZ" sz="2400" b="0" cap="none" spc="0">
              <a:ln>
                <a:noFill/>
              </a:ln>
              <a:solidFill>
                <a:schemeClr val="tx1"/>
              </a:solidFill>
              <a:effectLst/>
              <a:latin typeface="Estrangelo Edessa" pitchFamily="66" charset="0"/>
              <a:cs typeface="Estrangelo Edessa" pitchFamily="66" charset="0"/>
            </a:rPr>
            <a:t>تسجيل الغيابات </a:t>
          </a:r>
          <a:r>
            <a:rPr lang="fr-FR" sz="2400" b="0" cap="none" spc="0">
              <a:ln>
                <a:noFill/>
              </a:ln>
              <a:solidFill>
                <a:schemeClr val="tx1"/>
              </a:solidFill>
              <a:effectLst/>
              <a:latin typeface="Estrangelo Edessa" pitchFamily="66" charset="0"/>
              <a:cs typeface="Estrangelo Edessa" pitchFamily="66" charset="0"/>
            </a:rPr>
            <a:t> </a:t>
          </a:r>
          <a:r>
            <a:rPr lang="fr-FR" sz="2400" b="0" cap="none" spc="0" baseline="0">
              <a:ln>
                <a:noFill/>
              </a:ln>
              <a:solidFill>
                <a:schemeClr val="tx1"/>
              </a:solidFill>
              <a:effectLst/>
              <a:latin typeface="Estrangelo Edessa" pitchFamily="66" charset="0"/>
              <a:cs typeface="Estrangelo Edessa" pitchFamily="66" charset="0"/>
            </a:rPr>
            <a:t> </a:t>
          </a:r>
          <a:r>
            <a:rPr lang="ar-DZ" sz="2400" b="0" cap="none" spc="0">
              <a:ln>
                <a:noFill/>
              </a:ln>
              <a:solidFill>
                <a:schemeClr val="tx1"/>
              </a:solidFill>
              <a:effectLst/>
              <a:latin typeface="Estrangelo Edessa" pitchFamily="66" charset="0"/>
              <a:cs typeface="Estrangelo Edessa" pitchFamily="66" charset="0"/>
            </a:rPr>
            <a:t>خصم الخدمات الإجتماعية</a:t>
          </a:r>
          <a:endParaRPr lang="fr-FR" sz="2400" b="0" cap="none" spc="0">
            <a:ln>
              <a:noFill/>
            </a:ln>
            <a:solidFill>
              <a:schemeClr val="tx1"/>
            </a:solidFill>
            <a:effectLst/>
            <a:latin typeface="Estrangelo Edessa" pitchFamily="66" charset="0"/>
            <a:cs typeface="Estrangelo Edessa" pitchFamily="66" charset="0"/>
          </a:endParaRPr>
        </a:p>
      </xdr:txBody>
    </xdr:sp>
    <xdr:clientData/>
  </xdr:twoCellAnchor>
  <xdr:twoCellAnchor>
    <xdr:from>
      <xdr:col>1</xdr:col>
      <xdr:colOff>1085851</xdr:colOff>
      <xdr:row>0</xdr:row>
      <xdr:rowOff>0</xdr:rowOff>
    </xdr:from>
    <xdr:to>
      <xdr:col>3</xdr:col>
      <xdr:colOff>38099</xdr:colOff>
      <xdr:row>4</xdr:row>
      <xdr:rowOff>95251</xdr:rowOff>
    </xdr:to>
    <xdr:sp macro="" textlink="">
      <xdr:nvSpPr>
        <xdr:cNvPr id="16" name="Soleil 15"/>
        <xdr:cNvSpPr/>
      </xdr:nvSpPr>
      <xdr:spPr>
        <a:xfrm>
          <a:off x="8934451" y="0"/>
          <a:ext cx="847723"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twoCellAnchor>
    <xdr:from>
      <xdr:col>0</xdr:col>
      <xdr:colOff>47624</xdr:colOff>
      <xdr:row>0</xdr:row>
      <xdr:rowOff>0</xdr:rowOff>
    </xdr:from>
    <xdr:to>
      <xdr:col>1</xdr:col>
      <xdr:colOff>276224</xdr:colOff>
      <xdr:row>4</xdr:row>
      <xdr:rowOff>95251</xdr:rowOff>
    </xdr:to>
    <xdr:sp macro="" textlink="">
      <xdr:nvSpPr>
        <xdr:cNvPr id="21" name="Soleil 20"/>
        <xdr:cNvSpPr/>
      </xdr:nvSpPr>
      <xdr:spPr>
        <a:xfrm>
          <a:off x="10591801" y="0"/>
          <a:ext cx="990600"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twoCellAnchor>
    <xdr:from>
      <xdr:col>10</xdr:col>
      <xdr:colOff>666750</xdr:colOff>
      <xdr:row>0</xdr:row>
      <xdr:rowOff>76200</xdr:rowOff>
    </xdr:from>
    <xdr:to>
      <xdr:col>12</xdr:col>
      <xdr:colOff>133350</xdr:colOff>
      <xdr:row>5</xdr:row>
      <xdr:rowOff>9526</xdr:rowOff>
    </xdr:to>
    <xdr:sp macro="" textlink="">
      <xdr:nvSpPr>
        <xdr:cNvPr id="27" name="Soleil 26"/>
        <xdr:cNvSpPr/>
      </xdr:nvSpPr>
      <xdr:spPr>
        <a:xfrm>
          <a:off x="1981200" y="76200"/>
          <a:ext cx="990600"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twoCellAnchor>
    <xdr:from>
      <xdr:col>12</xdr:col>
      <xdr:colOff>76202</xdr:colOff>
      <xdr:row>0</xdr:row>
      <xdr:rowOff>76200</xdr:rowOff>
    </xdr:from>
    <xdr:to>
      <xdr:col>12</xdr:col>
      <xdr:colOff>923925</xdr:colOff>
      <xdr:row>5</xdr:row>
      <xdr:rowOff>9526</xdr:rowOff>
    </xdr:to>
    <xdr:sp macro="" textlink="">
      <xdr:nvSpPr>
        <xdr:cNvPr id="28" name="Soleil 27"/>
        <xdr:cNvSpPr/>
      </xdr:nvSpPr>
      <xdr:spPr>
        <a:xfrm>
          <a:off x="1190625" y="76200"/>
          <a:ext cx="847723"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twoCellAnchor>
    <xdr:from>
      <xdr:col>9</xdr:col>
      <xdr:colOff>561975</xdr:colOff>
      <xdr:row>0</xdr:row>
      <xdr:rowOff>76200</xdr:rowOff>
    </xdr:from>
    <xdr:to>
      <xdr:col>11</xdr:col>
      <xdr:colOff>28575</xdr:colOff>
      <xdr:row>5</xdr:row>
      <xdr:rowOff>9526</xdr:rowOff>
    </xdr:to>
    <xdr:sp macro="" textlink="">
      <xdr:nvSpPr>
        <xdr:cNvPr id="29" name="Soleil 28"/>
        <xdr:cNvSpPr/>
      </xdr:nvSpPr>
      <xdr:spPr>
        <a:xfrm>
          <a:off x="2847975" y="76200"/>
          <a:ext cx="990600" cy="742951"/>
        </a:xfrm>
        <a:prstGeom prst="sun">
          <a:avLst>
            <a:gd name="adj" fmla="val 39307"/>
          </a:avLst>
        </a:prstGeom>
      </xdr:spPr>
      <xdr:style>
        <a:lnRef idx="0">
          <a:schemeClr val="accent5"/>
        </a:lnRef>
        <a:fillRef idx="1003">
          <a:schemeClr val="dk2"/>
        </a:fillRef>
        <a:effectRef idx="3">
          <a:schemeClr val="accent5"/>
        </a:effectRef>
        <a:fontRef idx="minor">
          <a:schemeClr val="lt1"/>
        </a:fontRef>
      </xdr:style>
      <xdr:txBody>
        <a:bodyPr rtlCol="0" anchor="ctr"/>
        <a:lstStyle/>
        <a:p>
          <a:pPr algn="ctr" rtl="1"/>
          <a:endParaRPr lang="ar-DZ" sz="1800" b="1" baseline="0">
            <a:solidFill>
              <a:sysClr val="windowText" lastClr="000000"/>
            </a:solidFill>
          </a:endParaRPr>
        </a:p>
      </xdr:txBody>
    </xdr:sp>
    <xdr:clientData/>
  </xdr:twoCellAnchor>
  <xdr:twoCellAnchor>
    <xdr:from>
      <xdr:col>0</xdr:col>
      <xdr:colOff>95251</xdr:colOff>
      <xdr:row>7</xdr:row>
      <xdr:rowOff>276225</xdr:rowOff>
    </xdr:from>
    <xdr:to>
      <xdr:col>1</xdr:col>
      <xdr:colOff>581025</xdr:colOff>
      <xdr:row>9</xdr:row>
      <xdr:rowOff>38100</xdr:rowOff>
    </xdr:to>
    <xdr:sp macro="" textlink="">
      <xdr:nvSpPr>
        <xdr:cNvPr id="18" name="Rectangle à coins arrondis 17"/>
        <xdr:cNvSpPr/>
      </xdr:nvSpPr>
      <xdr:spPr>
        <a:xfrm>
          <a:off x="10287000" y="1409700"/>
          <a:ext cx="1247774" cy="619125"/>
        </a:xfrm>
        <a:prstGeom prst="roundRect">
          <a:avLst/>
        </a:prstGeom>
        <a:ln>
          <a:noFill/>
        </a:ln>
        <a:effectLst>
          <a:outerShdw blurRad="127000" dist="38100" dir="2700000" algn="ctr">
            <a:srgbClr val="000000">
              <a:alpha val="45000"/>
            </a:srgbClr>
          </a:outerShdw>
        </a:effectLst>
        <a:scene3d>
          <a:camera prst="perspectiveFront" fov="2700000">
            <a:rot lat="20376000" lon="1938000" rev="20112001"/>
          </a:camera>
          <a:lightRig rig="twoPt" dir="t"/>
        </a:scene3d>
        <a:sp3d prstMaterial="translucentPowder">
          <a:bevelT w="2032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rtl="1"/>
          <a:r>
            <a:rPr lang="ar-DZ" sz="1800">
              <a:solidFill>
                <a:sysClr val="windowText" lastClr="000000"/>
              </a:solidFill>
              <a:latin typeface="Estrangelo Edessa" pitchFamily="66" charset="0"/>
              <a:cs typeface="Estrangelo Edessa" pitchFamily="66" charset="0"/>
            </a:rPr>
            <a:t>لطفي</a:t>
          </a:r>
          <a:r>
            <a:rPr lang="ar-DZ" sz="1800" baseline="0">
              <a:solidFill>
                <a:sysClr val="windowText" lastClr="000000"/>
              </a:solidFill>
              <a:latin typeface="Estrangelo Edessa" pitchFamily="66" charset="0"/>
              <a:cs typeface="Estrangelo Edessa" pitchFamily="66" charset="0"/>
            </a:rPr>
            <a:t> بوشوك</a:t>
          </a:r>
        </a:p>
        <a:p>
          <a:pPr algn="ctr" rtl="1"/>
          <a:r>
            <a:rPr lang="ar-DZ" sz="1800" baseline="0">
              <a:solidFill>
                <a:sysClr val="windowText" lastClr="000000"/>
              </a:solidFill>
              <a:latin typeface="Estrangelo Edessa" pitchFamily="66" charset="0"/>
              <a:cs typeface="Estrangelo Edessa" pitchFamily="66" charset="0"/>
            </a:rPr>
            <a:t>رمضان 1440 ه</a:t>
          </a:r>
          <a:endParaRPr lang="fr-FR" sz="1800">
            <a:solidFill>
              <a:sysClr val="windowText" lastClr="000000"/>
            </a:solidFill>
            <a:latin typeface="Estrangelo Edessa" pitchFamily="66" charset="0"/>
            <a:cs typeface="Estrangelo Edessa" pitchFamily="66" charset="0"/>
          </a:endParaRPr>
        </a:p>
      </xdr:txBody>
    </xdr:sp>
    <xdr:clientData/>
  </xdr:twoCellAnchor>
  <xdr:oneCellAnchor>
    <xdr:from>
      <xdr:col>1</xdr:col>
      <xdr:colOff>16328</xdr:colOff>
      <xdr:row>27</xdr:row>
      <xdr:rowOff>62452</xdr:rowOff>
    </xdr:from>
    <xdr:ext cx="9083064" cy="821892"/>
    <xdr:sp macro="" textlink="">
      <xdr:nvSpPr>
        <xdr:cNvPr id="17" name="Rectangle 16"/>
        <xdr:cNvSpPr/>
      </xdr:nvSpPr>
      <xdr:spPr>
        <a:xfrm>
          <a:off x="1768633" y="5034502"/>
          <a:ext cx="9083064" cy="821892"/>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ar-DZ" sz="2400" b="1" cap="none" spc="0">
              <a:ln/>
              <a:solidFill>
                <a:schemeClr val="accent3"/>
              </a:solidFill>
              <a:effectLst/>
            </a:rPr>
            <a:t>فضلا</a:t>
          </a:r>
          <a:r>
            <a:rPr lang="ar-DZ" sz="2400" b="1" cap="none" spc="0" baseline="0">
              <a:ln/>
              <a:solidFill>
                <a:schemeClr val="accent3"/>
              </a:solidFill>
              <a:effectLst/>
            </a:rPr>
            <a:t> وليس أمرا ***الدعاء بالرحمة والمغفرة والفردوس الأعلى لروح الوالدة وأخي ****</a:t>
          </a:r>
        </a:p>
        <a:p>
          <a:pPr algn="ctr"/>
          <a:r>
            <a:rPr lang="ar-DZ" sz="2400" b="1" cap="none" spc="0" baseline="0">
              <a:ln/>
              <a:solidFill>
                <a:schemeClr val="accent3"/>
              </a:solidFill>
              <a:effectLst/>
            </a:rPr>
            <a:t>رحمة الله عليهما وأسكنهما فسيح جناته</a:t>
          </a:r>
          <a:endParaRPr lang="fr-FR" sz="2400" b="1" cap="none" spc="0">
            <a:ln/>
            <a:solidFill>
              <a:schemeClr val="accent3"/>
            </a:solidFill>
            <a:effectLst/>
          </a:endParaRPr>
        </a:p>
      </xdr:txBody>
    </xdr:sp>
    <xdr:clientData/>
  </xdr:oneCellAnchor>
  <xdr:oneCellAnchor>
    <xdr:from>
      <xdr:col>2</xdr:col>
      <xdr:colOff>486482</xdr:colOff>
      <xdr:row>8</xdr:row>
      <xdr:rowOff>176752</xdr:rowOff>
    </xdr:from>
    <xdr:ext cx="3088410" cy="937629"/>
    <xdr:sp macro="" textlink="">
      <xdr:nvSpPr>
        <xdr:cNvPr id="19" name="Rectangle 18"/>
        <xdr:cNvSpPr/>
      </xdr:nvSpPr>
      <xdr:spPr>
        <a:xfrm>
          <a:off x="6159658" y="1738852"/>
          <a:ext cx="308841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ar-DZ"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رمضان كريم</a:t>
          </a:r>
          <a:endParaRPr lang="fr-FR"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xdr:col>
      <xdr:colOff>695325</xdr:colOff>
      <xdr:row>11</xdr:row>
      <xdr:rowOff>0</xdr:rowOff>
    </xdr:from>
    <xdr:to>
      <xdr:col>3</xdr:col>
      <xdr:colOff>695325</xdr:colOff>
      <xdr:row>11</xdr:row>
      <xdr:rowOff>561975</xdr:rowOff>
    </xdr:to>
    <xdr:sp macro="" textlink="">
      <xdr:nvSpPr>
        <xdr:cNvPr id="16388" name="Line 4"/>
        <xdr:cNvSpPr>
          <a:spLocks noChangeShapeType="1"/>
        </xdr:cNvSpPr>
      </xdr:nvSpPr>
      <xdr:spPr bwMode="auto">
        <a:xfrm>
          <a:off x="193519425" y="3552825"/>
          <a:ext cx="0" cy="419100"/>
        </a:xfrm>
        <a:prstGeom prst="line">
          <a:avLst/>
        </a:prstGeom>
        <a:noFill/>
        <a:ln w="9525">
          <a:solidFill>
            <a:srgbClr val="000000"/>
          </a:solidFill>
          <a:round/>
          <a:headEnd/>
          <a:tailEnd/>
        </a:ln>
      </xdr:spPr>
    </xdr:sp>
    <xdr:clientData/>
  </xdr:twoCellAnchor>
  <xdr:twoCellAnchor>
    <xdr:from>
      <xdr:col>3</xdr:col>
      <xdr:colOff>695325</xdr:colOff>
      <xdr:row>10</xdr:row>
      <xdr:rowOff>9525</xdr:rowOff>
    </xdr:from>
    <xdr:to>
      <xdr:col>3</xdr:col>
      <xdr:colOff>695325</xdr:colOff>
      <xdr:row>11</xdr:row>
      <xdr:rowOff>9525</xdr:rowOff>
    </xdr:to>
    <xdr:sp macro="" textlink="">
      <xdr:nvSpPr>
        <xdr:cNvPr id="16395" name="Line 11"/>
        <xdr:cNvSpPr>
          <a:spLocks noChangeShapeType="1"/>
        </xdr:cNvSpPr>
      </xdr:nvSpPr>
      <xdr:spPr bwMode="auto">
        <a:xfrm>
          <a:off x="193519425" y="3181350"/>
          <a:ext cx="0" cy="38100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7</xdr:col>
      <xdr:colOff>662609</xdr:colOff>
      <xdr:row>4</xdr:row>
      <xdr:rowOff>57978</xdr:rowOff>
    </xdr:to>
    <xdr:sp macro="" textlink="">
      <xdr:nvSpPr>
        <xdr:cNvPr id="7" name="Flèche droite à entaille 6">
          <a:hlinkClick xmlns:r="http://schemas.openxmlformats.org/officeDocument/2006/relationships" r:id="rId1" tooltip="الفرعية1"/>
        </xdr:cNvPr>
        <xdr:cNvSpPr/>
      </xdr:nvSpPr>
      <xdr:spPr>
        <a:xfrm>
          <a:off x="12478611391" y="0"/>
          <a:ext cx="2302566" cy="116784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400" b="1">
              <a:latin typeface="Estrangelo Edessa" pitchFamily="66" charset="0"/>
              <a:cs typeface="Estrangelo Edessa" pitchFamily="66" charset="0"/>
            </a:rPr>
            <a:t>العودة</a:t>
          </a:r>
          <a:r>
            <a:rPr lang="ar-DZ" sz="2400" b="1" baseline="0">
              <a:latin typeface="Estrangelo Edessa" pitchFamily="66" charset="0"/>
              <a:cs typeface="Estrangelo Edessa" pitchFamily="66" charset="0"/>
            </a:rPr>
            <a:t> إلى واجهة العمال الدائمين</a:t>
          </a:r>
          <a:endParaRPr lang="fr-FR" sz="2400" b="1">
            <a:latin typeface="Estrangelo Edessa" pitchFamily="66" charset="0"/>
            <a:cs typeface="Estrangelo Edessa" pitchFamily="66" charset="0"/>
          </a:endParaRPr>
        </a:p>
      </xdr:txBody>
    </xdr:sp>
    <xdr:clientData/>
  </xdr:twoCellAnchor>
  <xdr:twoCellAnchor>
    <xdr:from>
      <xdr:col>4</xdr:col>
      <xdr:colOff>132522</xdr:colOff>
      <xdr:row>4</xdr:row>
      <xdr:rowOff>66261</xdr:rowOff>
    </xdr:from>
    <xdr:to>
      <xdr:col>7</xdr:col>
      <xdr:colOff>740465</xdr:colOff>
      <xdr:row>7</xdr:row>
      <xdr:rowOff>135007</xdr:rowOff>
    </xdr:to>
    <xdr:sp macro="" textlink="">
      <xdr:nvSpPr>
        <xdr:cNvPr id="8" name="Flèche droite à entaille 7">
          <a:hlinkClick xmlns:r="http://schemas.openxmlformats.org/officeDocument/2006/relationships" r:id="rId2" tooltip="ورقة العمل"/>
        </xdr:cNvPr>
        <xdr:cNvSpPr/>
      </xdr:nvSpPr>
      <xdr:spPr>
        <a:xfrm>
          <a:off x="12478533535" y="1176131"/>
          <a:ext cx="2247900" cy="13525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twoCellAnchor>
    <xdr:from>
      <xdr:col>3</xdr:col>
      <xdr:colOff>116377</xdr:colOff>
      <xdr:row>10</xdr:row>
      <xdr:rowOff>66262</xdr:rowOff>
    </xdr:from>
    <xdr:to>
      <xdr:col>3</xdr:col>
      <xdr:colOff>579789</xdr:colOff>
      <xdr:row>11</xdr:row>
      <xdr:rowOff>18637</xdr:rowOff>
    </xdr:to>
    <xdr:sp macro="" textlink="">
      <xdr:nvSpPr>
        <xdr:cNvPr id="9" name="Text Box 6"/>
        <xdr:cNvSpPr txBox="1">
          <a:spLocks noChangeArrowheads="1"/>
        </xdr:cNvSpPr>
      </xdr:nvSpPr>
      <xdr:spPr bwMode="auto">
        <a:xfrm>
          <a:off x="12482413103" y="3263349"/>
          <a:ext cx="463412" cy="333375"/>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الرقم</a:t>
          </a:r>
        </a:p>
      </xdr:txBody>
    </xdr:sp>
    <xdr:clientData/>
  </xdr:twoCellAnchor>
  <xdr:twoCellAnchor>
    <xdr:from>
      <xdr:col>3</xdr:col>
      <xdr:colOff>662581</xdr:colOff>
      <xdr:row>10</xdr:row>
      <xdr:rowOff>68746</xdr:rowOff>
    </xdr:from>
    <xdr:to>
      <xdr:col>3</xdr:col>
      <xdr:colOff>1900831</xdr:colOff>
      <xdr:row>10</xdr:row>
      <xdr:rowOff>335446</xdr:rowOff>
    </xdr:to>
    <xdr:sp macro="" textlink="">
      <xdr:nvSpPr>
        <xdr:cNvPr id="10" name="Text Box 12"/>
        <xdr:cNvSpPr txBox="1">
          <a:spLocks noChangeArrowheads="1"/>
        </xdr:cNvSpPr>
      </xdr:nvSpPr>
      <xdr:spPr bwMode="auto">
        <a:xfrm>
          <a:off x="12481092061" y="3265833"/>
          <a:ext cx="1238250" cy="266700"/>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التاريـــخ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9525</xdr:colOff>
      <xdr:row>14</xdr:row>
      <xdr:rowOff>76200</xdr:rowOff>
    </xdr:from>
    <xdr:to>
      <xdr:col>24</xdr:col>
      <xdr:colOff>0</xdr:colOff>
      <xdr:row>14</xdr:row>
      <xdr:rowOff>76200</xdr:rowOff>
    </xdr:to>
    <xdr:sp macro="" textlink="">
      <xdr:nvSpPr>
        <xdr:cNvPr id="12311" name="Line 1"/>
        <xdr:cNvSpPr>
          <a:spLocks noChangeShapeType="1"/>
        </xdr:cNvSpPr>
      </xdr:nvSpPr>
      <xdr:spPr bwMode="auto">
        <a:xfrm flipH="1">
          <a:off x="148923375" y="2828925"/>
          <a:ext cx="733425" cy="0"/>
        </a:xfrm>
        <a:prstGeom prst="line">
          <a:avLst/>
        </a:prstGeom>
        <a:noFill/>
        <a:ln w="9525">
          <a:solidFill>
            <a:srgbClr val="000000"/>
          </a:solidFill>
          <a:round/>
          <a:headEnd/>
          <a:tailEnd type="triangle" w="med" len="med"/>
        </a:ln>
      </xdr:spPr>
    </xdr:sp>
    <xdr:clientData/>
  </xdr:twoCellAnchor>
  <xdr:twoCellAnchor>
    <xdr:from>
      <xdr:col>24</xdr:col>
      <xdr:colOff>9525</xdr:colOff>
      <xdr:row>8</xdr:row>
      <xdr:rowOff>142875</xdr:rowOff>
    </xdr:from>
    <xdr:to>
      <xdr:col>24</xdr:col>
      <xdr:colOff>9525</xdr:colOff>
      <xdr:row>14</xdr:row>
      <xdr:rowOff>76200</xdr:rowOff>
    </xdr:to>
    <xdr:sp macro="" textlink="">
      <xdr:nvSpPr>
        <xdr:cNvPr id="12312" name="Line 2"/>
        <xdr:cNvSpPr>
          <a:spLocks noChangeShapeType="1"/>
        </xdr:cNvSpPr>
      </xdr:nvSpPr>
      <xdr:spPr bwMode="auto">
        <a:xfrm>
          <a:off x="148913850" y="1885950"/>
          <a:ext cx="0" cy="942975"/>
        </a:xfrm>
        <a:prstGeom prst="line">
          <a:avLst/>
        </a:prstGeom>
        <a:noFill/>
        <a:ln w="9525">
          <a:solidFill>
            <a:srgbClr val="000000"/>
          </a:solidFill>
          <a:round/>
          <a:headEnd/>
          <a:tailEnd/>
        </a:ln>
      </xdr:spPr>
    </xdr:sp>
    <xdr:clientData/>
  </xdr:twoCellAnchor>
  <xdr:twoCellAnchor>
    <xdr:from>
      <xdr:col>24</xdr:col>
      <xdr:colOff>9525</xdr:colOff>
      <xdr:row>50</xdr:row>
      <xdr:rowOff>0</xdr:rowOff>
    </xdr:from>
    <xdr:to>
      <xdr:col>24</xdr:col>
      <xdr:colOff>9525</xdr:colOff>
      <xdr:row>50</xdr:row>
      <xdr:rowOff>0</xdr:rowOff>
    </xdr:to>
    <xdr:sp macro="" textlink="">
      <xdr:nvSpPr>
        <xdr:cNvPr id="12314" name="Line 2"/>
        <xdr:cNvSpPr>
          <a:spLocks noChangeShapeType="1"/>
        </xdr:cNvSpPr>
      </xdr:nvSpPr>
      <xdr:spPr bwMode="auto">
        <a:xfrm>
          <a:off x="148913850" y="8772525"/>
          <a:ext cx="0" cy="0"/>
        </a:xfrm>
        <a:prstGeom prst="line">
          <a:avLst/>
        </a:prstGeom>
        <a:noFill/>
        <a:ln w="9525">
          <a:solidFill>
            <a:srgbClr val="000000"/>
          </a:solidFill>
          <a:round/>
          <a:headEnd/>
          <a:tailEnd/>
        </a:ln>
      </xdr:spPr>
    </xdr:sp>
    <xdr:clientData/>
  </xdr:twoCellAnchor>
  <xdr:twoCellAnchor>
    <xdr:from>
      <xdr:col>24</xdr:col>
      <xdr:colOff>9525</xdr:colOff>
      <xdr:row>50</xdr:row>
      <xdr:rowOff>0</xdr:rowOff>
    </xdr:from>
    <xdr:to>
      <xdr:col>24</xdr:col>
      <xdr:colOff>9525</xdr:colOff>
      <xdr:row>50</xdr:row>
      <xdr:rowOff>0</xdr:rowOff>
    </xdr:to>
    <xdr:sp macro="" textlink="">
      <xdr:nvSpPr>
        <xdr:cNvPr id="12316" name="Line 2"/>
        <xdr:cNvSpPr>
          <a:spLocks noChangeShapeType="1"/>
        </xdr:cNvSpPr>
      </xdr:nvSpPr>
      <xdr:spPr bwMode="auto">
        <a:xfrm>
          <a:off x="148913850" y="8772525"/>
          <a:ext cx="0" cy="0"/>
        </a:xfrm>
        <a:prstGeom prst="line">
          <a:avLst/>
        </a:prstGeom>
        <a:noFill/>
        <a:ln w="9525">
          <a:solidFill>
            <a:srgbClr val="000000"/>
          </a:solidFill>
          <a:round/>
          <a:headEnd/>
          <a:tailEnd/>
        </a:ln>
      </xdr:spPr>
    </xdr:sp>
    <xdr:clientData/>
  </xdr:twoCellAnchor>
  <xdr:twoCellAnchor>
    <xdr:from>
      <xdr:col>24</xdr:col>
      <xdr:colOff>9525</xdr:colOff>
      <xdr:row>50</xdr:row>
      <xdr:rowOff>0</xdr:rowOff>
    </xdr:from>
    <xdr:to>
      <xdr:col>24</xdr:col>
      <xdr:colOff>9525</xdr:colOff>
      <xdr:row>50</xdr:row>
      <xdr:rowOff>0</xdr:rowOff>
    </xdr:to>
    <xdr:sp macro="" textlink="">
      <xdr:nvSpPr>
        <xdr:cNvPr id="12318" name="Line 2"/>
        <xdr:cNvSpPr>
          <a:spLocks noChangeShapeType="1"/>
        </xdr:cNvSpPr>
      </xdr:nvSpPr>
      <xdr:spPr bwMode="auto">
        <a:xfrm>
          <a:off x="148913850" y="8772525"/>
          <a:ext cx="0" cy="0"/>
        </a:xfrm>
        <a:prstGeom prst="line">
          <a:avLst/>
        </a:prstGeom>
        <a:noFill/>
        <a:ln w="9525">
          <a:solidFill>
            <a:srgbClr val="000000"/>
          </a:solidFill>
          <a:round/>
          <a:headEnd/>
          <a:tailEnd/>
        </a:ln>
      </xdr:spPr>
    </xdr:sp>
    <xdr:clientData/>
  </xdr:twoCellAnchor>
  <xdr:twoCellAnchor>
    <xdr:from>
      <xdr:col>24</xdr:col>
      <xdr:colOff>9525</xdr:colOff>
      <xdr:row>50</xdr:row>
      <xdr:rowOff>0</xdr:rowOff>
    </xdr:from>
    <xdr:to>
      <xdr:col>24</xdr:col>
      <xdr:colOff>9525</xdr:colOff>
      <xdr:row>50</xdr:row>
      <xdr:rowOff>0</xdr:rowOff>
    </xdr:to>
    <xdr:sp macro="" textlink="">
      <xdr:nvSpPr>
        <xdr:cNvPr id="12320" name="Line 2"/>
        <xdr:cNvSpPr>
          <a:spLocks noChangeShapeType="1"/>
        </xdr:cNvSpPr>
      </xdr:nvSpPr>
      <xdr:spPr bwMode="auto">
        <a:xfrm>
          <a:off x="148913850" y="8772525"/>
          <a:ext cx="0" cy="0"/>
        </a:xfrm>
        <a:prstGeom prst="line">
          <a:avLst/>
        </a:prstGeom>
        <a:noFill/>
        <a:ln w="9525">
          <a:solidFill>
            <a:srgbClr val="000000"/>
          </a:solidFill>
          <a:round/>
          <a:headEnd/>
          <a:tailEnd/>
        </a:ln>
      </xdr:spPr>
    </xdr:sp>
    <xdr:clientData/>
  </xdr:twoCellAnchor>
  <xdr:twoCellAnchor>
    <xdr:from>
      <xdr:col>69</xdr:col>
      <xdr:colOff>342900</xdr:colOff>
      <xdr:row>3</xdr:row>
      <xdr:rowOff>200025</xdr:rowOff>
    </xdr:from>
    <xdr:to>
      <xdr:col>71</xdr:col>
      <xdr:colOff>607944</xdr:colOff>
      <xdr:row>9</xdr:row>
      <xdr:rowOff>157370</xdr:rowOff>
    </xdr:to>
    <xdr:sp macro="" textlink="">
      <xdr:nvSpPr>
        <xdr:cNvPr id="8" name="Flèche droite à entaille 7">
          <a:hlinkClick xmlns:r="http://schemas.openxmlformats.org/officeDocument/2006/relationships" r:id="rId1" tooltip="الفرعية1"/>
        </xdr:cNvPr>
        <xdr:cNvSpPr/>
      </xdr:nvSpPr>
      <xdr:spPr>
        <a:xfrm>
          <a:off x="10191750" y="838200"/>
          <a:ext cx="1789044" cy="110987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العودة</a:t>
          </a:r>
          <a:r>
            <a:rPr lang="ar-DZ" sz="2000" b="1" baseline="0">
              <a:latin typeface="Estrangelo Edessa" pitchFamily="66" charset="0"/>
              <a:cs typeface="Estrangelo Edessa" pitchFamily="66" charset="0"/>
            </a:rPr>
            <a:t> إلى واجهة العمال الدائمين</a:t>
          </a:r>
          <a:endParaRPr lang="fr-FR" sz="2000" b="1">
            <a:latin typeface="Estrangelo Edessa" pitchFamily="66" charset="0"/>
            <a:cs typeface="Estrangelo Edessa" pitchFamily="66" charset="0"/>
          </a:endParaRPr>
        </a:p>
      </xdr:txBody>
    </xdr:sp>
    <xdr:clientData/>
  </xdr:twoCellAnchor>
  <xdr:twoCellAnchor>
    <xdr:from>
      <xdr:col>69</xdr:col>
      <xdr:colOff>419100</xdr:colOff>
      <xdr:row>10</xdr:row>
      <xdr:rowOff>38100</xdr:rowOff>
    </xdr:from>
    <xdr:to>
      <xdr:col>71</xdr:col>
      <xdr:colOff>609600</xdr:colOff>
      <xdr:row>16</xdr:row>
      <xdr:rowOff>152400</xdr:rowOff>
    </xdr:to>
    <xdr:sp macro="" textlink="">
      <xdr:nvSpPr>
        <xdr:cNvPr id="9" name="Flèche droite à entaille 8">
          <a:hlinkClick xmlns:r="http://schemas.openxmlformats.org/officeDocument/2006/relationships" r:id="rId2" tooltip="الفرعية1"/>
        </xdr:cNvPr>
        <xdr:cNvSpPr/>
      </xdr:nvSpPr>
      <xdr:spPr>
        <a:xfrm>
          <a:off x="10267950" y="1990725"/>
          <a:ext cx="1714500" cy="10858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69</xdr:col>
      <xdr:colOff>257175</xdr:colOff>
      <xdr:row>18</xdr:row>
      <xdr:rowOff>47625</xdr:rowOff>
    </xdr:from>
    <xdr:to>
      <xdr:col>71</xdr:col>
      <xdr:colOff>666750</xdr:colOff>
      <xdr:row>24</xdr:row>
      <xdr:rowOff>85725</xdr:rowOff>
    </xdr:to>
    <xdr:sp macro="" textlink="">
      <xdr:nvSpPr>
        <xdr:cNvPr id="10" name="Flèche droite à entaille 9">
          <a:hlinkClick xmlns:r="http://schemas.openxmlformats.org/officeDocument/2006/relationships" r:id="rId3" tooltip="ورقة العمل"/>
        </xdr:cNvPr>
        <xdr:cNvSpPr/>
      </xdr:nvSpPr>
      <xdr:spPr>
        <a:xfrm>
          <a:off x="10106025" y="3295650"/>
          <a:ext cx="1933575" cy="10096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1800" b="1">
              <a:latin typeface="Estrangelo Edessa" pitchFamily="66" charset="0"/>
              <a:cs typeface="Estrangelo Edessa" pitchFamily="66" charset="0"/>
            </a:rPr>
            <a:t>الإنتقال إلى ورقة العمل للتدقيق و التحقق</a:t>
          </a:r>
          <a:endParaRPr lang="fr-FR" sz="1800" b="1">
            <a:latin typeface="Estrangelo Edessa" pitchFamily="66" charset="0"/>
            <a:cs typeface="Estrangelo Edessa" pitchFamily="66"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1000125</xdr:colOff>
      <xdr:row>2</xdr:row>
      <xdr:rowOff>31750</xdr:rowOff>
    </xdr:from>
    <xdr:to>
      <xdr:col>11</xdr:col>
      <xdr:colOff>190500</xdr:colOff>
      <xdr:row>7</xdr:row>
      <xdr:rowOff>142875</xdr:rowOff>
    </xdr:to>
    <xdr:sp macro="" textlink="">
      <xdr:nvSpPr>
        <xdr:cNvPr id="3" name="Flèche droite à entaille 2">
          <a:hlinkClick xmlns:r="http://schemas.openxmlformats.org/officeDocument/2006/relationships" r:id="rId1" tooltip="الفرعية1"/>
        </xdr:cNvPr>
        <xdr:cNvSpPr/>
      </xdr:nvSpPr>
      <xdr:spPr>
        <a:xfrm>
          <a:off x="12476035500" y="523875"/>
          <a:ext cx="2555875" cy="18415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800" b="1">
              <a:latin typeface="Estrangelo Edessa" pitchFamily="66" charset="0"/>
              <a:cs typeface="Estrangelo Edessa" pitchFamily="66" charset="0"/>
            </a:rPr>
            <a:t>العودة</a:t>
          </a:r>
          <a:r>
            <a:rPr lang="ar-DZ" sz="2800" b="1" baseline="0">
              <a:latin typeface="Estrangelo Edessa" pitchFamily="66" charset="0"/>
              <a:cs typeface="Estrangelo Edessa" pitchFamily="66" charset="0"/>
            </a:rPr>
            <a:t> إلى واجهة العمال الدائمين</a:t>
          </a:r>
          <a:endParaRPr lang="fr-FR" sz="2800" b="1">
            <a:latin typeface="Estrangelo Edessa" pitchFamily="66" charset="0"/>
            <a:cs typeface="Estrangelo Edessa" pitchFamily="66"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9525</xdr:colOff>
      <xdr:row>84</xdr:row>
      <xdr:rowOff>0</xdr:rowOff>
    </xdr:from>
    <xdr:to>
      <xdr:col>3</xdr:col>
      <xdr:colOff>9525</xdr:colOff>
      <xdr:row>84</xdr:row>
      <xdr:rowOff>0</xdr:rowOff>
    </xdr:to>
    <xdr:sp macro="" textlink="">
      <xdr:nvSpPr>
        <xdr:cNvPr id="13313" name="Line 183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4" name="Line 183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5" name="Line 183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6" name="Line 183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7" name="Line 183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8" name="Line 183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19" name="Line 187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0" name="Line 187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1" name="Line 187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2" name="Line 187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3" name="Line 187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4" name="Line 187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5" name="Line 187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6" name="Line 188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7" name="Line 188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8" name="Line 188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29" name="Line 188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0" name="Line 188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1" name="Line 188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2" name="Line 188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3" name="Line 188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4" name="Line 188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5" name="Line 188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36" name="Line 189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37" name="Line 1891"/>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38" name="Line 1892"/>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39" name="Line 1893"/>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0" name="Line 1894"/>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1" name="Line 1895"/>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2" name="Line 1896"/>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3" name="Line 1897"/>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4" name="Line 1898"/>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5" name="Line 1899"/>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6" name="Line 1900"/>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7" name="Line 1901"/>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348" name="Line 1902"/>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49" name="Line 1903"/>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50" name="Line 1904"/>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51" name="Line 1905"/>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52" name="Line 1906"/>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53" name="Line 1907"/>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54</xdr:row>
      <xdr:rowOff>0</xdr:rowOff>
    </xdr:from>
    <xdr:to>
      <xdr:col>3</xdr:col>
      <xdr:colOff>9525</xdr:colOff>
      <xdr:row>54</xdr:row>
      <xdr:rowOff>0</xdr:rowOff>
    </xdr:to>
    <xdr:sp macro="" textlink="">
      <xdr:nvSpPr>
        <xdr:cNvPr id="13354" name="Line 1908"/>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55" name="Line 1909"/>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56" name="Line 1910"/>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57" name="Line 1911"/>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58" name="Line 1912"/>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59" name="Line 1913"/>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360" name="Line 1914"/>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1" name="Line 234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2" name="Line 234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3" name="Line 234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4" name="Line 234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5" name="Line 234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6" name="Line 234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7" name="Line 234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8" name="Line 234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69" name="Line 234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0" name="Line 235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1" name="Line 235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2" name="Line 235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3" name="Line 235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4" name="Line 235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5" name="Line 235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6" name="Line 235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7" name="Line 235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8" name="Line 235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79" name="Line 235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0" name="Line 236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1" name="Line 236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2" name="Line 236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3" name="Line 236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4" name="Line 2364"/>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5" name="Line 2365"/>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6" name="Line 2366"/>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7" name="Line 2367"/>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8" name="Line 236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89" name="Line 236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90" name="Line 237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91" name="Line 237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92" name="Line 237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393" name="Line 237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4" name="Line 1429"/>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5" name="Line 1430"/>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6" name="Line 1431"/>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7" name="Line 1432"/>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8" name="Line 1433"/>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85</xdr:row>
      <xdr:rowOff>0</xdr:rowOff>
    </xdr:from>
    <xdr:to>
      <xdr:col>3</xdr:col>
      <xdr:colOff>9525</xdr:colOff>
      <xdr:row>85</xdr:row>
      <xdr:rowOff>0</xdr:rowOff>
    </xdr:to>
    <xdr:sp macro="" textlink="">
      <xdr:nvSpPr>
        <xdr:cNvPr id="13399" name="Line 1434"/>
        <xdr:cNvSpPr>
          <a:spLocks noChangeShapeType="1"/>
        </xdr:cNvSpPr>
      </xdr:nvSpPr>
      <xdr:spPr bwMode="auto">
        <a:xfrm flipH="1">
          <a:off x="195729225" y="697230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0" name="Line 143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1" name="Line 143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2" name="Line 143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3" name="Line 143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4" name="Line 143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5" name="Line 144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6" name="Line 144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7" name="Line 144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8" name="Line 144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09" name="Line 144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0" name="Line 144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1" name="Line 144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2" name="Line 144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3" name="Line 144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4" name="Line 144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5" name="Line 145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6" name="Line 145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7" name="Line 145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8" name="Line 145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19" name="Line 145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0" name="Line 145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1" name="Line 145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2" name="Line 145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3" name="Line 145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4" name="Line 145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5" name="Line 146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6" name="Line 146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7" name="Line 146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8" name="Line 146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29" name="Line 146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30" name="Line 146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31" name="Line 146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32" name="Line 146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3" name="Line 1468"/>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4" name="Line 1469"/>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5" name="Line 1470"/>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6" name="Line 1471"/>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7" name="Line 1472"/>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84</xdr:row>
      <xdr:rowOff>0</xdr:rowOff>
    </xdr:from>
    <xdr:to>
      <xdr:col>3</xdr:col>
      <xdr:colOff>9525</xdr:colOff>
      <xdr:row>84</xdr:row>
      <xdr:rowOff>0</xdr:rowOff>
    </xdr:to>
    <xdr:sp macro="" textlink="">
      <xdr:nvSpPr>
        <xdr:cNvPr id="13438" name="Line 1473"/>
        <xdr:cNvSpPr>
          <a:spLocks noChangeShapeType="1"/>
        </xdr:cNvSpPr>
      </xdr:nvSpPr>
      <xdr:spPr bwMode="auto">
        <a:xfrm flipH="1">
          <a:off x="195729225" y="67437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39" name="Line 1474"/>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40" name="Line 1475"/>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41" name="Line 1476"/>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42" name="Line 1477"/>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43" name="Line 1478"/>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83</xdr:row>
      <xdr:rowOff>0</xdr:rowOff>
    </xdr:from>
    <xdr:to>
      <xdr:col>3</xdr:col>
      <xdr:colOff>9525</xdr:colOff>
      <xdr:row>83</xdr:row>
      <xdr:rowOff>0</xdr:rowOff>
    </xdr:to>
    <xdr:sp macro="" textlink="">
      <xdr:nvSpPr>
        <xdr:cNvPr id="13444" name="Line 1479"/>
        <xdr:cNvSpPr>
          <a:spLocks noChangeShapeType="1"/>
        </xdr:cNvSpPr>
      </xdr:nvSpPr>
      <xdr:spPr bwMode="auto">
        <a:xfrm flipH="1">
          <a:off x="195729225" y="65151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45" name="Line 1480"/>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46" name="Line 1481"/>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47" name="Line 1482"/>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48" name="Line 1483"/>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49" name="Line 1484"/>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55</xdr:row>
      <xdr:rowOff>0</xdr:rowOff>
    </xdr:from>
    <xdr:to>
      <xdr:col>3</xdr:col>
      <xdr:colOff>9525</xdr:colOff>
      <xdr:row>55</xdr:row>
      <xdr:rowOff>0</xdr:rowOff>
    </xdr:to>
    <xdr:sp macro="" textlink="">
      <xdr:nvSpPr>
        <xdr:cNvPr id="13450" name="Line 1485"/>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1" name="Line 1486"/>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2" name="Line 1487"/>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3" name="Line 1488"/>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4" name="Line 1489"/>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5" name="Line 1490"/>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53</xdr:row>
      <xdr:rowOff>0</xdr:rowOff>
    </xdr:from>
    <xdr:to>
      <xdr:col>3</xdr:col>
      <xdr:colOff>9525</xdr:colOff>
      <xdr:row>53</xdr:row>
      <xdr:rowOff>0</xdr:rowOff>
    </xdr:to>
    <xdr:sp macro="" textlink="">
      <xdr:nvSpPr>
        <xdr:cNvPr id="13456" name="Line 1491"/>
        <xdr:cNvSpPr>
          <a:spLocks noChangeShapeType="1"/>
        </xdr:cNvSpPr>
      </xdr:nvSpPr>
      <xdr:spPr bwMode="auto">
        <a:xfrm flipH="1">
          <a:off x="195729225" y="58293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57" name="Line 1492"/>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58" name="Line 1493"/>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59" name="Line 1494"/>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0" name="Line 1495"/>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1" name="Line 1496"/>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2" name="Line 1497"/>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3" name="Line 1498"/>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4" name="Line 1499"/>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5" name="Line 1500"/>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6" name="Line 1501"/>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7" name="Line 1502"/>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8" name="Line 1503"/>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69" name="Line 1504"/>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70" name="Line 1505"/>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71" name="Line 1506"/>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72" name="Line 1507"/>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73" name="Line 1508"/>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3474" name="Line 1509"/>
        <xdr:cNvSpPr>
          <a:spLocks noChangeShapeType="1"/>
        </xdr:cNvSpPr>
      </xdr:nvSpPr>
      <xdr:spPr bwMode="auto">
        <a:xfrm flipH="1">
          <a:off x="195729225" y="262890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75" name="Line 230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76" name="Line 230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77" name="Line 231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78" name="Line 231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79" name="Line 231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0" name="Line 231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1" name="Line 231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2" name="Line 231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3" name="Line 231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4" name="Line 231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5" name="Line 231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6" name="Line 231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7" name="Line 232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8" name="Line 232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89" name="Line 232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0" name="Line 232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1" name="Line 232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2" name="Line 232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3" name="Line 232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4" name="Line 232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5" name="Line 232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6" name="Line 232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7" name="Line 233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8" name="Line 2331"/>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499" name="Line 2332"/>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0" name="Line 2333"/>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1" name="Line 2334"/>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2" name="Line 2335"/>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3" name="Line 2336"/>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4" name="Line 2337"/>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5" name="Line 2338"/>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6" name="Line 2339"/>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3507" name="Line 2340"/>
        <xdr:cNvSpPr>
          <a:spLocks noChangeShapeType="1"/>
        </xdr:cNvSpPr>
      </xdr:nvSpPr>
      <xdr:spPr bwMode="auto">
        <a:xfrm flipH="1">
          <a:off x="195729225" y="7867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0" name="Line 14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1" name="Line 14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2" name="Line 14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3" name="Line 14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4" name="Line 14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5" name="Line 14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6" name="Line 144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7" name="Line 144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8" name="Line 144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19" name="Line 144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0" name="Line 144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1" name="Line 144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2" name="Line 144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3" name="Line 144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4" name="Line 144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5" name="Line 145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6" name="Line 145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7" name="Line 145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8" name="Line 145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29" name="Line 145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0" name="Line 145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1" name="Line 145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2" name="Line 145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3" name="Line 145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4" name="Line 145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5" name="Line 146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6" name="Line 146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7" name="Line 146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8" name="Line 146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39" name="Line 146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0" name="Line 146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1" name="Line 146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2" name="Line 146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3" name="Line 230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4" name="Line 230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5" name="Line 231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6" name="Line 231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7" name="Line 231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8" name="Line 231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49" name="Line 231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0" name="Line 231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1" name="Line 231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2" name="Line 231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3" name="Line 231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4" name="Line 231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5" name="Line 232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6" name="Line 232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7" name="Line 232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8" name="Line 232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59" name="Line 232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0" name="Line 232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1" name="Line 232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2" name="Line 232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3" name="Line 232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4" name="Line 232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5" name="Line 233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6" name="Line 233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7" name="Line 233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8" name="Line 233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69" name="Line 233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0" name="Line 23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1" name="Line 23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2" name="Line 23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3" name="Line 23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4" name="Line 23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3575" name="Line 23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76" name="Line 14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77" name="Line 14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78" name="Line 14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79" name="Line 14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0" name="Line 14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1" name="Line 14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2" name="Line 144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3" name="Line 144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4" name="Line 144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5" name="Line 144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6" name="Line 144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7" name="Line 144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8" name="Line 144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89" name="Line 144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0" name="Line 144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1" name="Line 145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2" name="Line 145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3" name="Line 145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4" name="Line 145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5" name="Line 145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6" name="Line 145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7" name="Line 145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8" name="Line 145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599" name="Line 145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0" name="Line 145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1" name="Line 146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2" name="Line 146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3" name="Line 146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4" name="Line 146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5" name="Line 146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6" name="Line 146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7" name="Line 146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8" name="Line 146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09" name="Line 230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0" name="Line 230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1" name="Line 231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2" name="Line 231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3" name="Line 231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4" name="Line 231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5" name="Line 231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6" name="Line 231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7" name="Line 231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8" name="Line 231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19" name="Line 231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0" name="Line 231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1" name="Line 232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2" name="Line 232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3" name="Line 232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4" name="Line 232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5" name="Line 232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6" name="Line 232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7" name="Line 232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8" name="Line 232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29" name="Line 232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0" name="Line 232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1" name="Line 233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2" name="Line 233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3" name="Line 233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4" name="Line 233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5" name="Line 233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6" name="Line 23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7" name="Line 23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8" name="Line 23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39" name="Line 23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40" name="Line 23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13641" name="Line 23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2" name="Line 14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3" name="Line 14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4" name="Line 14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5" name="Line 14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6" name="Line 14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7" name="Line 14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8" name="Line 144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49" name="Line 144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0" name="Line 144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1" name="Line 144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2" name="Line 144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3" name="Line 144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4" name="Line 144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5" name="Line 144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6" name="Line 144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7" name="Line 145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8" name="Line 145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59" name="Line 145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0" name="Line 145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1" name="Line 145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2" name="Line 145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3" name="Line 145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4" name="Line 145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5" name="Line 145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6" name="Line 145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7" name="Line 146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8" name="Line 146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69" name="Line 146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0" name="Line 146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1" name="Line 146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2" name="Line 146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3" name="Line 146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4" name="Line 146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5" name="Line 230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6" name="Line 230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7" name="Line 231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8" name="Line 231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79" name="Line 231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0" name="Line 231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1" name="Line 231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2" name="Line 231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3" name="Line 231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4" name="Line 231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5" name="Line 231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6" name="Line 231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7" name="Line 232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8" name="Line 232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89" name="Line 232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0" name="Line 232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1" name="Line 232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2" name="Line 232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3" name="Line 232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4" name="Line 232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5" name="Line 232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6" name="Line 232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7" name="Line 233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8" name="Line 233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699" name="Line 233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0" name="Line 233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1" name="Line 233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2" name="Line 23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3" name="Line 23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4" name="Line 23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5" name="Line 23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6" name="Line 23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13707" name="Line 23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08" name="Line 14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09" name="Line 14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0" name="Line 14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1" name="Line 14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2" name="Line 14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3" name="Line 14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4" name="Line 144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5" name="Line 144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6" name="Line 144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7" name="Line 144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8" name="Line 144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19" name="Line 144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0" name="Line 144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1" name="Line 144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2" name="Line 144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3" name="Line 145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4" name="Line 145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5" name="Line 145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6" name="Line 145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7" name="Line 145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8" name="Line 145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29" name="Line 145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0" name="Line 145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1" name="Line 145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2" name="Line 145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3" name="Line 146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4" name="Line 146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5" name="Line 146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6" name="Line 146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7" name="Line 146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8" name="Line 146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39" name="Line 146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0" name="Line 146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1" name="Line 230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2" name="Line 230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3" name="Line 231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4" name="Line 231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5" name="Line 231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6" name="Line 231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7" name="Line 231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8" name="Line 231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49" name="Line 231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0" name="Line 231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1" name="Line 231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2" name="Line 231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3" name="Line 232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4" name="Line 232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5" name="Line 232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6" name="Line 232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7" name="Line 232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8" name="Line 232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59" name="Line 232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0" name="Line 232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1" name="Line 232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2" name="Line 232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3" name="Line 233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4" name="Line 2331"/>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5" name="Line 2332"/>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6" name="Line 2333"/>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7" name="Line 2334"/>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8" name="Line 2335"/>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69" name="Line 2336"/>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70" name="Line 2337"/>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71" name="Line 2338"/>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72" name="Line 2339"/>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13773" name="Line 2340"/>
        <xdr:cNvSpPr>
          <a:spLocks noChangeShapeType="1"/>
        </xdr:cNvSpPr>
      </xdr:nvSpPr>
      <xdr:spPr bwMode="auto">
        <a:xfrm flipH="1">
          <a:off x="195729225" y="8248650"/>
          <a:ext cx="0" cy="0"/>
        </a:xfrm>
        <a:prstGeom prst="line">
          <a:avLst/>
        </a:prstGeom>
        <a:noFill/>
        <a:ln w="17145">
          <a:solidFill>
            <a:srgbClr val="000000"/>
          </a:solidFill>
          <a:round/>
          <a:headEnd/>
          <a:tailEnd/>
        </a:ln>
      </xdr:spPr>
    </xdr:sp>
    <xdr:clientData/>
  </xdr:twoCellAnchor>
  <xdr:twoCellAnchor>
    <xdr:from>
      <xdr:col>7</xdr:col>
      <xdr:colOff>123825</xdr:colOff>
      <xdr:row>0</xdr:row>
      <xdr:rowOff>0</xdr:rowOff>
    </xdr:from>
    <xdr:to>
      <xdr:col>8</xdr:col>
      <xdr:colOff>503169</xdr:colOff>
      <xdr:row>3</xdr:row>
      <xdr:rowOff>185945</xdr:rowOff>
    </xdr:to>
    <xdr:sp macro="" textlink="">
      <xdr:nvSpPr>
        <xdr:cNvPr id="462" name="Flèche droite à entaille 461">
          <a:hlinkClick xmlns:r="http://schemas.openxmlformats.org/officeDocument/2006/relationships" r:id="rId1" tooltip="الفرعية1"/>
        </xdr:cNvPr>
        <xdr:cNvSpPr/>
      </xdr:nvSpPr>
      <xdr:spPr>
        <a:xfrm>
          <a:off x="12478551756" y="0"/>
          <a:ext cx="1789044" cy="110987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العودة</a:t>
          </a:r>
          <a:r>
            <a:rPr lang="ar-DZ" sz="2000" b="1" baseline="0">
              <a:latin typeface="Estrangelo Edessa" pitchFamily="66" charset="0"/>
              <a:cs typeface="Estrangelo Edessa" pitchFamily="66" charset="0"/>
            </a:rPr>
            <a:t> إلى واجهة العمال الدائمين</a:t>
          </a:r>
          <a:endParaRPr lang="fr-FR" sz="2000" b="1">
            <a:latin typeface="Estrangelo Edessa" pitchFamily="66" charset="0"/>
            <a:cs typeface="Estrangelo Edessa" pitchFamily="66"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109904</xdr:colOff>
      <xdr:row>0</xdr:row>
      <xdr:rowOff>139212</xdr:rowOff>
    </xdr:from>
    <xdr:to>
      <xdr:col>8</xdr:col>
      <xdr:colOff>257717</xdr:colOff>
      <xdr:row>5</xdr:row>
      <xdr:rowOff>3505</xdr:rowOff>
    </xdr:to>
    <xdr:sp macro="" textlink="">
      <xdr:nvSpPr>
        <xdr:cNvPr id="3" name="Flèche droite à entaille 2">
          <a:hlinkClick xmlns:r="http://schemas.openxmlformats.org/officeDocument/2006/relationships" r:id="rId1" tooltip="الفرعية1"/>
        </xdr:cNvPr>
        <xdr:cNvSpPr/>
      </xdr:nvSpPr>
      <xdr:spPr>
        <a:xfrm>
          <a:off x="12478979648" y="139212"/>
          <a:ext cx="1789044" cy="110987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العودة</a:t>
          </a:r>
          <a:r>
            <a:rPr lang="ar-DZ" sz="2000" b="1" baseline="0">
              <a:latin typeface="Estrangelo Edessa" pitchFamily="66" charset="0"/>
              <a:cs typeface="Estrangelo Edessa" pitchFamily="66" charset="0"/>
            </a:rPr>
            <a:t> إلى واجهة العمال الدائمين</a:t>
          </a:r>
          <a:endParaRPr lang="fr-FR" sz="2000" b="1">
            <a:latin typeface="Estrangelo Edessa" pitchFamily="66" charset="0"/>
            <a:cs typeface="Estrangelo Edessa" pitchFamily="66"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514350</xdr:colOff>
      <xdr:row>12</xdr:row>
      <xdr:rowOff>190500</xdr:rowOff>
    </xdr:from>
    <xdr:to>
      <xdr:col>46</xdr:col>
      <xdr:colOff>695325</xdr:colOff>
      <xdr:row>18</xdr:row>
      <xdr:rowOff>1176338</xdr:rowOff>
    </xdr:to>
    <xdr:sp macro="" textlink="">
      <xdr:nvSpPr>
        <xdr:cNvPr id="3" name="Flèche droite à entaille 2">
          <a:hlinkClick xmlns:r="http://schemas.openxmlformats.org/officeDocument/2006/relationships" r:id="rId1" tooltip="الفرعية1"/>
        </xdr:cNvPr>
        <xdr:cNvSpPr/>
      </xdr:nvSpPr>
      <xdr:spPr>
        <a:xfrm>
          <a:off x="6010275" y="5448300"/>
          <a:ext cx="3857625" cy="2833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4800" b="1">
              <a:latin typeface="Estrangelo Edessa" pitchFamily="66" charset="0"/>
              <a:cs typeface="Estrangelo Edessa" pitchFamily="66" charset="0"/>
            </a:rPr>
            <a:t>العودة</a:t>
          </a:r>
          <a:r>
            <a:rPr lang="ar-DZ" sz="4800" b="1" baseline="0">
              <a:latin typeface="Estrangelo Edessa" pitchFamily="66" charset="0"/>
              <a:cs typeface="Estrangelo Edessa" pitchFamily="66" charset="0"/>
            </a:rPr>
            <a:t> إلى واجهة العمال الدائمين</a:t>
          </a:r>
          <a:endParaRPr lang="fr-FR" sz="4800" b="1">
            <a:latin typeface="Estrangelo Edessa" pitchFamily="66" charset="0"/>
            <a:cs typeface="Estrangelo Edessa" pitchFamily="66"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713415</xdr:colOff>
      <xdr:row>0</xdr:row>
      <xdr:rowOff>109883</xdr:rowOff>
    </xdr:from>
    <xdr:to>
      <xdr:col>14</xdr:col>
      <xdr:colOff>1383194</xdr:colOff>
      <xdr:row>4</xdr:row>
      <xdr:rowOff>1</xdr:rowOff>
    </xdr:to>
    <xdr:sp macro="" textlink="">
      <xdr:nvSpPr>
        <xdr:cNvPr id="3" name="Flèche droite à entaille 2">
          <a:hlinkClick xmlns:r="http://schemas.openxmlformats.org/officeDocument/2006/relationships" r:id="rId1" tooltip="الفرعية1"/>
        </xdr:cNvPr>
        <xdr:cNvSpPr/>
      </xdr:nvSpPr>
      <xdr:spPr>
        <a:xfrm>
          <a:off x="3404153" y="109883"/>
          <a:ext cx="2409127" cy="1024835"/>
        </a:xfrm>
        <a:prstGeom prst="notchedRightArrow">
          <a:avLst>
            <a:gd name="adj1" fmla="val 64500"/>
            <a:gd name="adj2" fmla="val 65493"/>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800" b="1">
              <a:latin typeface="Estrangelo Edessa" pitchFamily="66" charset="0"/>
              <a:cs typeface="Estrangelo Edessa" pitchFamily="66" charset="0"/>
            </a:rPr>
            <a:t>العودة</a:t>
          </a:r>
          <a:r>
            <a:rPr lang="ar-DZ" sz="2800" b="1" baseline="0">
              <a:latin typeface="Estrangelo Edessa" pitchFamily="66" charset="0"/>
              <a:cs typeface="Estrangelo Edessa" pitchFamily="66" charset="0"/>
            </a:rPr>
            <a:t> إلى واجهة العمال الدائمين</a:t>
          </a:r>
          <a:endParaRPr lang="fr-FR" sz="2800" b="1">
            <a:latin typeface="Estrangelo Edessa" pitchFamily="66" charset="0"/>
            <a:cs typeface="Estrangelo Edessa" pitchFamily="66" charset="0"/>
          </a:endParaRPr>
        </a:p>
      </xdr:txBody>
    </xdr:sp>
    <xdr:clientData/>
  </xdr:twoCellAnchor>
  <xdr:twoCellAnchor>
    <xdr:from>
      <xdr:col>13</xdr:col>
      <xdr:colOff>852570</xdr:colOff>
      <xdr:row>4</xdr:row>
      <xdr:rowOff>131417</xdr:rowOff>
    </xdr:from>
    <xdr:to>
      <xdr:col>14</xdr:col>
      <xdr:colOff>1281395</xdr:colOff>
      <xdr:row>10</xdr:row>
      <xdr:rowOff>11778</xdr:rowOff>
    </xdr:to>
    <xdr:sp macro="" textlink="">
      <xdr:nvSpPr>
        <xdr:cNvPr id="4" name="Flèche gauche 3">
          <a:hlinkClick xmlns:r="http://schemas.openxmlformats.org/officeDocument/2006/relationships" r:id="rId2" tooltip="BRD-Titr-PRS-PERM"/>
        </xdr:cNvPr>
        <xdr:cNvSpPr/>
      </xdr:nvSpPr>
      <xdr:spPr>
        <a:xfrm>
          <a:off x="3505952" y="1266134"/>
          <a:ext cx="2168173" cy="1346383"/>
        </a:xfrm>
        <a:prstGeom prst="leftArrow">
          <a:avLst>
            <a:gd name="adj1" fmla="val 52647"/>
            <a:gd name="adj2" fmla="val 35246"/>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rtlCol="0" anchor="ctr"/>
        <a:lstStyle/>
        <a:p>
          <a:pPr algn="ctr" rtl="1"/>
          <a:r>
            <a:rPr lang="ar-DZ" sz="2800" b="1" baseline="0">
              <a:latin typeface="Estrangelo Edessa" pitchFamily="66" charset="0"/>
              <a:cs typeface="Estrangelo Edessa" pitchFamily="66" charset="0"/>
            </a:rPr>
            <a:t>العودة إلى جدول التحصيل</a:t>
          </a:r>
          <a:endParaRPr lang="fr-FR" sz="2800" b="1">
            <a:latin typeface="Estrangelo Edessa" pitchFamily="66" charset="0"/>
            <a:cs typeface="Estrangelo Edessa" pitchFamily="66"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657224</xdr:colOff>
      <xdr:row>0</xdr:row>
      <xdr:rowOff>1</xdr:rowOff>
    </xdr:from>
    <xdr:to>
      <xdr:col>3</xdr:col>
      <xdr:colOff>396874</xdr:colOff>
      <xdr:row>2</xdr:row>
      <xdr:rowOff>285751</xdr:rowOff>
    </xdr:to>
    <xdr:sp macro="" textlink="">
      <xdr:nvSpPr>
        <xdr:cNvPr id="3" name="Flèche droite à entaille 2">
          <a:hlinkClick xmlns:r="http://schemas.openxmlformats.org/officeDocument/2006/relationships" r:id="rId1" tooltip="الفرعية1"/>
        </xdr:cNvPr>
        <xdr:cNvSpPr/>
      </xdr:nvSpPr>
      <xdr:spPr>
        <a:xfrm>
          <a:off x="12491212001" y="1"/>
          <a:ext cx="3914775" cy="1143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3600" b="1">
              <a:latin typeface="Estrangelo Edessa" pitchFamily="66" charset="0"/>
              <a:cs typeface="Estrangelo Edessa" pitchFamily="66" charset="0"/>
            </a:rPr>
            <a:t>العودة</a:t>
          </a:r>
          <a:r>
            <a:rPr lang="ar-DZ" sz="3600" b="1" baseline="0">
              <a:latin typeface="Estrangelo Edessa" pitchFamily="66" charset="0"/>
              <a:cs typeface="Estrangelo Edessa" pitchFamily="66" charset="0"/>
            </a:rPr>
            <a:t> إلى واجهة العمال الدائمين</a:t>
          </a:r>
          <a:endParaRPr lang="fr-FR" sz="3600" b="1">
            <a:latin typeface="Estrangelo Edessa" pitchFamily="66" charset="0"/>
            <a:cs typeface="Estrangelo Edessa" pitchFamily="66" charset="0"/>
          </a:endParaRPr>
        </a:p>
      </xdr:txBody>
    </xdr:sp>
    <xdr:clientData/>
  </xdr:twoCellAnchor>
  <xdr:twoCellAnchor>
    <xdr:from>
      <xdr:col>3</xdr:col>
      <xdr:colOff>2014235</xdr:colOff>
      <xdr:row>0</xdr:row>
      <xdr:rowOff>0</xdr:rowOff>
    </xdr:from>
    <xdr:to>
      <xdr:col>3</xdr:col>
      <xdr:colOff>4751272</xdr:colOff>
      <xdr:row>3</xdr:row>
      <xdr:rowOff>15875</xdr:rowOff>
    </xdr:to>
    <xdr:sp macro="" textlink="">
      <xdr:nvSpPr>
        <xdr:cNvPr id="4" name="Flèche gauche 3">
          <a:hlinkClick xmlns:r="http://schemas.openxmlformats.org/officeDocument/2006/relationships" r:id="rId2" tooltip="titr-prs-perm"/>
        </xdr:cNvPr>
        <xdr:cNvSpPr/>
      </xdr:nvSpPr>
      <xdr:spPr>
        <a:xfrm>
          <a:off x="12486961258" y="0"/>
          <a:ext cx="2737037" cy="1248522"/>
        </a:xfrm>
        <a:prstGeom prst="leftArrow">
          <a:avLst>
            <a:gd name="adj1" fmla="val 67948"/>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rtlCol="0" anchor="ctr"/>
        <a:lstStyle/>
        <a:p>
          <a:pPr algn="ctr" rtl="1"/>
          <a:r>
            <a:rPr lang="ar-DZ" sz="3200" b="1">
              <a:latin typeface="Estrangelo Edessa" pitchFamily="66" charset="0"/>
              <a:cs typeface="Estrangelo Edessa" pitchFamily="66" charset="0"/>
            </a:rPr>
            <a:t>الإنتقال</a:t>
          </a:r>
          <a:r>
            <a:rPr lang="ar-DZ" sz="3200" b="1" baseline="0">
              <a:latin typeface="Estrangelo Edessa" pitchFamily="66" charset="0"/>
              <a:cs typeface="Estrangelo Edessa" pitchFamily="66" charset="0"/>
            </a:rPr>
            <a:t> إلى سندات وإشعارات التحصيل</a:t>
          </a:r>
          <a:endParaRPr lang="fr-FR" sz="3200" b="1">
            <a:latin typeface="Estrangelo Edessa" pitchFamily="66" charset="0"/>
            <a:cs typeface="Estrangelo Edessa" pitchFamily="66"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66261</xdr:colOff>
      <xdr:row>0</xdr:row>
      <xdr:rowOff>0</xdr:rowOff>
    </xdr:from>
    <xdr:to>
      <xdr:col>4</xdr:col>
      <xdr:colOff>1855305</xdr:colOff>
      <xdr:row>0</xdr:row>
      <xdr:rowOff>1109870</xdr:rowOff>
    </xdr:to>
    <xdr:sp macro="" textlink="">
      <xdr:nvSpPr>
        <xdr:cNvPr id="2" name="Flèche droite à entaille 1">
          <a:hlinkClick xmlns:r="http://schemas.openxmlformats.org/officeDocument/2006/relationships" r:id="rId1"/>
        </xdr:cNvPr>
        <xdr:cNvSpPr/>
      </xdr:nvSpPr>
      <xdr:spPr>
        <a:xfrm>
          <a:off x="12442731130" y="0"/>
          <a:ext cx="1789044" cy="110987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العودة</a:t>
          </a:r>
          <a:r>
            <a:rPr lang="ar-DZ" sz="2000" b="1" baseline="0">
              <a:latin typeface="Estrangelo Edessa" pitchFamily="66" charset="0"/>
              <a:cs typeface="Estrangelo Edessa" pitchFamily="66" charset="0"/>
            </a:rPr>
            <a:t> إلى واجهة العمال الدائمين</a:t>
          </a:r>
          <a:endParaRPr lang="fr-FR" sz="2000" b="1">
            <a:latin typeface="Estrangelo Edessa" pitchFamily="66" charset="0"/>
            <a:cs typeface="Estrangelo Edessa" pitchFamily="66" charset="0"/>
          </a:endParaRPr>
        </a:p>
      </xdr:txBody>
    </xdr:sp>
    <xdr:clientData/>
  </xdr:twoCellAnchor>
  <xdr:twoCellAnchor>
    <xdr:from>
      <xdr:col>68</xdr:col>
      <xdr:colOff>173935</xdr:colOff>
      <xdr:row>0</xdr:row>
      <xdr:rowOff>513521</xdr:rowOff>
    </xdr:from>
    <xdr:to>
      <xdr:col>70</xdr:col>
      <xdr:colOff>629478</xdr:colOff>
      <xdr:row>0</xdr:row>
      <xdr:rowOff>1813890</xdr:rowOff>
    </xdr:to>
    <xdr:sp macro="" textlink="">
      <xdr:nvSpPr>
        <xdr:cNvPr id="3" name="Flèche droite à entaille 2">
          <a:hlinkClick xmlns:r="http://schemas.openxmlformats.org/officeDocument/2006/relationships" r:id="rId2"/>
        </xdr:cNvPr>
        <xdr:cNvSpPr/>
      </xdr:nvSpPr>
      <xdr:spPr>
        <a:xfrm>
          <a:off x="12424542522" y="513521"/>
          <a:ext cx="1979543" cy="1300369"/>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400" b="1">
              <a:latin typeface="Estrangelo Edessa" pitchFamily="66" charset="0"/>
              <a:cs typeface="Estrangelo Edessa" pitchFamily="66" charset="0"/>
            </a:rPr>
            <a:t>العودة</a:t>
          </a:r>
          <a:r>
            <a:rPr lang="ar-DZ" sz="2400" b="1" baseline="0">
              <a:latin typeface="Estrangelo Edessa" pitchFamily="66" charset="0"/>
              <a:cs typeface="Estrangelo Edessa" pitchFamily="66" charset="0"/>
            </a:rPr>
            <a:t> إلى واجهة العمال الدائمين</a:t>
          </a:r>
          <a:endParaRPr lang="fr-FR" sz="2400" b="1">
            <a:latin typeface="Estrangelo Edessa" pitchFamily="66" charset="0"/>
            <a:cs typeface="Estrangelo Edessa" pitchFamily="66"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123825</xdr:colOff>
      <xdr:row>7</xdr:row>
      <xdr:rowOff>219075</xdr:rowOff>
    </xdr:from>
    <xdr:to>
      <xdr:col>22</xdr:col>
      <xdr:colOff>247650</xdr:colOff>
      <xdr:row>11</xdr:row>
      <xdr:rowOff>28575</xdr:rowOff>
    </xdr:to>
    <xdr:sp macro="" textlink="">
      <xdr:nvSpPr>
        <xdr:cNvPr id="2" name="WordArt 4"/>
        <xdr:cNvSpPr>
          <a:spLocks noChangeArrowheads="1" noChangeShapeType="1" noTextEdit="1"/>
        </xdr:cNvSpPr>
      </xdr:nvSpPr>
      <xdr:spPr bwMode="auto">
        <a:xfrm>
          <a:off x="200244075" y="3905250"/>
          <a:ext cx="21307425" cy="2181225"/>
        </a:xfrm>
        <a:prstGeom prst="rect">
          <a:avLst/>
        </a:prstGeom>
      </xdr:spPr>
      <xdr:txBody>
        <a:bodyPr wrap="none" fromWordArt="1">
          <a:prstTxWarp prst="textPlain">
            <a:avLst>
              <a:gd name="adj" fmla="val 50000"/>
            </a:avLst>
          </a:prstTxWarp>
        </a:bodyPr>
        <a:lstStyle/>
        <a:p>
          <a:pPr algn="ctr" rtl="1"/>
          <a:r>
            <a:rPr lang="ar-DZ"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rPr>
            <a:t>حــالــة دفــع الأجـــور</a:t>
          </a:r>
          <a:endParaRPr lang="fr-FR"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endParaRPr>
        </a:p>
      </xdr:txBody>
    </xdr:sp>
    <xdr:clientData/>
  </xdr:twoCellAnchor>
  <xdr:twoCellAnchor>
    <xdr:from>
      <xdr:col>13</xdr:col>
      <xdr:colOff>2190750</xdr:colOff>
      <xdr:row>6</xdr:row>
      <xdr:rowOff>552450</xdr:rowOff>
    </xdr:from>
    <xdr:to>
      <xdr:col>22</xdr:col>
      <xdr:colOff>1047750</xdr:colOff>
      <xdr:row>11</xdr:row>
      <xdr:rowOff>304800</xdr:rowOff>
    </xdr:to>
    <xdr:sp macro="" textlink="">
      <xdr:nvSpPr>
        <xdr:cNvPr id="3" name="AutoShape 5"/>
        <xdr:cNvSpPr>
          <a:spLocks noChangeArrowheads="1"/>
        </xdr:cNvSpPr>
      </xdr:nvSpPr>
      <xdr:spPr bwMode="auto">
        <a:xfrm>
          <a:off x="199443975" y="3667125"/>
          <a:ext cx="22755225" cy="2695575"/>
        </a:xfrm>
        <a:prstGeom prst="roundRect">
          <a:avLst>
            <a:gd name="adj" fmla="val 16667"/>
          </a:avLst>
        </a:prstGeom>
        <a:noFill/>
        <a:ln w="76200" cmpd="tri">
          <a:solidFill>
            <a:srgbClr val="000000"/>
          </a:solidFill>
          <a:round/>
          <a:headEnd/>
          <a:tailEnd/>
        </a:ln>
        <a:effectLst>
          <a:outerShdw dist="107763" dir="2700000" algn="ctr" rotWithShape="0">
            <a:srgbClr val="808080">
              <a:alpha val="50000"/>
            </a:srgbClr>
          </a:outerShdw>
        </a:effectLst>
      </xdr:spPr>
    </xdr:sp>
    <xdr:clientData/>
  </xdr:twoCellAnchor>
  <xdr:twoCellAnchor>
    <xdr:from>
      <xdr:col>6</xdr:col>
      <xdr:colOff>1428750</xdr:colOff>
      <xdr:row>0</xdr:row>
      <xdr:rowOff>166687</xdr:rowOff>
    </xdr:from>
    <xdr:to>
      <xdr:col>9</xdr:col>
      <xdr:colOff>571500</xdr:colOff>
      <xdr:row>4</xdr:row>
      <xdr:rowOff>119063</xdr:rowOff>
    </xdr:to>
    <xdr:sp macro="" textlink="">
      <xdr:nvSpPr>
        <xdr:cNvPr id="5" name="Flèche droite à entaille 4">
          <a:hlinkClick xmlns:r="http://schemas.openxmlformats.org/officeDocument/2006/relationships" r:id="rId1" tooltip="الفرعية2"/>
        </xdr:cNvPr>
        <xdr:cNvSpPr/>
      </xdr:nvSpPr>
      <xdr:spPr>
        <a:xfrm>
          <a:off x="16128634875" y="166687"/>
          <a:ext cx="6310313" cy="1952626"/>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3200" b="1">
              <a:solidFill>
                <a:srgbClr val="002060"/>
              </a:solidFill>
            </a:rPr>
            <a:t>العودة إلى</a:t>
          </a:r>
          <a:r>
            <a:rPr lang="ar-DZ" sz="3200" b="1" baseline="0">
              <a:solidFill>
                <a:srgbClr val="002060"/>
              </a:solidFill>
            </a:rPr>
            <a:t> واجهة العمال المتعاقدين</a:t>
          </a:r>
          <a:endParaRPr lang="fr-FR" sz="3200" b="1">
            <a:solidFill>
              <a:srgbClr val="002060"/>
            </a:solidFill>
          </a:endParaRPr>
        </a:p>
      </xdr:txBody>
    </xdr:sp>
    <xdr:clientData/>
  </xdr:twoCellAnchor>
  <xdr:twoCellAnchor>
    <xdr:from>
      <xdr:col>10</xdr:col>
      <xdr:colOff>0</xdr:colOff>
      <xdr:row>0</xdr:row>
      <xdr:rowOff>0</xdr:rowOff>
    </xdr:from>
    <xdr:to>
      <xdr:col>12</xdr:col>
      <xdr:colOff>2047874</xdr:colOff>
      <xdr:row>4</xdr:row>
      <xdr:rowOff>214312</xdr:rowOff>
    </xdr:to>
    <xdr:sp macro="" textlink="">
      <xdr:nvSpPr>
        <xdr:cNvPr id="6" name="Flèche droite à entaille 5">
          <a:hlinkClick xmlns:r="http://schemas.openxmlformats.org/officeDocument/2006/relationships" r:id="rId2" tooltip="ورقة العمل"/>
        </xdr:cNvPr>
        <xdr:cNvSpPr/>
      </xdr:nvSpPr>
      <xdr:spPr>
        <a:xfrm>
          <a:off x="16119300376" y="0"/>
          <a:ext cx="7334249" cy="2214562"/>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800" b="1">
              <a:latin typeface="Estrangelo Edessa" pitchFamily="66" charset="0"/>
              <a:cs typeface="Estrangelo Edessa" pitchFamily="66" charset="0"/>
            </a:rPr>
            <a:t>الإنتقال إلى ورقة العمل للتدقيق و التحقق</a:t>
          </a:r>
          <a:endParaRPr lang="fr-FR" sz="4800" b="1">
            <a:latin typeface="Estrangelo Edessa" pitchFamily="66" charset="0"/>
            <a:cs typeface="Estrangelo Edessa" pitchFamily="66" charset="0"/>
          </a:endParaRPr>
        </a:p>
      </xdr:txBody>
    </xdr:sp>
    <xdr:clientData/>
  </xdr:twoCellAnchor>
  <xdr:twoCellAnchor>
    <xdr:from>
      <xdr:col>23</xdr:col>
      <xdr:colOff>2129038</xdr:colOff>
      <xdr:row>6</xdr:row>
      <xdr:rowOff>119062</xdr:rowOff>
    </xdr:from>
    <xdr:to>
      <xdr:col>24</xdr:col>
      <xdr:colOff>3571875</xdr:colOff>
      <xdr:row>10</xdr:row>
      <xdr:rowOff>309562</xdr:rowOff>
    </xdr:to>
    <xdr:sp macro="" textlink="">
      <xdr:nvSpPr>
        <xdr:cNvPr id="8" name="Flèche droite à entaille 7">
          <a:hlinkClick xmlns:r="http://schemas.openxmlformats.org/officeDocument/2006/relationships" r:id="rId3" tooltip="الفرعية2"/>
        </xdr:cNvPr>
        <xdr:cNvSpPr/>
      </xdr:nvSpPr>
      <xdr:spPr>
        <a:xfrm>
          <a:off x="16086582000" y="3214687"/>
          <a:ext cx="4157462" cy="2452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3200" b="1">
              <a:solidFill>
                <a:srgbClr val="002060"/>
              </a:solidFill>
            </a:rPr>
            <a:t>العودة إلى</a:t>
          </a:r>
          <a:r>
            <a:rPr lang="ar-DZ" sz="3200" b="1" baseline="0">
              <a:solidFill>
                <a:srgbClr val="002060"/>
              </a:solidFill>
            </a:rPr>
            <a:t> واجهة العمال المتعاقدين</a:t>
          </a:r>
          <a:endParaRPr lang="fr-FR" sz="3200" b="1">
            <a:solidFill>
              <a:srgbClr val="002060"/>
            </a:solidFill>
          </a:endParaRPr>
        </a:p>
      </xdr:txBody>
    </xdr:sp>
    <xdr:clientData/>
  </xdr:twoCellAnchor>
  <xdr:twoCellAnchor>
    <xdr:from>
      <xdr:col>25</xdr:col>
      <xdr:colOff>0</xdr:colOff>
      <xdr:row>2</xdr:row>
      <xdr:rowOff>265637</xdr:rowOff>
    </xdr:from>
    <xdr:to>
      <xdr:col>39</xdr:col>
      <xdr:colOff>428624</xdr:colOff>
      <xdr:row>8</xdr:row>
      <xdr:rowOff>23813</xdr:rowOff>
    </xdr:to>
    <xdr:sp macro="" textlink="">
      <xdr:nvSpPr>
        <xdr:cNvPr id="9" name="Flèche droite à entaille 8">
          <a:hlinkClick xmlns:r="http://schemas.openxmlformats.org/officeDocument/2006/relationships" r:id="rId4" tooltip="ورقة العمل"/>
        </xdr:cNvPr>
        <xdr:cNvSpPr/>
      </xdr:nvSpPr>
      <xdr:spPr>
        <a:xfrm>
          <a:off x="16075128188" y="1265762"/>
          <a:ext cx="5000624" cy="2996676"/>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800" b="1">
              <a:latin typeface="Estrangelo Edessa" pitchFamily="66" charset="0"/>
              <a:cs typeface="Estrangelo Edessa" pitchFamily="66" charset="0"/>
            </a:rPr>
            <a:t>الإنتقال إلى ورقة العمل للتدقيق و التحقق</a:t>
          </a:r>
          <a:endParaRPr lang="fr-FR" sz="4800" b="1">
            <a:latin typeface="Estrangelo Edessa" pitchFamily="66" charset="0"/>
            <a:cs typeface="Estrangelo Edessa" pitchFamily="66" charset="0"/>
          </a:endParaRPr>
        </a:p>
      </xdr:txBody>
    </xdr:sp>
    <xdr:clientData/>
  </xdr:twoCellAnchor>
  <xdr:twoCellAnchor>
    <xdr:from>
      <xdr:col>2</xdr:col>
      <xdr:colOff>1905000</xdr:colOff>
      <xdr:row>0</xdr:row>
      <xdr:rowOff>0</xdr:rowOff>
    </xdr:from>
    <xdr:to>
      <xdr:col>5</xdr:col>
      <xdr:colOff>666749</xdr:colOff>
      <xdr:row>4</xdr:row>
      <xdr:rowOff>452437</xdr:rowOff>
    </xdr:to>
    <xdr:sp macro="" textlink="">
      <xdr:nvSpPr>
        <xdr:cNvPr id="10" name="Flèche droite rayée 9">
          <a:hlinkClick xmlns:r="http://schemas.openxmlformats.org/officeDocument/2006/relationships" r:id="rId5" tooltip="VAC-TCMP"/>
        </xdr:cNvPr>
        <xdr:cNvSpPr/>
      </xdr:nvSpPr>
      <xdr:spPr>
        <a:xfrm>
          <a:off x="16136993064" y="0"/>
          <a:ext cx="6429374" cy="2452687"/>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3600" b="1">
              <a:solidFill>
                <a:sysClr val="windowText" lastClr="000000"/>
              </a:solidFill>
              <a:latin typeface="Times New Roman" pitchFamily="18" charset="0"/>
              <a:cs typeface="Times New Roman" pitchFamily="18" charset="0"/>
            </a:rPr>
            <a:t>الإنتقال</a:t>
          </a:r>
          <a:r>
            <a:rPr lang="ar-DZ" sz="3600" b="1" baseline="0">
              <a:solidFill>
                <a:sysClr val="windowText" lastClr="000000"/>
              </a:solidFill>
              <a:latin typeface="Times New Roman" pitchFamily="18" charset="0"/>
              <a:cs typeface="Times New Roman" pitchFamily="18" charset="0"/>
            </a:rPr>
            <a:t> إلى قاعدة البيانات للتدقيق</a:t>
          </a:r>
        </a:p>
      </xdr:txBody>
    </xdr:sp>
    <xdr:clientData/>
  </xdr:twoCellAnchor>
  <xdr:twoCellAnchor>
    <xdr:from>
      <xdr:col>23</xdr:col>
      <xdr:colOff>309563</xdr:colOff>
      <xdr:row>0</xdr:row>
      <xdr:rowOff>428625</xdr:rowOff>
    </xdr:from>
    <xdr:to>
      <xdr:col>24</xdr:col>
      <xdr:colOff>1357312</xdr:colOff>
      <xdr:row>5</xdr:row>
      <xdr:rowOff>214313</xdr:rowOff>
    </xdr:to>
    <xdr:sp macro="" textlink="">
      <xdr:nvSpPr>
        <xdr:cNvPr id="11" name="Flèche droite rayée 10">
          <a:hlinkClick xmlns:r="http://schemas.openxmlformats.org/officeDocument/2006/relationships" r:id="rId6" tooltip="VAC-TCMP"/>
        </xdr:cNvPr>
        <xdr:cNvSpPr/>
      </xdr:nvSpPr>
      <xdr:spPr>
        <a:xfrm>
          <a:off x="16082414813" y="428625"/>
          <a:ext cx="3762374" cy="2309813"/>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3600" b="1">
              <a:solidFill>
                <a:sysClr val="windowText" lastClr="000000"/>
              </a:solidFill>
              <a:latin typeface="Times New Roman" pitchFamily="18" charset="0"/>
              <a:cs typeface="Times New Roman" pitchFamily="18" charset="0"/>
            </a:rPr>
            <a:t>الإنتقال</a:t>
          </a:r>
          <a:r>
            <a:rPr lang="ar-DZ" sz="3600" b="1" baseline="0">
              <a:solidFill>
                <a:sysClr val="windowText" lastClr="000000"/>
              </a:solidFill>
              <a:latin typeface="Times New Roman" pitchFamily="18" charset="0"/>
              <a:cs typeface="Times New Roman" pitchFamily="18" charset="0"/>
            </a:rPr>
            <a:t> إلى قاعدة البيانات للتدقيق</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93397</xdr:rowOff>
    </xdr:from>
    <xdr:to>
      <xdr:col>13</xdr:col>
      <xdr:colOff>714375</xdr:colOff>
      <xdr:row>37</xdr:row>
      <xdr:rowOff>161923</xdr:rowOff>
    </xdr:to>
    <xdr:pic>
      <xdr:nvPicPr>
        <xdr:cNvPr id="29" name="Image 28" descr="Desert.jpg"/>
        <xdr:cNvPicPr>
          <a:picLocks noChangeAspect="1"/>
        </xdr:cNvPicPr>
      </xdr:nvPicPr>
      <xdr:blipFill>
        <a:blip xmlns:r="http://schemas.openxmlformats.org/officeDocument/2006/relationships" r:embed="rId1"/>
        <a:stretch>
          <a:fillRect/>
        </a:stretch>
      </xdr:blipFill>
      <xdr:spPr>
        <a:xfrm>
          <a:off x="47625" y="93397"/>
          <a:ext cx="10620374" cy="6059751"/>
        </a:xfrm>
        <a:prstGeom prst="roundRect">
          <a:avLst>
            <a:gd name="adj" fmla="val 5715"/>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28575</xdr:colOff>
      <xdr:row>15</xdr:row>
      <xdr:rowOff>0</xdr:rowOff>
    </xdr:from>
    <xdr:to>
      <xdr:col>2</xdr:col>
      <xdr:colOff>266700</xdr:colOff>
      <xdr:row>29</xdr:row>
      <xdr:rowOff>133350</xdr:rowOff>
    </xdr:to>
    <xdr:pic>
      <xdr:nvPicPr>
        <xdr:cNvPr id="28" name="Image 27" descr="20246312_1752912948072079_9002290159738833576_n.jpg"/>
        <xdr:cNvPicPr>
          <a:picLocks noChangeAspect="1"/>
        </xdr:cNvPicPr>
      </xdr:nvPicPr>
      <xdr:blipFill>
        <a:blip xmlns:r="http://schemas.openxmlformats.org/officeDocument/2006/relationships" r:embed="rId2"/>
        <a:stretch>
          <a:fillRect/>
        </a:stretch>
      </xdr:blipFill>
      <xdr:spPr>
        <a:xfrm>
          <a:off x="8877300" y="2428875"/>
          <a:ext cx="1762125" cy="240030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12</xdr:row>
      <xdr:rowOff>47625</xdr:rowOff>
    </xdr:from>
    <xdr:to>
      <xdr:col>5</xdr:col>
      <xdr:colOff>276225</xdr:colOff>
      <xdr:row>31</xdr:row>
      <xdr:rowOff>142875</xdr:rowOff>
    </xdr:to>
    <xdr:pic>
      <xdr:nvPicPr>
        <xdr:cNvPr id="24" name="Image 23" descr="3213121.jpg"/>
        <xdr:cNvPicPr>
          <a:picLocks noChangeAspect="1"/>
        </xdr:cNvPicPr>
      </xdr:nvPicPr>
      <xdr:blipFill>
        <a:blip xmlns:r="http://schemas.openxmlformats.org/officeDocument/2006/relationships" r:embed="rId3"/>
        <a:stretch>
          <a:fillRect/>
        </a:stretch>
      </xdr:blipFill>
      <xdr:spPr>
        <a:xfrm>
          <a:off x="6581775" y="1990725"/>
          <a:ext cx="2266950" cy="317182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5</xdr:col>
      <xdr:colOff>323849</xdr:colOff>
      <xdr:row>9</xdr:row>
      <xdr:rowOff>142875</xdr:rowOff>
    </xdr:from>
    <xdr:to>
      <xdr:col>11</xdr:col>
      <xdr:colOff>43037</xdr:colOff>
      <xdr:row>37</xdr:row>
      <xdr:rowOff>9525</xdr:rowOff>
    </xdr:to>
    <xdr:pic>
      <xdr:nvPicPr>
        <xdr:cNvPr id="23" name="Image 22" descr="54393254_2576082279088471_8962938749172318208_n.jpg"/>
        <xdr:cNvPicPr>
          <a:picLocks noChangeAspect="1"/>
        </xdr:cNvPicPr>
      </xdr:nvPicPr>
      <xdr:blipFill>
        <a:blip xmlns:r="http://schemas.openxmlformats.org/officeDocument/2006/relationships" r:embed="rId4"/>
        <a:stretch>
          <a:fillRect/>
        </a:stretch>
      </xdr:blipFill>
      <xdr:spPr>
        <a:xfrm>
          <a:off x="2242963" y="1600200"/>
          <a:ext cx="4291188" cy="44005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11</xdr:col>
      <xdr:colOff>57150</xdr:colOff>
      <xdr:row>9</xdr:row>
      <xdr:rowOff>104775</xdr:rowOff>
    </xdr:from>
    <xdr:to>
      <xdr:col>13</xdr:col>
      <xdr:colOff>714375</xdr:colOff>
      <xdr:row>37</xdr:row>
      <xdr:rowOff>161924</xdr:rowOff>
    </xdr:to>
    <xdr:pic>
      <xdr:nvPicPr>
        <xdr:cNvPr id="22" name="Image 21" descr="121.jpg"/>
        <xdr:cNvPicPr>
          <a:picLocks noChangeAspect="1"/>
        </xdr:cNvPicPr>
      </xdr:nvPicPr>
      <xdr:blipFill>
        <a:blip xmlns:r="http://schemas.openxmlformats.org/officeDocument/2006/relationships" r:embed="rId5"/>
        <a:stretch>
          <a:fillRect/>
        </a:stretch>
      </xdr:blipFill>
      <xdr:spPr>
        <a:xfrm>
          <a:off x="47625" y="1562100"/>
          <a:ext cx="2181225" cy="459104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0</xdr:col>
      <xdr:colOff>57150</xdr:colOff>
      <xdr:row>17</xdr:row>
      <xdr:rowOff>114299</xdr:rowOff>
    </xdr:from>
    <xdr:to>
      <xdr:col>2</xdr:col>
      <xdr:colOff>142874</xdr:colOff>
      <xdr:row>21</xdr:row>
      <xdr:rowOff>28575</xdr:rowOff>
    </xdr:to>
    <xdr:sp macro="" textlink="">
      <xdr:nvSpPr>
        <xdr:cNvPr id="103" name="Pentagone 102">
          <a:hlinkClick xmlns:r="http://schemas.openxmlformats.org/officeDocument/2006/relationships" r:id="rId6" tooltip="BRD-Titr-PERS-PERM"/>
        </xdr:cNvPr>
        <xdr:cNvSpPr/>
      </xdr:nvSpPr>
      <xdr:spPr>
        <a:xfrm>
          <a:off x="9001126" y="2867024"/>
          <a:ext cx="1609724" cy="561976"/>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solidFill>
                <a:srgbClr val="002060"/>
              </a:solidFill>
              <a:latin typeface="Estrangelo Edessa" pitchFamily="66" charset="0"/>
              <a:cs typeface="Estrangelo Edessa" pitchFamily="66" charset="0"/>
            </a:rPr>
            <a:t>سند</a:t>
          </a:r>
          <a:r>
            <a:rPr lang="ar-DZ" sz="2000" b="0">
              <a:solidFill>
                <a:srgbClr val="002060"/>
              </a:solidFill>
              <a:latin typeface="Estrangelo Edessa" pitchFamily="66" charset="0"/>
              <a:cs typeface="Estrangelo Edessa" pitchFamily="66" charset="0"/>
            </a:rPr>
            <a:t>+</a:t>
          </a:r>
          <a:r>
            <a:rPr lang="ar-DZ" sz="2000" b="1">
              <a:solidFill>
                <a:srgbClr val="002060"/>
              </a:solidFill>
              <a:latin typeface="Estrangelo Edessa" pitchFamily="66" charset="0"/>
              <a:cs typeface="Estrangelo Edessa" pitchFamily="66" charset="0"/>
            </a:rPr>
            <a:t>إشعار</a:t>
          </a:r>
          <a:r>
            <a:rPr lang="ar-DZ" sz="2000" b="0">
              <a:solidFill>
                <a:srgbClr val="002060"/>
              </a:solidFill>
              <a:latin typeface="Estrangelo Edessa" pitchFamily="66" charset="0"/>
              <a:cs typeface="Estrangelo Edessa" pitchFamily="66" charset="0"/>
            </a:rPr>
            <a:t>+</a:t>
          </a:r>
          <a:r>
            <a:rPr lang="ar-DZ" sz="2000" b="1">
              <a:solidFill>
                <a:srgbClr val="002060"/>
              </a:solidFill>
              <a:latin typeface="Estrangelo Edessa" pitchFamily="66" charset="0"/>
              <a:cs typeface="Estrangelo Edessa" pitchFamily="66" charset="0"/>
            </a:rPr>
            <a:t>جدول</a:t>
          </a:r>
          <a:r>
            <a:rPr lang="ar-DZ" sz="2000" b="1" baseline="0">
              <a:solidFill>
                <a:srgbClr val="002060"/>
              </a:solidFill>
              <a:latin typeface="Estrangelo Edessa" pitchFamily="66" charset="0"/>
              <a:cs typeface="Estrangelo Edessa" pitchFamily="66" charset="0"/>
            </a:rPr>
            <a:t> التحصيل</a:t>
          </a:r>
          <a:endParaRPr lang="fr-FR" sz="2000" b="1">
            <a:solidFill>
              <a:srgbClr val="002060"/>
            </a:solidFill>
            <a:latin typeface="Estrangelo Edessa" pitchFamily="66" charset="0"/>
            <a:cs typeface="Estrangelo Edessa" pitchFamily="66" charset="0"/>
          </a:endParaRPr>
        </a:p>
      </xdr:txBody>
    </xdr:sp>
    <xdr:clientData/>
  </xdr:twoCellAnchor>
  <xdr:twoCellAnchor>
    <xdr:from>
      <xdr:col>2</xdr:col>
      <xdr:colOff>457200</xdr:colOff>
      <xdr:row>26</xdr:row>
      <xdr:rowOff>161924</xdr:rowOff>
    </xdr:from>
    <xdr:to>
      <xdr:col>5</xdr:col>
      <xdr:colOff>28574</xdr:colOff>
      <xdr:row>30</xdr:row>
      <xdr:rowOff>47624</xdr:rowOff>
    </xdr:to>
    <xdr:sp macro="" textlink="">
      <xdr:nvSpPr>
        <xdr:cNvPr id="104" name="Pentagone 103">
          <a:hlinkClick xmlns:r="http://schemas.openxmlformats.org/officeDocument/2006/relationships" r:id="rId7" tooltip="BRD Global"/>
        </xdr:cNvPr>
        <xdr:cNvSpPr/>
      </xdr:nvSpPr>
      <xdr:spPr>
        <a:xfrm>
          <a:off x="6829426" y="437197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جدول</a:t>
          </a:r>
          <a:r>
            <a:rPr lang="ar-DZ" sz="2400" b="1" baseline="0">
              <a:solidFill>
                <a:srgbClr val="002060"/>
              </a:solidFill>
              <a:latin typeface="Estrangelo Edessa" pitchFamily="66" charset="0"/>
              <a:cs typeface="Estrangelo Edessa" pitchFamily="66" charset="0"/>
            </a:rPr>
            <a:t> إرسال الحوالات</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0</xdr:col>
      <xdr:colOff>152402</xdr:colOff>
      <xdr:row>8</xdr:row>
      <xdr:rowOff>38101</xdr:rowOff>
    </xdr:from>
    <xdr:to>
      <xdr:col>2</xdr:col>
      <xdr:colOff>152401</xdr:colOff>
      <xdr:row>12</xdr:row>
      <xdr:rowOff>38101</xdr:rowOff>
    </xdr:to>
    <xdr:sp macro="" textlink="">
      <xdr:nvSpPr>
        <xdr:cNvPr id="105" name="Organigramme : Alternative 104">
          <a:hlinkClick xmlns:r="http://schemas.openxmlformats.org/officeDocument/2006/relationships" r:id="rId8" tooltip="Basse-D"/>
        </xdr:cNvPr>
        <xdr:cNvSpPr/>
      </xdr:nvSpPr>
      <xdr:spPr>
        <a:xfrm>
          <a:off x="8991599" y="1333501"/>
          <a:ext cx="1523999" cy="647700"/>
        </a:xfrm>
        <a:prstGeom prst="flowChartAlternateProcess">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solidFill>
                <a:srgbClr val="002060"/>
              </a:solidFill>
              <a:latin typeface="Estrangelo Edessa" pitchFamily="66" charset="0"/>
              <a:cs typeface="Estrangelo Edessa" pitchFamily="66" charset="0"/>
            </a:rPr>
            <a:t>قاعدة البيانات العامة للموظفين الدائمين</a:t>
          </a:r>
          <a:endParaRPr lang="fr-FR" sz="2000" b="1">
            <a:solidFill>
              <a:srgbClr val="002060"/>
            </a:solidFill>
            <a:latin typeface="Estrangelo Edessa" pitchFamily="66" charset="0"/>
            <a:cs typeface="Estrangelo Edessa" pitchFamily="66" charset="0"/>
          </a:endParaRPr>
        </a:p>
      </xdr:txBody>
    </xdr:sp>
    <xdr:clientData/>
  </xdr:twoCellAnchor>
  <xdr:twoCellAnchor>
    <xdr:from>
      <xdr:col>11</xdr:col>
      <xdr:colOff>581025</xdr:colOff>
      <xdr:row>0</xdr:row>
      <xdr:rowOff>1</xdr:rowOff>
    </xdr:from>
    <xdr:to>
      <xdr:col>13</xdr:col>
      <xdr:colOff>761999</xdr:colOff>
      <xdr:row>6</xdr:row>
      <xdr:rowOff>19050</xdr:rowOff>
    </xdr:to>
    <xdr:sp macro="" textlink="">
      <xdr:nvSpPr>
        <xdr:cNvPr id="107" name="Flèche droite à entaille 106">
          <a:hlinkClick xmlns:r="http://schemas.openxmlformats.org/officeDocument/2006/relationships" r:id="rId9" tooltip="الرئيسية"/>
        </xdr:cNvPr>
        <xdr:cNvSpPr/>
      </xdr:nvSpPr>
      <xdr:spPr>
        <a:xfrm>
          <a:off x="1" y="1"/>
          <a:ext cx="1704974" cy="990599"/>
        </a:xfrm>
        <a:prstGeom prst="notchedRightArrow">
          <a:avLst/>
        </a:prstGeom>
        <a:scene3d>
          <a:camera prst="orthographicFront">
            <a:rot lat="0" lon="0" rev="0"/>
          </a:camera>
          <a:lightRig rig="threePt" dir="t">
            <a:rot lat="0" lon="0" rev="1200000"/>
          </a:lightRig>
        </a:scene3d>
        <a:sp3d>
          <a:bevelT w="63500" h="25400" prst="angle"/>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1400" b="1">
              <a:solidFill>
                <a:srgbClr val="002060"/>
              </a:solidFill>
            </a:rPr>
            <a:t>العودة إلى الصفحة الرئيسية</a:t>
          </a:r>
          <a:endParaRPr lang="fr-FR" sz="1400" b="1">
            <a:solidFill>
              <a:srgbClr val="002060"/>
            </a:solidFill>
          </a:endParaRPr>
        </a:p>
      </xdr:txBody>
    </xdr:sp>
    <xdr:clientData/>
  </xdr:twoCellAnchor>
  <xdr:twoCellAnchor>
    <xdr:from>
      <xdr:col>0</xdr:col>
      <xdr:colOff>209550</xdr:colOff>
      <xdr:row>1</xdr:row>
      <xdr:rowOff>9525</xdr:rowOff>
    </xdr:from>
    <xdr:to>
      <xdr:col>11</xdr:col>
      <xdr:colOff>133350</xdr:colOff>
      <xdr:row>7</xdr:row>
      <xdr:rowOff>114300</xdr:rowOff>
    </xdr:to>
    <xdr:sp macro="" textlink="">
      <xdr:nvSpPr>
        <xdr:cNvPr id="108" name="Ruban vers le bas 107"/>
        <xdr:cNvSpPr/>
      </xdr:nvSpPr>
      <xdr:spPr>
        <a:xfrm>
          <a:off x="2152650" y="171450"/>
          <a:ext cx="8305800" cy="1076325"/>
        </a:xfrm>
        <a:prstGeom prst="ribbon">
          <a:avLst>
            <a:gd name="adj1" fmla="val 20944"/>
            <a:gd name="adj2" fmla="val 64679"/>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4800" b="1" u="sng">
              <a:solidFill>
                <a:srgbClr val="002060"/>
              </a:solidFill>
              <a:latin typeface="Estrangelo Edessa" pitchFamily="66" charset="0"/>
              <a:cs typeface="Estrangelo Edessa" pitchFamily="66" charset="0"/>
            </a:rPr>
            <a:t>المرتبات والأجور للعمال الدائمين</a:t>
          </a:r>
          <a:endParaRPr lang="fr-FR" sz="4800" b="1" u="sng">
            <a:solidFill>
              <a:srgbClr val="002060"/>
            </a:solidFill>
            <a:latin typeface="Estrangelo Edessa" pitchFamily="66" charset="0"/>
            <a:cs typeface="Estrangelo Edessa" pitchFamily="66" charset="0"/>
          </a:endParaRPr>
        </a:p>
      </xdr:txBody>
    </xdr:sp>
    <xdr:clientData/>
  </xdr:twoCellAnchor>
  <xdr:twoCellAnchor>
    <xdr:from>
      <xdr:col>11</xdr:col>
      <xdr:colOff>171449</xdr:colOff>
      <xdr:row>11</xdr:row>
      <xdr:rowOff>152399</xdr:rowOff>
    </xdr:from>
    <xdr:to>
      <xdr:col>13</xdr:col>
      <xdr:colOff>504823</xdr:colOff>
      <xdr:row>15</xdr:row>
      <xdr:rowOff>38099</xdr:rowOff>
    </xdr:to>
    <xdr:sp macro="" textlink="">
      <xdr:nvSpPr>
        <xdr:cNvPr id="109" name="Pentagone 108">
          <a:hlinkClick xmlns:r="http://schemas.openxmlformats.org/officeDocument/2006/relationships" r:id="rId10" tooltip="ETA-PAY-PERM"/>
        </xdr:cNvPr>
        <xdr:cNvSpPr/>
      </xdr:nvSpPr>
      <xdr:spPr>
        <a:xfrm>
          <a:off x="257177" y="193357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حالات</a:t>
          </a:r>
          <a:r>
            <a:rPr lang="ar-DZ" sz="2400" b="1" baseline="0">
              <a:solidFill>
                <a:srgbClr val="002060"/>
              </a:solidFill>
              <a:latin typeface="Estrangelo Edessa" pitchFamily="66" charset="0"/>
              <a:cs typeface="Estrangelo Edessa" pitchFamily="66" charset="0"/>
            </a:rPr>
            <a:t> الدفع</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11</xdr:col>
      <xdr:colOff>171449</xdr:colOff>
      <xdr:row>19</xdr:row>
      <xdr:rowOff>19049</xdr:rowOff>
    </xdr:from>
    <xdr:to>
      <xdr:col>13</xdr:col>
      <xdr:colOff>504823</xdr:colOff>
      <xdr:row>22</xdr:row>
      <xdr:rowOff>66674</xdr:rowOff>
    </xdr:to>
    <xdr:sp macro="" textlink="">
      <xdr:nvSpPr>
        <xdr:cNvPr id="110" name="Pentagone 109">
          <a:hlinkClick xmlns:r="http://schemas.openxmlformats.org/officeDocument/2006/relationships" r:id="rId11" tooltip="MAND-PAY-PERM"/>
        </xdr:cNvPr>
        <xdr:cNvSpPr/>
      </xdr:nvSpPr>
      <xdr:spPr>
        <a:xfrm>
          <a:off x="257177" y="309562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حوال</a:t>
          </a:r>
          <a:r>
            <a:rPr lang="ar-DZ" sz="2400" b="1" baseline="0">
              <a:solidFill>
                <a:srgbClr val="002060"/>
              </a:solidFill>
              <a:latin typeface="Estrangelo Edessa" pitchFamily="66" charset="0"/>
              <a:cs typeface="Estrangelo Edessa" pitchFamily="66" charset="0"/>
            </a:rPr>
            <a:t>ات الدفع</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8</xdr:col>
      <xdr:colOff>257175</xdr:colOff>
      <xdr:row>15</xdr:row>
      <xdr:rowOff>133349</xdr:rowOff>
    </xdr:from>
    <xdr:to>
      <xdr:col>10</xdr:col>
      <xdr:colOff>590549</xdr:colOff>
      <xdr:row>19</xdr:row>
      <xdr:rowOff>19049</xdr:rowOff>
    </xdr:to>
    <xdr:sp macro="" textlink="">
      <xdr:nvSpPr>
        <xdr:cNvPr id="111" name="Pentagone 110">
          <a:hlinkClick xmlns:r="http://schemas.openxmlformats.org/officeDocument/2006/relationships" r:id="rId12" tooltip="SEC-SOCIAL-PERM"/>
        </xdr:cNvPr>
        <xdr:cNvSpPr/>
      </xdr:nvSpPr>
      <xdr:spPr>
        <a:xfrm>
          <a:off x="2457451" y="256222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الضمان الإجتماعي</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8</xdr:col>
      <xdr:colOff>295276</xdr:colOff>
      <xdr:row>30</xdr:row>
      <xdr:rowOff>47624</xdr:rowOff>
    </xdr:from>
    <xdr:to>
      <xdr:col>10</xdr:col>
      <xdr:colOff>628649</xdr:colOff>
      <xdr:row>33</xdr:row>
      <xdr:rowOff>95249</xdr:rowOff>
    </xdr:to>
    <xdr:sp macro="" textlink="">
      <xdr:nvSpPr>
        <xdr:cNvPr id="112" name="Pentagone 111">
          <a:hlinkClick xmlns:r="http://schemas.openxmlformats.org/officeDocument/2006/relationships" r:id="rId13" tooltip="métuel"/>
        </xdr:cNvPr>
        <xdr:cNvSpPr/>
      </xdr:nvSpPr>
      <xdr:spPr>
        <a:xfrm>
          <a:off x="2419351" y="4905374"/>
          <a:ext cx="1857373"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التعاضدية</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8</xdr:col>
      <xdr:colOff>266700</xdr:colOff>
      <xdr:row>23</xdr:row>
      <xdr:rowOff>19049</xdr:rowOff>
    </xdr:from>
    <xdr:to>
      <xdr:col>10</xdr:col>
      <xdr:colOff>600074</xdr:colOff>
      <xdr:row>26</xdr:row>
      <xdr:rowOff>66674</xdr:rowOff>
    </xdr:to>
    <xdr:sp macro="" textlink="">
      <xdr:nvSpPr>
        <xdr:cNvPr id="113" name="Pentagone 112">
          <a:hlinkClick xmlns:r="http://schemas.openxmlformats.org/officeDocument/2006/relationships" r:id="rId14" tooltip="IRG"/>
        </xdr:cNvPr>
        <xdr:cNvSpPr/>
      </xdr:nvSpPr>
      <xdr:spPr>
        <a:xfrm>
          <a:off x="2447926" y="374332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baseline="0">
              <a:solidFill>
                <a:srgbClr val="002060"/>
              </a:solidFill>
              <a:latin typeface="Estrangelo Edessa" pitchFamily="66" charset="0"/>
              <a:cs typeface="Estrangelo Edessa" pitchFamily="66" charset="0"/>
            </a:rPr>
            <a:t>الضريبة على الدخل</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5</xdr:col>
      <xdr:colOff>476249</xdr:colOff>
      <xdr:row>19</xdr:row>
      <xdr:rowOff>76199</xdr:rowOff>
    </xdr:from>
    <xdr:to>
      <xdr:col>8</xdr:col>
      <xdr:colOff>47623</xdr:colOff>
      <xdr:row>22</xdr:row>
      <xdr:rowOff>123824</xdr:rowOff>
    </xdr:to>
    <xdr:sp macro="" textlink="">
      <xdr:nvSpPr>
        <xdr:cNvPr id="114" name="Pentagone 113">
          <a:hlinkClick xmlns:r="http://schemas.openxmlformats.org/officeDocument/2006/relationships" r:id="rId15" tooltip="tab retr"/>
        </xdr:cNvPr>
        <xdr:cNvSpPr/>
      </xdr:nvSpPr>
      <xdr:spPr>
        <a:xfrm>
          <a:off x="4524377" y="3152774"/>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جدول</a:t>
          </a:r>
          <a:r>
            <a:rPr lang="ar-DZ" sz="2400" b="1" baseline="0">
              <a:solidFill>
                <a:srgbClr val="002060"/>
              </a:solidFill>
              <a:latin typeface="Estrangelo Edessa" pitchFamily="66" charset="0"/>
              <a:cs typeface="Estrangelo Edessa" pitchFamily="66" charset="0"/>
            </a:rPr>
            <a:t> التقاعد</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5</xdr:col>
      <xdr:colOff>476251</xdr:colOff>
      <xdr:row>26</xdr:row>
      <xdr:rowOff>104774</xdr:rowOff>
    </xdr:from>
    <xdr:to>
      <xdr:col>8</xdr:col>
      <xdr:colOff>47624</xdr:colOff>
      <xdr:row>29</xdr:row>
      <xdr:rowOff>152399</xdr:rowOff>
    </xdr:to>
    <xdr:sp macro="" textlink="">
      <xdr:nvSpPr>
        <xdr:cNvPr id="115" name="Pentagone 114">
          <a:hlinkClick xmlns:r="http://schemas.openxmlformats.org/officeDocument/2006/relationships" r:id="rId16" tooltip="OEUVR-SOC-PER"/>
        </xdr:cNvPr>
        <xdr:cNvSpPr/>
      </xdr:nvSpPr>
      <xdr:spPr>
        <a:xfrm>
          <a:off x="4524376" y="4314824"/>
          <a:ext cx="1857373"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baseline="0">
              <a:solidFill>
                <a:srgbClr val="002060"/>
              </a:solidFill>
              <a:latin typeface="Estrangelo Edessa" pitchFamily="66" charset="0"/>
              <a:cs typeface="Estrangelo Edessa" pitchFamily="66" charset="0"/>
            </a:rPr>
            <a:t>الخدمات الإجتماعية</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2</xdr:col>
      <xdr:colOff>457199</xdr:colOff>
      <xdr:row>21</xdr:row>
      <xdr:rowOff>85724</xdr:rowOff>
    </xdr:from>
    <xdr:to>
      <xdr:col>5</xdr:col>
      <xdr:colOff>28573</xdr:colOff>
      <xdr:row>24</xdr:row>
      <xdr:rowOff>133349</xdr:rowOff>
    </xdr:to>
    <xdr:sp macro="" textlink="">
      <xdr:nvSpPr>
        <xdr:cNvPr id="116" name="Pentagone 115">
          <a:hlinkClick xmlns:r="http://schemas.openxmlformats.org/officeDocument/2006/relationships" r:id="rId17" tooltip="BRD CCP"/>
        </xdr:cNvPr>
        <xdr:cNvSpPr/>
      </xdr:nvSpPr>
      <xdr:spPr>
        <a:xfrm>
          <a:off x="6829427" y="3486149"/>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baseline="0">
              <a:solidFill>
                <a:srgbClr val="002060"/>
              </a:solidFill>
              <a:latin typeface="Estrangelo Edessa" pitchFamily="66" charset="0"/>
              <a:cs typeface="Estrangelo Edessa" pitchFamily="66" charset="0"/>
            </a:rPr>
            <a:t>جدول الدفع </a:t>
          </a:r>
          <a:r>
            <a:rPr lang="fr-FR" sz="1600" b="1" baseline="0">
              <a:solidFill>
                <a:srgbClr val="002060"/>
              </a:solidFill>
              <a:latin typeface="Times New Roman" pitchFamily="18" charset="0"/>
              <a:cs typeface="Times New Roman" pitchFamily="18" charset="0"/>
            </a:rPr>
            <a:t>CCP</a:t>
          </a:r>
          <a:endParaRPr lang="fr-FR" sz="2400" b="1">
            <a:solidFill>
              <a:srgbClr val="002060"/>
            </a:solidFill>
            <a:latin typeface="Times New Roman" pitchFamily="18" charset="0"/>
            <a:cs typeface="Times New Roman" pitchFamily="18" charset="0"/>
          </a:endParaRPr>
        </a:p>
      </xdr:txBody>
    </xdr:sp>
    <xdr:clientData/>
  </xdr:twoCellAnchor>
  <xdr:twoCellAnchor>
    <xdr:from>
      <xdr:col>2</xdr:col>
      <xdr:colOff>571501</xdr:colOff>
      <xdr:row>15</xdr:row>
      <xdr:rowOff>142874</xdr:rowOff>
    </xdr:from>
    <xdr:to>
      <xdr:col>5</xdr:col>
      <xdr:colOff>28572</xdr:colOff>
      <xdr:row>19</xdr:row>
      <xdr:rowOff>28574</xdr:rowOff>
    </xdr:to>
    <xdr:sp macro="" textlink="">
      <xdr:nvSpPr>
        <xdr:cNvPr id="117" name="Pentagone 116">
          <a:hlinkClick xmlns:r="http://schemas.openxmlformats.org/officeDocument/2006/relationships" r:id="rId18" tooltip="BRD bancaire"/>
        </xdr:cNvPr>
        <xdr:cNvSpPr/>
      </xdr:nvSpPr>
      <xdr:spPr>
        <a:xfrm>
          <a:off x="6829428" y="2571749"/>
          <a:ext cx="1743071"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جداول الدفع البنوك</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11</xdr:col>
      <xdr:colOff>171451</xdr:colOff>
      <xdr:row>26</xdr:row>
      <xdr:rowOff>9525</xdr:rowOff>
    </xdr:from>
    <xdr:to>
      <xdr:col>13</xdr:col>
      <xdr:colOff>504825</xdr:colOff>
      <xdr:row>29</xdr:row>
      <xdr:rowOff>57150</xdr:rowOff>
    </xdr:to>
    <xdr:sp macro="" textlink="">
      <xdr:nvSpPr>
        <xdr:cNvPr id="118" name="Pentagone 117">
          <a:hlinkClick xmlns:r="http://schemas.openxmlformats.org/officeDocument/2006/relationships" r:id="rId19" tooltip="MAND-SEC-SOC"/>
        </xdr:cNvPr>
        <xdr:cNvSpPr/>
      </xdr:nvSpPr>
      <xdr:spPr>
        <a:xfrm>
          <a:off x="257175" y="4219575"/>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حوالة الضمان الإجتماعي</a:t>
          </a:r>
          <a:endParaRPr lang="fr-FR" sz="2400" b="1">
            <a:solidFill>
              <a:srgbClr val="002060"/>
            </a:solidFill>
            <a:latin typeface="Estrangelo Edessa" pitchFamily="66" charset="0"/>
            <a:cs typeface="Estrangelo Edessa" pitchFamily="66" charset="0"/>
          </a:endParaRPr>
        </a:p>
      </xdr:txBody>
    </xdr:sp>
    <xdr:clientData/>
  </xdr:twoCellAnchor>
  <xdr:twoCellAnchor>
    <xdr:from>
      <xdr:col>11</xdr:col>
      <xdr:colOff>171451</xdr:colOff>
      <xdr:row>33</xdr:row>
      <xdr:rowOff>47625</xdr:rowOff>
    </xdr:from>
    <xdr:to>
      <xdr:col>13</xdr:col>
      <xdr:colOff>504825</xdr:colOff>
      <xdr:row>36</xdr:row>
      <xdr:rowOff>95250</xdr:rowOff>
    </xdr:to>
    <xdr:sp macro="" textlink="">
      <xdr:nvSpPr>
        <xdr:cNvPr id="119" name="Pentagone 118">
          <a:hlinkClick xmlns:r="http://schemas.openxmlformats.org/officeDocument/2006/relationships" r:id="rId20" tooltip="ETAT-SECSOC"/>
        </xdr:cNvPr>
        <xdr:cNvSpPr/>
      </xdr:nvSpPr>
      <xdr:spPr>
        <a:xfrm>
          <a:off x="257175" y="5391150"/>
          <a:ext cx="1857374" cy="533400"/>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400" b="1">
              <a:solidFill>
                <a:srgbClr val="002060"/>
              </a:solidFill>
              <a:latin typeface="Estrangelo Edessa" pitchFamily="66" charset="0"/>
              <a:cs typeface="Estrangelo Edessa" pitchFamily="66" charset="0"/>
            </a:rPr>
            <a:t>حالة الضمان الإجتماعي</a:t>
          </a:r>
          <a:endParaRPr lang="fr-FR" sz="2400" b="1">
            <a:solidFill>
              <a:srgbClr val="002060"/>
            </a:solidFill>
            <a:latin typeface="Estrangelo Edessa" pitchFamily="66" charset="0"/>
            <a:cs typeface="Estrangelo Edessa" pitchFamily="66" charset="0"/>
          </a:endParaRPr>
        </a:p>
      </xdr:txBody>
    </xdr:sp>
    <xdr:clientData/>
  </xdr:twoCellAnchor>
  <xdr:oneCellAnchor>
    <xdr:from>
      <xdr:col>7</xdr:col>
      <xdr:colOff>323850</xdr:colOff>
      <xdr:row>7</xdr:row>
      <xdr:rowOff>95790</xdr:rowOff>
    </xdr:from>
    <xdr:ext cx="1922304" cy="468013"/>
    <xdr:sp macro="" textlink="">
      <xdr:nvSpPr>
        <xdr:cNvPr id="25" name="Rectangle 24"/>
        <xdr:cNvSpPr/>
      </xdr:nvSpPr>
      <xdr:spPr>
        <a:xfrm>
          <a:off x="3087846" y="1229265"/>
          <a:ext cx="1922304" cy="468013"/>
        </a:xfrm>
        <a:prstGeom prst="rect">
          <a:avLst/>
        </a:prstGeom>
        <a:noFill/>
      </xdr:spPr>
      <xdr:txBody>
        <a:bodyPr wrap="square" lIns="91440" tIns="45720" rIns="91440" bIns="45720">
          <a:spAutoFit/>
        </a:bodyPr>
        <a:lstStyle/>
        <a:p>
          <a:pPr algn="ctr"/>
          <a:r>
            <a:rPr lang="ar-DZ"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الإقتطاعات</a:t>
          </a:r>
          <a:endParaRPr lang="fr-FR"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oneCellAnchor>
    <xdr:from>
      <xdr:col>11</xdr:col>
      <xdr:colOff>255429</xdr:colOff>
      <xdr:row>7</xdr:row>
      <xdr:rowOff>540</xdr:rowOff>
    </xdr:from>
    <xdr:ext cx="1922304" cy="405432"/>
    <xdr:sp macro="" textlink="">
      <xdr:nvSpPr>
        <xdr:cNvPr id="26" name="Rectangle 25"/>
        <xdr:cNvSpPr/>
      </xdr:nvSpPr>
      <xdr:spPr>
        <a:xfrm>
          <a:off x="108267" y="1134015"/>
          <a:ext cx="1922304" cy="405432"/>
        </a:xfrm>
        <a:prstGeom prst="rect">
          <a:avLst/>
        </a:prstGeom>
        <a:noFill/>
      </xdr:spPr>
      <xdr:txBody>
        <a:bodyPr wrap="square" lIns="91440" tIns="45720" rIns="91440" bIns="45720">
          <a:spAutoFit/>
        </a:bodyPr>
        <a:lstStyle/>
        <a:p>
          <a:pPr algn="ctr"/>
          <a:r>
            <a:rPr lang="ar-DZ" sz="20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الحالات والحوالات</a:t>
          </a:r>
          <a:endParaRPr lang="fr-FR" sz="20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oneCellAnchor>
    <xdr:from>
      <xdr:col>2</xdr:col>
      <xdr:colOff>504825</xdr:colOff>
      <xdr:row>9</xdr:row>
      <xdr:rowOff>124365</xdr:rowOff>
    </xdr:from>
    <xdr:ext cx="1922304" cy="468013"/>
    <xdr:sp macro="" textlink="">
      <xdr:nvSpPr>
        <xdr:cNvPr id="27" name="Rectangle 26"/>
        <xdr:cNvSpPr/>
      </xdr:nvSpPr>
      <xdr:spPr>
        <a:xfrm>
          <a:off x="6716871" y="1581690"/>
          <a:ext cx="1922304" cy="468013"/>
        </a:xfrm>
        <a:prstGeom prst="rect">
          <a:avLst/>
        </a:prstGeom>
        <a:noFill/>
      </xdr:spPr>
      <xdr:txBody>
        <a:bodyPr wrap="square" lIns="91440" tIns="45720" rIns="91440" bIns="45720">
          <a:spAutoFit/>
        </a:bodyPr>
        <a:lstStyle/>
        <a:p>
          <a:pPr algn="ctr"/>
          <a:r>
            <a:rPr lang="ar-DZ"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الجداول</a:t>
          </a:r>
          <a:endParaRPr lang="fr-FR"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twoCellAnchor>
    <xdr:from>
      <xdr:col>0</xdr:col>
      <xdr:colOff>171449</xdr:colOff>
      <xdr:row>33</xdr:row>
      <xdr:rowOff>133351</xdr:rowOff>
    </xdr:from>
    <xdr:to>
      <xdr:col>1</xdr:col>
      <xdr:colOff>504825</xdr:colOff>
      <xdr:row>37</xdr:row>
      <xdr:rowOff>76199</xdr:rowOff>
    </xdr:to>
    <xdr:sp macro="" textlink="">
      <xdr:nvSpPr>
        <xdr:cNvPr id="43" name="Parchemin horizontal 42"/>
        <xdr:cNvSpPr/>
      </xdr:nvSpPr>
      <xdr:spPr>
        <a:xfrm>
          <a:off x="9401175" y="5476876"/>
          <a:ext cx="1095376" cy="590548"/>
        </a:xfrm>
        <a:prstGeom prst="horizontalScroll">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latin typeface="Estrangelo Edessa" pitchFamily="66" charset="0"/>
              <a:cs typeface="Estrangelo Edessa" pitchFamily="66" charset="0"/>
            </a:rPr>
            <a:t>لطفي بوشوك </a:t>
          </a:r>
          <a:endParaRPr lang="fr-FR" sz="2000" b="1">
            <a:latin typeface="Estrangelo Edessa" pitchFamily="66" charset="0"/>
            <a:cs typeface="Estrangelo Edessa" pitchFamily="66" charset="0"/>
          </a:endParaRPr>
        </a:p>
      </xdr:txBody>
    </xdr:sp>
    <xdr:clientData/>
  </xdr:twoCellAnchor>
  <xdr:oneCellAnchor>
    <xdr:from>
      <xdr:col>3</xdr:col>
      <xdr:colOff>666750</xdr:colOff>
      <xdr:row>0</xdr:row>
      <xdr:rowOff>539</xdr:rowOff>
    </xdr:from>
    <xdr:ext cx="2886075" cy="493853"/>
    <xdr:sp macro="" textlink="">
      <xdr:nvSpPr>
        <xdr:cNvPr id="44" name="Rectangle 43"/>
        <xdr:cNvSpPr/>
      </xdr:nvSpPr>
      <xdr:spPr>
        <a:xfrm>
          <a:off x="4829175" y="539"/>
          <a:ext cx="2886075" cy="493853"/>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ar-DZ" sz="2800" b="1" u="sng"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rPr>
            <a:t>مديرية ...........لولاية</a:t>
          </a:r>
          <a:r>
            <a:rPr lang="ar-DZ" sz="2800" b="1" u="sng"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rPr>
            <a:t> ......</a:t>
          </a:r>
          <a:endParaRPr lang="fr-FR" sz="2800" b="1" u="sng"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endParaRPr>
        </a:p>
      </xdr:txBody>
    </xdr:sp>
    <xdr:clientData/>
  </xdr:oneCellAnchor>
  <xdr:twoCellAnchor>
    <xdr:from>
      <xdr:col>0</xdr:col>
      <xdr:colOff>133351</xdr:colOff>
      <xdr:row>23</xdr:row>
      <xdr:rowOff>142874</xdr:rowOff>
    </xdr:from>
    <xdr:to>
      <xdr:col>2</xdr:col>
      <xdr:colOff>123824</xdr:colOff>
      <xdr:row>27</xdr:row>
      <xdr:rowOff>57150</xdr:rowOff>
    </xdr:to>
    <xdr:sp macro="" textlink="">
      <xdr:nvSpPr>
        <xdr:cNvPr id="45" name="Pentagone 44">
          <a:hlinkClick xmlns:r="http://schemas.openxmlformats.org/officeDocument/2006/relationships" r:id="rId21" tooltip="avi vir PERM"/>
        </xdr:cNvPr>
        <xdr:cNvSpPr/>
      </xdr:nvSpPr>
      <xdr:spPr>
        <a:xfrm>
          <a:off x="9020176" y="3867149"/>
          <a:ext cx="1514473" cy="561976"/>
        </a:xfrm>
        <a:prstGeom prst="homePlate">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fr-FR" sz="1600" b="1" baseline="0">
              <a:solidFill>
                <a:srgbClr val="002060"/>
              </a:solidFill>
              <a:latin typeface="Times New Roman" pitchFamily="18" charset="0"/>
              <a:ea typeface="+mn-ea"/>
              <a:cs typeface="Times New Roman" pitchFamily="18" charset="0"/>
            </a:rPr>
            <a:t>AVIS DE </a:t>
          </a:r>
          <a:r>
            <a:rPr lang="fr-FR" sz="1600" b="1">
              <a:solidFill>
                <a:srgbClr val="002060"/>
              </a:solidFill>
              <a:latin typeface="Times New Roman" pitchFamily="18" charset="0"/>
              <a:cs typeface="Times New Roman" pitchFamily="18" charset="0"/>
            </a:rPr>
            <a:t>VIRMENT</a:t>
          </a:r>
          <a:endParaRPr lang="fr-FR" sz="2400" b="1">
            <a:solidFill>
              <a:srgbClr val="002060"/>
            </a:solidFill>
            <a:latin typeface="Times New Roman" pitchFamily="18" charset="0"/>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873124</xdr:colOff>
      <xdr:row>3</xdr:row>
      <xdr:rowOff>349250</xdr:rowOff>
    </xdr:from>
    <xdr:to>
      <xdr:col>13</xdr:col>
      <xdr:colOff>755649</xdr:colOff>
      <xdr:row>8</xdr:row>
      <xdr:rowOff>222250</xdr:rowOff>
    </xdr:to>
    <xdr:sp macro="" textlink="">
      <xdr:nvSpPr>
        <xdr:cNvPr id="4" name="Flèche droite à entaille 3">
          <a:hlinkClick xmlns:r="http://schemas.openxmlformats.org/officeDocument/2006/relationships" r:id="rId1" tooltip="الفرعية2"/>
        </xdr:cNvPr>
        <xdr:cNvSpPr/>
      </xdr:nvSpPr>
      <xdr:spPr>
        <a:xfrm>
          <a:off x="12480836101" y="1984375"/>
          <a:ext cx="3692525" cy="2413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800" b="1">
              <a:solidFill>
                <a:srgbClr val="002060"/>
              </a:solidFill>
            </a:rPr>
            <a:t>العودة إلى</a:t>
          </a:r>
          <a:r>
            <a:rPr lang="ar-DZ" sz="2800" b="1" baseline="0">
              <a:solidFill>
                <a:srgbClr val="002060"/>
              </a:solidFill>
            </a:rPr>
            <a:t> واجهة العمال المتعاقدين</a:t>
          </a:r>
          <a:endParaRPr lang="fr-FR" sz="2800" b="1">
            <a:solidFill>
              <a:srgbClr val="002060"/>
            </a:solidFill>
          </a:endParaRPr>
        </a:p>
      </xdr:txBody>
    </xdr:sp>
    <xdr:clientData/>
  </xdr:twoCellAnchor>
  <xdr:twoCellAnchor>
    <xdr:from>
      <xdr:col>11</xdr:col>
      <xdr:colOff>873125</xdr:colOff>
      <xdr:row>8</xdr:row>
      <xdr:rowOff>301626</xdr:rowOff>
    </xdr:from>
    <xdr:to>
      <xdr:col>14</xdr:col>
      <xdr:colOff>444500</xdr:colOff>
      <xdr:row>14</xdr:row>
      <xdr:rowOff>15876</xdr:rowOff>
    </xdr:to>
    <xdr:sp macro="" textlink="">
      <xdr:nvSpPr>
        <xdr:cNvPr id="7" name="Flèche droite à entaille 6">
          <a:hlinkClick xmlns:r="http://schemas.openxmlformats.org/officeDocument/2006/relationships" r:id="rId2" tooltip="ورقة العمل"/>
        </xdr:cNvPr>
        <xdr:cNvSpPr/>
      </xdr:nvSpPr>
      <xdr:spPr>
        <a:xfrm>
          <a:off x="12480385250" y="4476751"/>
          <a:ext cx="4143375" cy="23495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4000" b="1">
              <a:latin typeface="Estrangelo Edessa" pitchFamily="66" charset="0"/>
              <a:cs typeface="Estrangelo Edessa" pitchFamily="66" charset="0"/>
            </a:rPr>
            <a:t>الإنتقال إلى ورقة العمل للتدقيق و التحقق</a:t>
          </a:r>
          <a:endParaRPr lang="fr-FR" sz="4000" b="1">
            <a:latin typeface="Estrangelo Edessa" pitchFamily="66" charset="0"/>
            <a:cs typeface="Estrangelo Edessa" pitchFamily="66"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9525</xdr:colOff>
      <xdr:row>88</xdr:row>
      <xdr:rowOff>0</xdr:rowOff>
    </xdr:from>
    <xdr:to>
      <xdr:col>3</xdr:col>
      <xdr:colOff>9525</xdr:colOff>
      <xdr:row>88</xdr:row>
      <xdr:rowOff>0</xdr:rowOff>
    </xdr:to>
    <xdr:sp macro="" textlink="">
      <xdr:nvSpPr>
        <xdr:cNvPr id="89" name="Line 143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0" name="Line 143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1" name="Line 143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2" name="Line 143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3" name="Line 143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4" name="Line 144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5" name="Line 144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6" name="Line 144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7" name="Line 144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8" name="Line 144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9" name="Line 144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0" name="Line 144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1" name="Line 144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2" name="Line 144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3" name="Line 144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4" name="Line 145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5" name="Line 145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6" name="Line 145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7" name="Line 145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8" name="Line 145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9" name="Line 145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0" name="Line 145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1" name="Line 145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2" name="Line 145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3" name="Line 145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4" name="Line 146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5" name="Line 146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6" name="Line 146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7" name="Line 146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8" name="Line 146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9" name="Line 146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20" name="Line 146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21" name="Line 146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46" name="Line 1492"/>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47" name="Line 1493"/>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48" name="Line 1494"/>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49" name="Line 1495"/>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0" name="Line 1496"/>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1" name="Line 1497"/>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2" name="Line 1498"/>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3" name="Line 1499"/>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4" name="Line 1500"/>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5" name="Line 1501"/>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6" name="Line 1502"/>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7" name="Line 1503"/>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8" name="Line 1504"/>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59" name="Line 1505"/>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60" name="Line 1506"/>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61" name="Line 1507"/>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62" name="Line 1508"/>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9</xdr:row>
      <xdr:rowOff>0</xdr:rowOff>
    </xdr:from>
    <xdr:to>
      <xdr:col>3</xdr:col>
      <xdr:colOff>9525</xdr:colOff>
      <xdr:row>9</xdr:row>
      <xdr:rowOff>0</xdr:rowOff>
    </xdr:to>
    <xdr:sp macro="" textlink="">
      <xdr:nvSpPr>
        <xdr:cNvPr id="163" name="Line 1509"/>
        <xdr:cNvSpPr>
          <a:spLocks noChangeShapeType="1"/>
        </xdr:cNvSpPr>
      </xdr:nvSpPr>
      <xdr:spPr bwMode="auto">
        <a:xfrm flipH="1">
          <a:off x="12484284150" y="26193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4" name="Line 230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5" name="Line 230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6" name="Line 231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7" name="Line 231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8" name="Line 231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9" name="Line 231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0" name="Line 231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1" name="Line 231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2" name="Line 231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3" name="Line 231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4" name="Line 231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5" name="Line 231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6" name="Line 232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7" name="Line 232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8" name="Line 232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9" name="Line 232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0" name="Line 232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1" name="Line 232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2" name="Line 232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3" name="Line 232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4" name="Line 232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5" name="Line 232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6" name="Line 233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7" name="Line 233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8" name="Line 233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9" name="Line 233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0" name="Line 233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1" name="Line 233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2" name="Line 233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3" name="Line 233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4" name="Line 233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5" name="Line 233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6" name="Line 234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7" name="Line 143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8" name="Line 143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9" name="Line 143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0" name="Line 143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1" name="Line 143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2" name="Line 144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3" name="Line 144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4" name="Line 144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5" name="Line 144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6" name="Line 144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7" name="Line 144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8" name="Line 144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9" name="Line 144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0" name="Line 144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1" name="Line 144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2" name="Line 145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3" name="Line 145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4" name="Line 145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5" name="Line 145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6" name="Line 145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7" name="Line 145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8" name="Line 145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9" name="Line 145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0" name="Line 145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1" name="Line 145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2" name="Line 146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3" name="Line 146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4" name="Line 146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5" name="Line 146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6" name="Line 146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7" name="Line 146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8" name="Line 146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9" name="Line 146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0" name="Line 230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1" name="Line 230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2" name="Line 231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3" name="Line 231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4" name="Line 231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5" name="Line 231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6" name="Line 231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7" name="Line 231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8" name="Line 231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9" name="Line 231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0" name="Line 231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1" name="Line 231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2" name="Line 232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3" name="Line 232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4" name="Line 232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5" name="Line 232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6" name="Line 232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7" name="Line 232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8" name="Line 232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9" name="Line 232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0" name="Line 232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1" name="Line 232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2" name="Line 233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3" name="Line 233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4" name="Line 233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5" name="Line 233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6" name="Line 233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7" name="Line 233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8" name="Line 233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9" name="Line 233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0" name="Line 233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1" name="Line 233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2" name="Line 234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3" name="Line 143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4" name="Line 143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5" name="Line 143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6" name="Line 143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7" name="Line 143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8" name="Line 144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9" name="Line 144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0" name="Line 144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1" name="Line 144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2" name="Line 144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3" name="Line 144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4" name="Line 144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5" name="Line 144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6" name="Line 144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7" name="Line 144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8" name="Line 145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9" name="Line 145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0" name="Line 145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1" name="Line 145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2" name="Line 145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3" name="Line 145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4" name="Line 145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5" name="Line 145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6" name="Line 145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7" name="Line 145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8" name="Line 146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9" name="Line 146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0" name="Line 146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1" name="Line 146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2" name="Line 146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3" name="Line 146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4" name="Line 146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5" name="Line 146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6" name="Line 230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7" name="Line 230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8" name="Line 231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9" name="Line 231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0" name="Line 231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1" name="Line 231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2" name="Line 231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3" name="Line 231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4" name="Line 231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5" name="Line 231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6" name="Line 231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7" name="Line 231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8" name="Line 232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9" name="Line 232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0" name="Line 232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1" name="Line 232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2" name="Line 232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3" name="Line 232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4" name="Line 232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5" name="Line 232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6" name="Line 232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7" name="Line 232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8" name="Line 233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9" name="Line 233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0" name="Line 233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1" name="Line 233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2" name="Line 233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3" name="Line 233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4" name="Line 233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5" name="Line 233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6" name="Line 233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7" name="Line 233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8" name="Line 234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29" name="Line 143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0" name="Line 143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1" name="Line 143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2" name="Line 143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3" name="Line 143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4" name="Line 144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5" name="Line 144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6" name="Line 144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7" name="Line 144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8" name="Line 144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9" name="Line 144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0" name="Line 144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1" name="Line 144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2" name="Line 144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3" name="Line 144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4" name="Line 145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5" name="Line 145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6" name="Line 145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7" name="Line 145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8" name="Line 145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9" name="Line 145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0" name="Line 145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1" name="Line 145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2" name="Line 145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3" name="Line 145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4" name="Line 146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5" name="Line 146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6" name="Line 146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7" name="Line 146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8" name="Line 146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9" name="Line 146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0" name="Line 146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1" name="Line 146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2" name="Line 230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3" name="Line 230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4" name="Line 231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5" name="Line 231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6" name="Line 231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7" name="Line 231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8" name="Line 231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9" name="Line 231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0" name="Line 231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1" name="Line 231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2" name="Line 231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3" name="Line 231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4" name="Line 232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5" name="Line 232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6" name="Line 232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7" name="Line 232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8" name="Line 232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9" name="Line 232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0" name="Line 232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1" name="Line 232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2" name="Line 232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3" name="Line 232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4" name="Line 233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5" name="Line 233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6" name="Line 233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7" name="Line 233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8" name="Line 233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9" name="Line 233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0" name="Line 233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1" name="Line 233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2" name="Line 233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3" name="Line 233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4" name="Line 234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5" name="Line 143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6" name="Line 143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7" name="Line 143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8" name="Line 143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9" name="Line 143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0" name="Line 144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1" name="Line 144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2" name="Line 144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3" name="Line 144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4" name="Line 144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5" name="Line 144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6" name="Line 144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7" name="Line 144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8" name="Line 144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9" name="Line 144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0" name="Line 145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1" name="Line 145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2" name="Line 145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3" name="Line 145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4" name="Line 145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5" name="Line 145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6" name="Line 145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7" name="Line 145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8" name="Line 145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9" name="Line 145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0" name="Line 146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1" name="Line 146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2" name="Line 146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3" name="Line 146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4" name="Line 146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5" name="Line 146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6" name="Line 146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7" name="Line 146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8" name="Line 230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9" name="Line 230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0" name="Line 231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1" name="Line 231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2" name="Line 231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3" name="Line 231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4" name="Line 231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5" name="Line 231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6" name="Line 231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7" name="Line 231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8" name="Line 231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9" name="Line 231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0" name="Line 232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1" name="Line 232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2" name="Line 232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3" name="Line 232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4" name="Line 232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5" name="Line 232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6" name="Line 232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7" name="Line 232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8" name="Line 232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9" name="Line 232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0" name="Line 233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1" name="Line 233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2" name="Line 233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3" name="Line 233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4" name="Line 233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5" name="Line 233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6" name="Line 233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7" name="Line 233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8" name="Line 233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9" name="Line 233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60" name="Line 234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7</xdr:col>
      <xdr:colOff>190500</xdr:colOff>
      <xdr:row>0</xdr:row>
      <xdr:rowOff>123825</xdr:rowOff>
    </xdr:from>
    <xdr:to>
      <xdr:col>8</xdr:col>
      <xdr:colOff>676275</xdr:colOff>
      <xdr:row>4</xdr:row>
      <xdr:rowOff>38100</xdr:rowOff>
    </xdr:to>
    <xdr:sp macro="" textlink="">
      <xdr:nvSpPr>
        <xdr:cNvPr id="462" name="Flèche droite à entaille 461">
          <a:hlinkClick xmlns:r="http://schemas.openxmlformats.org/officeDocument/2006/relationships" r:id="rId1" tooltip="الفرعية2"/>
        </xdr:cNvPr>
        <xdr:cNvSpPr/>
      </xdr:nvSpPr>
      <xdr:spPr>
        <a:xfrm>
          <a:off x="12478378650" y="123825"/>
          <a:ext cx="1895475" cy="113347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182213</xdr:colOff>
      <xdr:row>0</xdr:row>
      <xdr:rowOff>0</xdr:rowOff>
    </xdr:from>
    <xdr:to>
      <xdr:col>7</xdr:col>
      <xdr:colOff>960778</xdr:colOff>
      <xdr:row>3</xdr:row>
      <xdr:rowOff>157369</xdr:rowOff>
    </xdr:to>
    <xdr:sp macro="" textlink="">
      <xdr:nvSpPr>
        <xdr:cNvPr id="3" name="Flèche droite à entaille 2">
          <a:hlinkClick xmlns:r="http://schemas.openxmlformats.org/officeDocument/2006/relationships" r:id="rId1" tooltip="الفرعية2"/>
        </xdr:cNvPr>
        <xdr:cNvSpPr/>
      </xdr:nvSpPr>
      <xdr:spPr>
        <a:xfrm>
          <a:off x="12480276200" y="0"/>
          <a:ext cx="1830457" cy="1134717"/>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5</xdr:col>
      <xdr:colOff>190503</xdr:colOff>
      <xdr:row>3</xdr:row>
      <xdr:rowOff>173945</xdr:rowOff>
    </xdr:from>
    <xdr:to>
      <xdr:col>7</xdr:col>
      <xdr:colOff>1151286</xdr:colOff>
      <xdr:row>7</xdr:row>
      <xdr:rowOff>215358</xdr:rowOff>
    </xdr:to>
    <xdr:sp macro="" textlink="">
      <xdr:nvSpPr>
        <xdr:cNvPr id="4" name="Flèche droite à entaille 3">
          <a:hlinkClick xmlns:r="http://schemas.openxmlformats.org/officeDocument/2006/relationships" r:id="rId2" tooltip="ورقة العمل"/>
        </xdr:cNvPr>
        <xdr:cNvSpPr/>
      </xdr:nvSpPr>
      <xdr:spPr>
        <a:xfrm>
          <a:off x="12480085692" y="1151293"/>
          <a:ext cx="2012675" cy="1143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381000</xdr:colOff>
      <xdr:row>0</xdr:row>
      <xdr:rowOff>0</xdr:rowOff>
    </xdr:from>
    <xdr:to>
      <xdr:col>11</xdr:col>
      <xdr:colOff>117448</xdr:colOff>
      <xdr:row>5</xdr:row>
      <xdr:rowOff>66675</xdr:rowOff>
    </xdr:to>
    <xdr:sp macro="" textlink="">
      <xdr:nvSpPr>
        <xdr:cNvPr id="6" name="Flèche droite à entaille 5">
          <a:hlinkClick xmlns:r="http://schemas.openxmlformats.org/officeDocument/2006/relationships" r:id="rId1" tooltip="الفرعية2"/>
        </xdr:cNvPr>
        <xdr:cNvSpPr/>
      </xdr:nvSpPr>
      <xdr:spPr>
        <a:xfrm>
          <a:off x="12476108552" y="0"/>
          <a:ext cx="2317723" cy="15430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800" b="1">
              <a:solidFill>
                <a:srgbClr val="002060"/>
              </a:solidFill>
            </a:rPr>
            <a:t>العودة إلى</a:t>
          </a:r>
          <a:r>
            <a:rPr lang="ar-DZ" sz="1800" b="1" baseline="0">
              <a:solidFill>
                <a:srgbClr val="002060"/>
              </a:solidFill>
            </a:rPr>
            <a:t> واجهة العمال المتعاقدين</a:t>
          </a:r>
          <a:endParaRPr lang="fr-FR" sz="1800" b="1">
            <a:solidFill>
              <a:srgbClr val="002060"/>
            </a:solidFill>
          </a:endParaRPr>
        </a:p>
      </xdr:txBody>
    </xdr:sp>
    <xdr:clientData/>
  </xdr:twoCellAnchor>
  <xdr:twoCellAnchor>
    <xdr:from>
      <xdr:col>9</xdr:col>
      <xdr:colOff>314325</xdr:colOff>
      <xdr:row>12</xdr:row>
      <xdr:rowOff>247651</xdr:rowOff>
    </xdr:from>
    <xdr:to>
      <xdr:col>11</xdr:col>
      <xdr:colOff>266700</xdr:colOff>
      <xdr:row>16</xdr:row>
      <xdr:rowOff>704850</xdr:rowOff>
    </xdr:to>
    <xdr:sp macro="" textlink="">
      <xdr:nvSpPr>
        <xdr:cNvPr id="7" name="Flèche droite à entaille 6">
          <a:hlinkClick xmlns:r="http://schemas.openxmlformats.org/officeDocument/2006/relationships" r:id="rId2" tooltip="ورقة العمل"/>
        </xdr:cNvPr>
        <xdr:cNvSpPr/>
      </xdr:nvSpPr>
      <xdr:spPr>
        <a:xfrm>
          <a:off x="12475959300" y="3790951"/>
          <a:ext cx="2533650" cy="1638299"/>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695325</xdr:colOff>
      <xdr:row>11</xdr:row>
      <xdr:rowOff>0</xdr:rowOff>
    </xdr:from>
    <xdr:to>
      <xdr:col>4</xdr:col>
      <xdr:colOff>695325</xdr:colOff>
      <xdr:row>11</xdr:row>
      <xdr:rowOff>561975</xdr:rowOff>
    </xdr:to>
    <xdr:sp macro="" textlink="">
      <xdr:nvSpPr>
        <xdr:cNvPr id="2" name="Line 4"/>
        <xdr:cNvSpPr>
          <a:spLocks noChangeShapeType="1"/>
        </xdr:cNvSpPr>
      </xdr:nvSpPr>
      <xdr:spPr bwMode="auto">
        <a:xfrm>
          <a:off x="12482293425" y="3581400"/>
          <a:ext cx="0" cy="419100"/>
        </a:xfrm>
        <a:prstGeom prst="line">
          <a:avLst/>
        </a:prstGeom>
        <a:noFill/>
        <a:ln w="9525">
          <a:solidFill>
            <a:srgbClr val="000000"/>
          </a:solidFill>
          <a:round/>
          <a:headEnd/>
          <a:tailEnd/>
        </a:ln>
      </xdr:spPr>
    </xdr:sp>
    <xdr:clientData/>
  </xdr:twoCellAnchor>
  <xdr:twoCellAnchor>
    <xdr:from>
      <xdr:col>4</xdr:col>
      <xdr:colOff>28575</xdr:colOff>
      <xdr:row>10</xdr:row>
      <xdr:rowOff>9525</xdr:rowOff>
    </xdr:from>
    <xdr:to>
      <xdr:col>4</xdr:col>
      <xdr:colOff>676275</xdr:colOff>
      <xdr:row>10</xdr:row>
      <xdr:rowOff>342900</xdr:rowOff>
    </xdr:to>
    <xdr:sp macro="" textlink="">
      <xdr:nvSpPr>
        <xdr:cNvPr id="3" name="Text Box 6"/>
        <xdr:cNvSpPr txBox="1">
          <a:spLocks noChangeArrowheads="1"/>
        </xdr:cNvSpPr>
      </xdr:nvSpPr>
      <xdr:spPr bwMode="auto">
        <a:xfrm>
          <a:off x="12482312475" y="3209925"/>
          <a:ext cx="647700" cy="333375"/>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الرقم</a:t>
          </a:r>
        </a:p>
      </xdr:txBody>
    </xdr:sp>
    <xdr:clientData/>
  </xdr:twoCellAnchor>
  <xdr:twoCellAnchor>
    <xdr:from>
      <xdr:col>4</xdr:col>
      <xdr:colOff>695325</xdr:colOff>
      <xdr:row>10</xdr:row>
      <xdr:rowOff>9525</xdr:rowOff>
    </xdr:from>
    <xdr:to>
      <xdr:col>4</xdr:col>
      <xdr:colOff>695325</xdr:colOff>
      <xdr:row>11</xdr:row>
      <xdr:rowOff>9525</xdr:rowOff>
    </xdr:to>
    <xdr:sp macro="" textlink="">
      <xdr:nvSpPr>
        <xdr:cNvPr id="4" name="Line 11"/>
        <xdr:cNvSpPr>
          <a:spLocks noChangeShapeType="1"/>
        </xdr:cNvSpPr>
      </xdr:nvSpPr>
      <xdr:spPr bwMode="auto">
        <a:xfrm>
          <a:off x="12482293425" y="3209925"/>
          <a:ext cx="0" cy="381000"/>
        </a:xfrm>
        <a:prstGeom prst="line">
          <a:avLst/>
        </a:prstGeom>
        <a:noFill/>
        <a:ln w="9525">
          <a:solidFill>
            <a:srgbClr val="000000"/>
          </a:solidFill>
          <a:round/>
          <a:headEnd/>
          <a:tailEnd/>
        </a:ln>
      </xdr:spPr>
    </xdr:sp>
    <xdr:clientData/>
  </xdr:twoCellAnchor>
  <xdr:twoCellAnchor>
    <xdr:from>
      <xdr:col>4</xdr:col>
      <xdr:colOff>655152</xdr:colOff>
      <xdr:row>10</xdr:row>
      <xdr:rowOff>28575</xdr:rowOff>
    </xdr:from>
    <xdr:to>
      <xdr:col>4</xdr:col>
      <xdr:colOff>1893402</xdr:colOff>
      <xdr:row>10</xdr:row>
      <xdr:rowOff>295275</xdr:rowOff>
    </xdr:to>
    <xdr:sp macro="" textlink="">
      <xdr:nvSpPr>
        <xdr:cNvPr id="5" name="Text Box 12"/>
        <xdr:cNvSpPr txBox="1">
          <a:spLocks noChangeArrowheads="1"/>
        </xdr:cNvSpPr>
      </xdr:nvSpPr>
      <xdr:spPr bwMode="auto">
        <a:xfrm>
          <a:off x="12481099490" y="3225662"/>
          <a:ext cx="1238250" cy="266700"/>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التاريـــخ :</a:t>
          </a:r>
        </a:p>
      </xdr:txBody>
    </xdr:sp>
    <xdr:clientData/>
  </xdr:twoCellAnchor>
  <xdr:twoCellAnchor>
    <xdr:from>
      <xdr:col>5</xdr:col>
      <xdr:colOff>99392</xdr:colOff>
      <xdr:row>0</xdr:row>
      <xdr:rowOff>8282</xdr:rowOff>
    </xdr:from>
    <xdr:to>
      <xdr:col>8</xdr:col>
      <xdr:colOff>323022</xdr:colOff>
      <xdr:row>3</xdr:row>
      <xdr:rowOff>223630</xdr:rowOff>
    </xdr:to>
    <xdr:sp macro="" textlink="">
      <xdr:nvSpPr>
        <xdr:cNvPr id="7" name="Flèche droite à entaille 6">
          <a:hlinkClick xmlns:r="http://schemas.openxmlformats.org/officeDocument/2006/relationships" r:id="rId1" tooltip="الفرعية2"/>
        </xdr:cNvPr>
        <xdr:cNvSpPr/>
      </xdr:nvSpPr>
      <xdr:spPr>
        <a:xfrm>
          <a:off x="12478950978" y="8282"/>
          <a:ext cx="1863587" cy="1068457"/>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5</xdr:col>
      <xdr:colOff>74546</xdr:colOff>
      <xdr:row>4</xdr:row>
      <xdr:rowOff>16565</xdr:rowOff>
    </xdr:from>
    <xdr:to>
      <xdr:col>8</xdr:col>
      <xdr:colOff>281610</xdr:colOff>
      <xdr:row>6</xdr:row>
      <xdr:rowOff>177040</xdr:rowOff>
    </xdr:to>
    <xdr:sp macro="" textlink="">
      <xdr:nvSpPr>
        <xdr:cNvPr id="8" name="Flèche droite à entaille 7">
          <a:hlinkClick xmlns:r="http://schemas.openxmlformats.org/officeDocument/2006/relationships" r:id="rId2" tooltip="ورقة العمل"/>
        </xdr:cNvPr>
        <xdr:cNvSpPr/>
      </xdr:nvSpPr>
      <xdr:spPr>
        <a:xfrm>
          <a:off x="12478992390" y="1126435"/>
          <a:ext cx="1847021" cy="114610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1600" b="1">
              <a:latin typeface="Estrangelo Edessa" pitchFamily="66" charset="0"/>
              <a:cs typeface="Estrangelo Edessa" pitchFamily="66" charset="0"/>
            </a:rPr>
            <a:t>الإنتقال إلى ورقة العمل للتدقيق و التحقق</a:t>
          </a:r>
          <a:endParaRPr lang="fr-FR" sz="1600" b="1">
            <a:latin typeface="Estrangelo Edessa" pitchFamily="66" charset="0"/>
            <a:cs typeface="Estrangelo Edessa" pitchFamily="66"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149677</xdr:colOff>
      <xdr:row>1</xdr:row>
      <xdr:rowOff>120370</xdr:rowOff>
    </xdr:from>
    <xdr:to>
      <xdr:col>8</xdr:col>
      <xdr:colOff>489857</xdr:colOff>
      <xdr:row>6</xdr:row>
      <xdr:rowOff>40822</xdr:rowOff>
    </xdr:to>
    <xdr:sp macro="" textlink="">
      <xdr:nvSpPr>
        <xdr:cNvPr id="3" name="Flèche droite à entaille 2">
          <a:hlinkClick xmlns:r="http://schemas.openxmlformats.org/officeDocument/2006/relationships" r:id="rId1"/>
        </xdr:cNvPr>
        <xdr:cNvSpPr/>
      </xdr:nvSpPr>
      <xdr:spPr>
        <a:xfrm>
          <a:off x="12478743321" y="283656"/>
          <a:ext cx="1973037" cy="1321987"/>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123825</xdr:colOff>
      <xdr:row>7</xdr:row>
      <xdr:rowOff>219075</xdr:rowOff>
    </xdr:from>
    <xdr:to>
      <xdr:col>22</xdr:col>
      <xdr:colOff>247650</xdr:colOff>
      <xdr:row>11</xdr:row>
      <xdr:rowOff>28575</xdr:rowOff>
    </xdr:to>
    <xdr:sp macro="" textlink="">
      <xdr:nvSpPr>
        <xdr:cNvPr id="2" name="WordArt 4"/>
        <xdr:cNvSpPr>
          <a:spLocks noChangeArrowheads="1" noChangeShapeType="1" noTextEdit="1"/>
        </xdr:cNvSpPr>
      </xdr:nvSpPr>
      <xdr:spPr bwMode="auto">
        <a:xfrm>
          <a:off x="16098250125" y="3905250"/>
          <a:ext cx="21307425" cy="2181225"/>
        </a:xfrm>
        <a:prstGeom prst="rect">
          <a:avLst/>
        </a:prstGeom>
      </xdr:spPr>
      <xdr:txBody>
        <a:bodyPr wrap="none" fromWordArt="1">
          <a:prstTxWarp prst="textPlain">
            <a:avLst>
              <a:gd name="adj" fmla="val 50000"/>
            </a:avLst>
          </a:prstTxWarp>
        </a:bodyPr>
        <a:lstStyle/>
        <a:p>
          <a:pPr algn="ctr" rtl="1"/>
          <a:r>
            <a:rPr lang="ar-DZ"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rPr>
            <a:t>حــالــة دفــع الأجـــور</a:t>
          </a:r>
          <a:endParaRPr lang="fr-FR"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endParaRPr>
        </a:p>
      </xdr:txBody>
    </xdr:sp>
    <xdr:clientData/>
  </xdr:twoCellAnchor>
  <xdr:twoCellAnchor>
    <xdr:from>
      <xdr:col>13</xdr:col>
      <xdr:colOff>2190750</xdr:colOff>
      <xdr:row>6</xdr:row>
      <xdr:rowOff>552450</xdr:rowOff>
    </xdr:from>
    <xdr:to>
      <xdr:col>22</xdr:col>
      <xdr:colOff>1047750</xdr:colOff>
      <xdr:row>11</xdr:row>
      <xdr:rowOff>304800</xdr:rowOff>
    </xdr:to>
    <xdr:sp macro="" textlink="">
      <xdr:nvSpPr>
        <xdr:cNvPr id="3" name="AutoShape 5"/>
        <xdr:cNvSpPr>
          <a:spLocks noChangeArrowheads="1"/>
        </xdr:cNvSpPr>
      </xdr:nvSpPr>
      <xdr:spPr bwMode="auto">
        <a:xfrm>
          <a:off x="16097450025" y="3667125"/>
          <a:ext cx="22755225" cy="2695575"/>
        </a:xfrm>
        <a:prstGeom prst="roundRect">
          <a:avLst>
            <a:gd name="adj" fmla="val 16667"/>
          </a:avLst>
        </a:prstGeom>
        <a:noFill/>
        <a:ln w="76200" cmpd="tri">
          <a:solidFill>
            <a:srgbClr val="000000"/>
          </a:solidFill>
          <a:round/>
          <a:headEnd/>
          <a:tailEnd/>
        </a:ln>
        <a:effectLst>
          <a:outerShdw dist="107763" dir="2700000" algn="ctr" rotWithShape="0">
            <a:srgbClr val="808080">
              <a:alpha val="50000"/>
            </a:srgbClr>
          </a:outerShdw>
        </a:effectLst>
      </xdr:spPr>
    </xdr:sp>
    <xdr:clientData/>
  </xdr:twoCellAnchor>
  <xdr:twoCellAnchor>
    <xdr:from>
      <xdr:col>23</xdr:col>
      <xdr:colOff>1119186</xdr:colOff>
      <xdr:row>1</xdr:row>
      <xdr:rowOff>47624</xdr:rowOff>
    </xdr:from>
    <xdr:to>
      <xdr:col>24</xdr:col>
      <xdr:colOff>2809874</xdr:colOff>
      <xdr:row>6</xdr:row>
      <xdr:rowOff>357187</xdr:rowOff>
    </xdr:to>
    <xdr:sp macro="" textlink="">
      <xdr:nvSpPr>
        <xdr:cNvPr id="9" name="Flèche droite rayée 8">
          <a:hlinkClick xmlns:r="http://schemas.openxmlformats.org/officeDocument/2006/relationships" r:id="rId1" tooltip="الرئيسية"/>
        </xdr:cNvPr>
        <xdr:cNvSpPr/>
      </xdr:nvSpPr>
      <xdr:spPr>
        <a:xfrm>
          <a:off x="16087344001" y="547687"/>
          <a:ext cx="4405313" cy="2905125"/>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4000" b="1">
              <a:solidFill>
                <a:sysClr val="windowText" lastClr="000000"/>
              </a:solidFill>
              <a:latin typeface="Times New Roman" pitchFamily="18" charset="0"/>
              <a:cs typeface="Times New Roman" pitchFamily="18" charset="0"/>
            </a:rPr>
            <a:t>العودة إلى الصفحة الرئيسية</a:t>
          </a:r>
          <a:endParaRPr lang="fr-FR" sz="4000" b="1">
            <a:solidFill>
              <a:sysClr val="windowText" lastClr="000000"/>
            </a:solidFill>
            <a:latin typeface="Times New Roman" pitchFamily="18" charset="0"/>
            <a:cs typeface="Times New Roman" pitchFamily="18" charset="0"/>
          </a:endParaRPr>
        </a:p>
      </xdr:txBody>
    </xdr:sp>
    <xdr:clientData/>
  </xdr:twoCellAnchor>
  <xdr:twoCellAnchor>
    <xdr:from>
      <xdr:col>23</xdr:col>
      <xdr:colOff>1190624</xdr:colOff>
      <xdr:row>6</xdr:row>
      <xdr:rowOff>523874</xdr:rowOff>
    </xdr:from>
    <xdr:to>
      <xdr:col>24</xdr:col>
      <xdr:colOff>2633461</xdr:colOff>
      <xdr:row>11</xdr:row>
      <xdr:rowOff>47624</xdr:rowOff>
    </xdr:to>
    <xdr:sp macro="" textlink="">
      <xdr:nvSpPr>
        <xdr:cNvPr id="10" name="Flèche droite à entaille 9">
          <a:hlinkClick xmlns:r="http://schemas.openxmlformats.org/officeDocument/2006/relationships" r:id="rId2" tooltip="الفرعية2"/>
        </xdr:cNvPr>
        <xdr:cNvSpPr/>
      </xdr:nvSpPr>
      <xdr:spPr>
        <a:xfrm>
          <a:off x="16087520414" y="3619499"/>
          <a:ext cx="4157462" cy="2452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3200" b="1">
              <a:solidFill>
                <a:srgbClr val="002060"/>
              </a:solidFill>
            </a:rPr>
            <a:t>العودة إلى</a:t>
          </a:r>
          <a:r>
            <a:rPr lang="ar-DZ" sz="3200" b="1" baseline="0">
              <a:solidFill>
                <a:srgbClr val="002060"/>
              </a:solidFill>
            </a:rPr>
            <a:t> واجهة العمال المتعاقدين</a:t>
          </a:r>
          <a:endParaRPr lang="fr-FR" sz="3200" b="1">
            <a:solidFill>
              <a:srgbClr val="002060"/>
            </a:solidFill>
          </a:endParaRPr>
        </a:p>
      </xdr:txBody>
    </xdr:sp>
    <xdr:clientData/>
  </xdr:twoCellAnchor>
  <xdr:twoCellAnchor>
    <xdr:from>
      <xdr:col>25</xdr:col>
      <xdr:colOff>214312</xdr:colOff>
      <xdr:row>3</xdr:row>
      <xdr:rowOff>170386</xdr:rowOff>
    </xdr:from>
    <xdr:to>
      <xdr:col>31</xdr:col>
      <xdr:colOff>176324</xdr:colOff>
      <xdr:row>8</xdr:row>
      <xdr:rowOff>428625</xdr:rowOff>
    </xdr:to>
    <xdr:sp macro="" textlink="">
      <xdr:nvSpPr>
        <xdr:cNvPr id="11" name="Flèche droite à entaille 10">
          <a:hlinkClick xmlns:r="http://schemas.openxmlformats.org/officeDocument/2006/relationships" r:id="rId3" tooltip="ورقة العمل"/>
        </xdr:cNvPr>
        <xdr:cNvSpPr/>
      </xdr:nvSpPr>
      <xdr:spPr>
        <a:xfrm>
          <a:off x="16081595551" y="1670574"/>
          <a:ext cx="4700700" cy="2996676"/>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800" b="1">
              <a:latin typeface="Estrangelo Edessa" pitchFamily="66" charset="0"/>
              <a:cs typeface="Estrangelo Edessa" pitchFamily="66" charset="0"/>
            </a:rPr>
            <a:t>الإنتقال إلى ورقة العمل للتدقيق و التحقق</a:t>
          </a:r>
          <a:endParaRPr lang="fr-FR" sz="4800" b="1">
            <a:latin typeface="Estrangelo Edessa" pitchFamily="66" charset="0"/>
            <a:cs typeface="Estrangelo Edessa" pitchFamily="66" charset="0"/>
          </a:endParaRPr>
        </a:p>
      </xdr:txBody>
    </xdr:sp>
    <xdr:clientData/>
  </xdr:twoCellAnchor>
  <xdr:twoCellAnchor>
    <xdr:from>
      <xdr:col>6</xdr:col>
      <xdr:colOff>1714500</xdr:colOff>
      <xdr:row>0</xdr:row>
      <xdr:rowOff>166687</xdr:rowOff>
    </xdr:from>
    <xdr:to>
      <xdr:col>9</xdr:col>
      <xdr:colOff>857250</xdr:colOff>
      <xdr:row>4</xdr:row>
      <xdr:rowOff>119063</xdr:rowOff>
    </xdr:to>
    <xdr:sp macro="" textlink="">
      <xdr:nvSpPr>
        <xdr:cNvPr id="13" name="Flèche droite à entaille 12">
          <a:hlinkClick xmlns:r="http://schemas.openxmlformats.org/officeDocument/2006/relationships" r:id="rId4" tooltip="الفرعية2"/>
        </xdr:cNvPr>
        <xdr:cNvSpPr/>
      </xdr:nvSpPr>
      <xdr:spPr>
        <a:xfrm>
          <a:off x="16128349125" y="166687"/>
          <a:ext cx="6310313" cy="1952626"/>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3200" b="1">
              <a:solidFill>
                <a:srgbClr val="002060"/>
              </a:solidFill>
            </a:rPr>
            <a:t>العودة إلى</a:t>
          </a:r>
          <a:r>
            <a:rPr lang="ar-DZ" sz="3200" b="1" baseline="0">
              <a:solidFill>
                <a:srgbClr val="002060"/>
              </a:solidFill>
            </a:rPr>
            <a:t> واجهة العمال المتعاقدين</a:t>
          </a:r>
          <a:endParaRPr lang="fr-FR" sz="3200" b="1">
            <a:solidFill>
              <a:srgbClr val="002060"/>
            </a:solidFill>
          </a:endParaRPr>
        </a:p>
      </xdr:txBody>
    </xdr:sp>
    <xdr:clientData/>
  </xdr:twoCellAnchor>
  <xdr:twoCellAnchor>
    <xdr:from>
      <xdr:col>10</xdr:col>
      <xdr:colOff>1309686</xdr:colOff>
      <xdr:row>0</xdr:row>
      <xdr:rowOff>0</xdr:rowOff>
    </xdr:from>
    <xdr:to>
      <xdr:col>13</xdr:col>
      <xdr:colOff>1071560</xdr:colOff>
      <xdr:row>4</xdr:row>
      <xdr:rowOff>214312</xdr:rowOff>
    </xdr:to>
    <xdr:sp macro="" textlink="">
      <xdr:nvSpPr>
        <xdr:cNvPr id="14" name="Flèche droite à entaille 13">
          <a:hlinkClick xmlns:r="http://schemas.openxmlformats.org/officeDocument/2006/relationships" r:id="rId5" tooltip="ورقة العمل"/>
        </xdr:cNvPr>
        <xdr:cNvSpPr/>
      </xdr:nvSpPr>
      <xdr:spPr>
        <a:xfrm>
          <a:off x="16117990690" y="0"/>
          <a:ext cx="7334249" cy="2214562"/>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800" b="1">
              <a:latin typeface="Estrangelo Edessa" pitchFamily="66" charset="0"/>
              <a:cs typeface="Estrangelo Edessa" pitchFamily="66" charset="0"/>
            </a:rPr>
            <a:t>الإنتقال إلى ورقة العمل للتدقيق و التحقق</a:t>
          </a:r>
          <a:endParaRPr lang="fr-FR" sz="4800" b="1">
            <a:latin typeface="Estrangelo Edessa" pitchFamily="66" charset="0"/>
            <a:cs typeface="Estrangelo Edessa" pitchFamily="66" charset="0"/>
          </a:endParaRPr>
        </a:p>
      </xdr:txBody>
    </xdr:sp>
    <xdr:clientData/>
  </xdr:twoCellAnchor>
  <xdr:twoCellAnchor>
    <xdr:from>
      <xdr:col>2</xdr:col>
      <xdr:colOff>1547812</xdr:colOff>
      <xdr:row>0</xdr:row>
      <xdr:rowOff>0</xdr:rowOff>
    </xdr:from>
    <xdr:to>
      <xdr:col>5</xdr:col>
      <xdr:colOff>309561</xdr:colOff>
      <xdr:row>4</xdr:row>
      <xdr:rowOff>452437</xdr:rowOff>
    </xdr:to>
    <xdr:sp macro="" textlink="">
      <xdr:nvSpPr>
        <xdr:cNvPr id="15" name="Flèche droite rayée 14">
          <a:hlinkClick xmlns:r="http://schemas.openxmlformats.org/officeDocument/2006/relationships" r:id="rId6" tooltip="VAC-TCMP"/>
        </xdr:cNvPr>
        <xdr:cNvSpPr/>
      </xdr:nvSpPr>
      <xdr:spPr>
        <a:xfrm>
          <a:off x="16137350252" y="0"/>
          <a:ext cx="6429374" cy="2452687"/>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3600" b="1">
              <a:solidFill>
                <a:sysClr val="windowText" lastClr="000000"/>
              </a:solidFill>
              <a:latin typeface="Times New Roman" pitchFamily="18" charset="0"/>
              <a:cs typeface="Times New Roman" pitchFamily="18" charset="0"/>
            </a:rPr>
            <a:t>الإنتقال</a:t>
          </a:r>
          <a:r>
            <a:rPr lang="ar-DZ" sz="3600" b="1" baseline="0">
              <a:solidFill>
                <a:sysClr val="windowText" lastClr="000000"/>
              </a:solidFill>
              <a:latin typeface="Times New Roman" pitchFamily="18" charset="0"/>
              <a:cs typeface="Times New Roman" pitchFamily="18" charset="0"/>
            </a:rPr>
            <a:t> إلى قاعدة البيانات للتدقيق</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625474</xdr:colOff>
      <xdr:row>0</xdr:row>
      <xdr:rowOff>206375</xdr:rowOff>
    </xdr:from>
    <xdr:to>
      <xdr:col>13</xdr:col>
      <xdr:colOff>507999</xdr:colOff>
      <xdr:row>4</xdr:row>
      <xdr:rowOff>444500</xdr:rowOff>
    </xdr:to>
    <xdr:sp macro="" textlink="">
      <xdr:nvSpPr>
        <xdr:cNvPr id="3" name="Flèche droite à entaille 2">
          <a:hlinkClick xmlns:r="http://schemas.openxmlformats.org/officeDocument/2006/relationships" r:id="rId1" tooltip="الفرعية2"/>
        </xdr:cNvPr>
        <xdr:cNvSpPr/>
      </xdr:nvSpPr>
      <xdr:spPr>
        <a:xfrm>
          <a:off x="12481083751" y="206375"/>
          <a:ext cx="3692525" cy="2413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800" b="1">
              <a:solidFill>
                <a:srgbClr val="002060"/>
              </a:solidFill>
            </a:rPr>
            <a:t>العودة إلى</a:t>
          </a:r>
          <a:r>
            <a:rPr lang="ar-DZ" sz="2800" b="1" baseline="0">
              <a:solidFill>
                <a:srgbClr val="002060"/>
              </a:solidFill>
            </a:rPr>
            <a:t> واجهة العمال المتعاقدين</a:t>
          </a:r>
          <a:endParaRPr lang="fr-FR" sz="2800" b="1">
            <a:solidFill>
              <a:srgbClr val="002060"/>
            </a:solidFill>
          </a:endParaRPr>
        </a:p>
      </xdr:txBody>
    </xdr:sp>
    <xdr:clientData/>
  </xdr:twoCellAnchor>
  <xdr:twoCellAnchor>
    <xdr:from>
      <xdr:col>11</xdr:col>
      <xdr:colOff>603250</xdr:colOff>
      <xdr:row>4</xdr:row>
      <xdr:rowOff>444501</xdr:rowOff>
    </xdr:from>
    <xdr:to>
      <xdr:col>14</xdr:col>
      <xdr:colOff>174625</xdr:colOff>
      <xdr:row>9</xdr:row>
      <xdr:rowOff>333376</xdr:rowOff>
    </xdr:to>
    <xdr:sp macro="" textlink="">
      <xdr:nvSpPr>
        <xdr:cNvPr id="4" name="Flèche droite à entaille 3">
          <a:hlinkClick xmlns:r="http://schemas.openxmlformats.org/officeDocument/2006/relationships" r:id="rId2" tooltip="ورقة العمل"/>
        </xdr:cNvPr>
        <xdr:cNvSpPr/>
      </xdr:nvSpPr>
      <xdr:spPr>
        <a:xfrm>
          <a:off x="12480655125" y="2619376"/>
          <a:ext cx="4143375" cy="23495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4000" b="1">
              <a:latin typeface="Estrangelo Edessa" pitchFamily="66" charset="0"/>
              <a:cs typeface="Estrangelo Edessa" pitchFamily="66" charset="0"/>
            </a:rPr>
            <a:t>الإنتقال إلى ورقة العمل للتدقيق و التحقق</a:t>
          </a:r>
          <a:endParaRPr lang="fr-FR" sz="4000" b="1">
            <a:latin typeface="Estrangelo Edessa" pitchFamily="66" charset="0"/>
            <a:cs typeface="Estrangelo Edessa" pitchFamily="66"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182213</xdr:colOff>
      <xdr:row>0</xdr:row>
      <xdr:rowOff>0</xdr:rowOff>
    </xdr:from>
    <xdr:to>
      <xdr:col>7</xdr:col>
      <xdr:colOff>960778</xdr:colOff>
      <xdr:row>3</xdr:row>
      <xdr:rowOff>157369</xdr:rowOff>
    </xdr:to>
    <xdr:sp macro="" textlink="">
      <xdr:nvSpPr>
        <xdr:cNvPr id="2" name="Flèche droite à entaille 1">
          <a:hlinkClick xmlns:r="http://schemas.openxmlformats.org/officeDocument/2006/relationships" r:id="rId1" tooltip="الفرعية2"/>
        </xdr:cNvPr>
        <xdr:cNvSpPr/>
      </xdr:nvSpPr>
      <xdr:spPr>
        <a:xfrm>
          <a:off x="12480275372" y="0"/>
          <a:ext cx="2188265" cy="1128919"/>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5</xdr:col>
      <xdr:colOff>190503</xdr:colOff>
      <xdr:row>3</xdr:row>
      <xdr:rowOff>173945</xdr:rowOff>
    </xdr:from>
    <xdr:to>
      <xdr:col>7</xdr:col>
      <xdr:colOff>1151286</xdr:colOff>
      <xdr:row>7</xdr:row>
      <xdr:rowOff>215358</xdr:rowOff>
    </xdr:to>
    <xdr:sp macro="" textlink="">
      <xdr:nvSpPr>
        <xdr:cNvPr id="3" name="Flèche droite à entaille 2">
          <a:hlinkClick xmlns:r="http://schemas.openxmlformats.org/officeDocument/2006/relationships" r:id="rId2" tooltip="ورقة العمل"/>
        </xdr:cNvPr>
        <xdr:cNvSpPr/>
      </xdr:nvSpPr>
      <xdr:spPr>
        <a:xfrm>
          <a:off x="12480084864" y="1145495"/>
          <a:ext cx="2370483" cy="11367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9525</xdr:colOff>
      <xdr:row>88</xdr:row>
      <xdr:rowOff>0</xdr:rowOff>
    </xdr:from>
    <xdr:to>
      <xdr:col>3</xdr:col>
      <xdr:colOff>9525</xdr:colOff>
      <xdr:row>88</xdr:row>
      <xdr:rowOff>0</xdr:rowOff>
    </xdr:to>
    <xdr:sp macro="" textlink="">
      <xdr:nvSpPr>
        <xdr:cNvPr id="89" name="Line 143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0" name="Line 143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1" name="Line 143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2" name="Line 143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3" name="Line 143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4" name="Line 144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5" name="Line 144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6" name="Line 144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7" name="Line 144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8" name="Line 144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99" name="Line 144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0" name="Line 144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1" name="Line 144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2" name="Line 144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3" name="Line 144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4" name="Line 145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5" name="Line 145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6" name="Line 145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7" name="Line 145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8" name="Line 145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09" name="Line 145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0" name="Line 145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1" name="Line 145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2" name="Line 145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3" name="Line 145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4" name="Line 146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5" name="Line 146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6" name="Line 146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7" name="Line 146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8" name="Line 146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19" name="Line 146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20" name="Line 146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21" name="Line 146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4" name="Line 230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5" name="Line 230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6" name="Line 231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7" name="Line 231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8" name="Line 231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69" name="Line 231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0" name="Line 231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1" name="Line 231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2" name="Line 231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3" name="Line 231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4" name="Line 231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5" name="Line 231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6" name="Line 232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7" name="Line 232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8" name="Line 232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79" name="Line 232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0" name="Line 232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1" name="Line 232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2" name="Line 232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3" name="Line 232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4" name="Line 232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5" name="Line 232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6" name="Line 233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7" name="Line 2331"/>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8" name="Line 2332"/>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89" name="Line 2333"/>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0" name="Line 2334"/>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1" name="Line 2335"/>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2" name="Line 2336"/>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3" name="Line 2337"/>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4" name="Line 2338"/>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5" name="Line 2339"/>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88</xdr:row>
      <xdr:rowOff>0</xdr:rowOff>
    </xdr:from>
    <xdr:to>
      <xdr:col>3</xdr:col>
      <xdr:colOff>9525</xdr:colOff>
      <xdr:row>88</xdr:row>
      <xdr:rowOff>0</xdr:rowOff>
    </xdr:to>
    <xdr:sp macro="" textlink="">
      <xdr:nvSpPr>
        <xdr:cNvPr id="196" name="Line 2340"/>
        <xdr:cNvSpPr>
          <a:spLocks noChangeShapeType="1"/>
        </xdr:cNvSpPr>
      </xdr:nvSpPr>
      <xdr:spPr bwMode="auto">
        <a:xfrm flipH="1">
          <a:off x="12484284150" y="1865947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7" name="Line 143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8" name="Line 143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199" name="Line 143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0" name="Line 143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1" name="Line 143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2" name="Line 144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3" name="Line 144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4" name="Line 144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5" name="Line 144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6" name="Line 144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7" name="Line 144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8" name="Line 144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09" name="Line 144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0" name="Line 144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1" name="Line 144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2" name="Line 145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3" name="Line 145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4" name="Line 145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5" name="Line 145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6" name="Line 145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7" name="Line 145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8" name="Line 145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19" name="Line 145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0" name="Line 145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1" name="Line 145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2" name="Line 146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3" name="Line 146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4" name="Line 146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5" name="Line 146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6" name="Line 146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7" name="Line 146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8" name="Line 146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29" name="Line 146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0" name="Line 230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1" name="Line 230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2" name="Line 231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3" name="Line 231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4" name="Line 231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5" name="Line 231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6" name="Line 231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7" name="Line 231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8" name="Line 231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39" name="Line 231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0" name="Line 231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1" name="Line 231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2" name="Line 232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3" name="Line 232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4" name="Line 232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5" name="Line 232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6" name="Line 232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7" name="Line 232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8" name="Line 232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49" name="Line 232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0" name="Line 232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1" name="Line 232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2" name="Line 233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3" name="Line 2331"/>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4" name="Line 2332"/>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5" name="Line 2333"/>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6" name="Line 2334"/>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7" name="Line 2335"/>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8" name="Line 2336"/>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59" name="Line 2337"/>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0" name="Line 2338"/>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1" name="Line 2339"/>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90</xdr:row>
      <xdr:rowOff>0</xdr:rowOff>
    </xdr:from>
    <xdr:to>
      <xdr:col>3</xdr:col>
      <xdr:colOff>9525</xdr:colOff>
      <xdr:row>90</xdr:row>
      <xdr:rowOff>0</xdr:rowOff>
    </xdr:to>
    <xdr:sp macro="" textlink="">
      <xdr:nvSpPr>
        <xdr:cNvPr id="262" name="Line 2340"/>
        <xdr:cNvSpPr>
          <a:spLocks noChangeShapeType="1"/>
        </xdr:cNvSpPr>
      </xdr:nvSpPr>
      <xdr:spPr bwMode="auto">
        <a:xfrm flipH="1">
          <a:off x="12484284150" y="1947862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3" name="Line 143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4" name="Line 143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5" name="Line 143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6" name="Line 143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7" name="Line 143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8" name="Line 144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69" name="Line 144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0" name="Line 144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1" name="Line 144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2" name="Line 144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3" name="Line 144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4" name="Line 144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5" name="Line 144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6" name="Line 144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7" name="Line 144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8" name="Line 145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79" name="Line 145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0" name="Line 145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1" name="Line 145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2" name="Line 145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3" name="Line 145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4" name="Line 145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5" name="Line 145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6" name="Line 145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7" name="Line 145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8" name="Line 146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89" name="Line 146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0" name="Line 146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1" name="Line 146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2" name="Line 146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3" name="Line 146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4" name="Line 146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5" name="Line 146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6" name="Line 230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7" name="Line 230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8" name="Line 231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299" name="Line 231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0" name="Line 231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1" name="Line 231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2" name="Line 231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3" name="Line 231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4" name="Line 231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5" name="Line 231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6" name="Line 231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7" name="Line 231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8" name="Line 232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09" name="Line 232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0" name="Line 232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1" name="Line 232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2" name="Line 232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3" name="Line 232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4" name="Line 232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5" name="Line 232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6" name="Line 232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7" name="Line 232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8" name="Line 233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19" name="Line 2331"/>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0" name="Line 2332"/>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1" name="Line 2333"/>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2" name="Line 2334"/>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3" name="Line 2335"/>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4" name="Line 2336"/>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5" name="Line 2337"/>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6" name="Line 2338"/>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7" name="Line 2339"/>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92</xdr:row>
      <xdr:rowOff>0</xdr:rowOff>
    </xdr:from>
    <xdr:to>
      <xdr:col>3</xdr:col>
      <xdr:colOff>9525</xdr:colOff>
      <xdr:row>92</xdr:row>
      <xdr:rowOff>0</xdr:rowOff>
    </xdr:to>
    <xdr:sp macro="" textlink="">
      <xdr:nvSpPr>
        <xdr:cNvPr id="328" name="Line 2340"/>
        <xdr:cNvSpPr>
          <a:spLocks noChangeShapeType="1"/>
        </xdr:cNvSpPr>
      </xdr:nvSpPr>
      <xdr:spPr bwMode="auto">
        <a:xfrm flipH="1">
          <a:off x="12484284150" y="2029777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29" name="Line 143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0" name="Line 143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1" name="Line 143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2" name="Line 143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3" name="Line 143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4" name="Line 144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5" name="Line 144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6" name="Line 144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7" name="Line 144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8" name="Line 144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39" name="Line 144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0" name="Line 144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1" name="Line 144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2" name="Line 144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3" name="Line 144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4" name="Line 145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5" name="Line 145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6" name="Line 145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7" name="Line 145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8" name="Line 145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49" name="Line 145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0" name="Line 145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1" name="Line 145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2" name="Line 145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3" name="Line 145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4" name="Line 146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5" name="Line 146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6" name="Line 146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7" name="Line 146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8" name="Line 146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59" name="Line 146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0" name="Line 146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1" name="Line 146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2" name="Line 230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3" name="Line 230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4" name="Line 231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5" name="Line 231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6" name="Line 231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7" name="Line 231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8" name="Line 231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69" name="Line 231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0" name="Line 231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1" name="Line 231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2" name="Line 231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3" name="Line 231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4" name="Line 232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5" name="Line 232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6" name="Line 232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7" name="Line 232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8" name="Line 232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79" name="Line 232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0" name="Line 232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1" name="Line 232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2" name="Line 232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3" name="Line 232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4" name="Line 233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5" name="Line 2331"/>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6" name="Line 2332"/>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7" name="Line 2333"/>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8" name="Line 2334"/>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89" name="Line 2335"/>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0" name="Line 2336"/>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1" name="Line 2337"/>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2" name="Line 2338"/>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3" name="Line 2339"/>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94</xdr:row>
      <xdr:rowOff>0</xdr:rowOff>
    </xdr:from>
    <xdr:to>
      <xdr:col>3</xdr:col>
      <xdr:colOff>9525</xdr:colOff>
      <xdr:row>94</xdr:row>
      <xdr:rowOff>0</xdr:rowOff>
    </xdr:to>
    <xdr:sp macro="" textlink="">
      <xdr:nvSpPr>
        <xdr:cNvPr id="394" name="Line 2340"/>
        <xdr:cNvSpPr>
          <a:spLocks noChangeShapeType="1"/>
        </xdr:cNvSpPr>
      </xdr:nvSpPr>
      <xdr:spPr bwMode="auto">
        <a:xfrm flipH="1">
          <a:off x="12484284150" y="2111692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5" name="Line 143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6" name="Line 143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7" name="Line 143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8" name="Line 143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399" name="Line 143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0" name="Line 144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1" name="Line 144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2" name="Line 144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3" name="Line 144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4" name="Line 144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5" name="Line 144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6" name="Line 144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7" name="Line 144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8" name="Line 144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09" name="Line 144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0" name="Line 145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1" name="Line 145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2" name="Line 145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3" name="Line 145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4" name="Line 145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5" name="Line 145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6" name="Line 145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7" name="Line 145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8" name="Line 145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19" name="Line 145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0" name="Line 146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1" name="Line 146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2" name="Line 146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3" name="Line 146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4" name="Line 146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5" name="Line 146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6" name="Line 146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7" name="Line 146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8" name="Line 230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29" name="Line 230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0" name="Line 231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1" name="Line 231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2" name="Line 231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3" name="Line 231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4" name="Line 231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5" name="Line 231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6" name="Line 231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7" name="Line 231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8" name="Line 231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39" name="Line 231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0" name="Line 232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1" name="Line 232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2" name="Line 232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3" name="Line 232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4" name="Line 232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5" name="Line 232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6" name="Line 232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7" name="Line 232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8" name="Line 232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49" name="Line 232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0" name="Line 233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1" name="Line 2331"/>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2" name="Line 2332"/>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3" name="Line 2333"/>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4" name="Line 2334"/>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5" name="Line 2335"/>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6" name="Line 2336"/>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7" name="Line 2337"/>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8" name="Line 2338"/>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59" name="Line 2339"/>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3</xdr:col>
      <xdr:colOff>9525</xdr:colOff>
      <xdr:row>96</xdr:row>
      <xdr:rowOff>0</xdr:rowOff>
    </xdr:from>
    <xdr:to>
      <xdr:col>3</xdr:col>
      <xdr:colOff>9525</xdr:colOff>
      <xdr:row>96</xdr:row>
      <xdr:rowOff>0</xdr:rowOff>
    </xdr:to>
    <xdr:sp macro="" textlink="">
      <xdr:nvSpPr>
        <xdr:cNvPr id="460" name="Line 2340"/>
        <xdr:cNvSpPr>
          <a:spLocks noChangeShapeType="1"/>
        </xdr:cNvSpPr>
      </xdr:nvSpPr>
      <xdr:spPr bwMode="auto">
        <a:xfrm flipH="1">
          <a:off x="12484284150" y="21936075"/>
          <a:ext cx="0" cy="0"/>
        </a:xfrm>
        <a:prstGeom prst="line">
          <a:avLst/>
        </a:prstGeom>
        <a:noFill/>
        <a:ln w="17145">
          <a:solidFill>
            <a:srgbClr val="000000"/>
          </a:solidFill>
          <a:round/>
          <a:headEnd/>
          <a:tailEnd/>
        </a:ln>
      </xdr:spPr>
    </xdr:sp>
    <xdr:clientData/>
  </xdr:twoCellAnchor>
  <xdr:twoCellAnchor>
    <xdr:from>
      <xdr:col>7</xdr:col>
      <xdr:colOff>142875</xdr:colOff>
      <xdr:row>0</xdr:row>
      <xdr:rowOff>152400</xdr:rowOff>
    </xdr:from>
    <xdr:to>
      <xdr:col>8</xdr:col>
      <xdr:colOff>409575</xdr:colOff>
      <xdr:row>3</xdr:row>
      <xdr:rowOff>152400</xdr:rowOff>
    </xdr:to>
    <xdr:sp macro="" textlink="">
      <xdr:nvSpPr>
        <xdr:cNvPr id="462" name="Flèche droite à entaille 461">
          <a:hlinkClick xmlns:r="http://schemas.openxmlformats.org/officeDocument/2006/relationships" r:id="rId1" tooltip="الفرعية2"/>
        </xdr:cNvPr>
        <xdr:cNvSpPr/>
      </xdr:nvSpPr>
      <xdr:spPr>
        <a:xfrm>
          <a:off x="12478645350" y="152400"/>
          <a:ext cx="1676400" cy="92392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66135</xdr:colOff>
      <xdr:row>0</xdr:row>
      <xdr:rowOff>114301</xdr:rowOff>
    </xdr:from>
    <xdr:to>
      <xdr:col>14</xdr:col>
      <xdr:colOff>723899</xdr:colOff>
      <xdr:row>40</xdr:row>
      <xdr:rowOff>161924</xdr:rowOff>
    </xdr:to>
    <xdr:pic>
      <xdr:nvPicPr>
        <xdr:cNvPr id="30" name="Image 29" descr="40602497_2054737761245693_1813032251147943936_n.jpg"/>
        <xdr:cNvPicPr>
          <a:picLocks noChangeAspect="1"/>
        </xdr:cNvPicPr>
      </xdr:nvPicPr>
      <xdr:blipFill>
        <a:blip xmlns:r="http://schemas.openxmlformats.org/officeDocument/2006/relationships" r:embed="rId1"/>
        <a:stretch>
          <a:fillRect/>
        </a:stretch>
      </xdr:blipFill>
      <xdr:spPr>
        <a:xfrm>
          <a:off x="38101" y="114301"/>
          <a:ext cx="11325764" cy="6524623"/>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twoCellAnchor editAs="oneCell">
    <xdr:from>
      <xdr:col>12</xdr:col>
      <xdr:colOff>742950</xdr:colOff>
      <xdr:row>0</xdr:row>
      <xdr:rowOff>125975</xdr:rowOff>
    </xdr:from>
    <xdr:to>
      <xdr:col>15</xdr:col>
      <xdr:colOff>0</xdr:colOff>
      <xdr:row>10</xdr:row>
      <xdr:rowOff>19050</xdr:rowOff>
    </xdr:to>
    <xdr:pic>
      <xdr:nvPicPr>
        <xdr:cNvPr id="42" name="Image 41" descr="52111534_2521482591215107_3942539777387003904_n.jpg"/>
        <xdr:cNvPicPr>
          <a:picLocks noChangeAspect="1"/>
        </xdr:cNvPicPr>
      </xdr:nvPicPr>
      <xdr:blipFill>
        <a:blip xmlns:r="http://schemas.openxmlformats.org/officeDocument/2006/relationships" r:embed="rId2"/>
        <a:stretch>
          <a:fillRect/>
        </a:stretch>
      </xdr:blipFill>
      <xdr:spPr>
        <a:xfrm>
          <a:off x="0" y="125975"/>
          <a:ext cx="1543050" cy="15123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104773</xdr:colOff>
      <xdr:row>10</xdr:row>
      <xdr:rowOff>142875</xdr:rowOff>
    </xdr:from>
    <xdr:to>
      <xdr:col>4</xdr:col>
      <xdr:colOff>600075</xdr:colOff>
      <xdr:row>40</xdr:row>
      <xdr:rowOff>19051</xdr:rowOff>
    </xdr:to>
    <xdr:pic>
      <xdr:nvPicPr>
        <xdr:cNvPr id="39" name="Image 38" descr="51914350_2521482527881780_8947052077461274624_n.jpg"/>
        <xdr:cNvPicPr>
          <a:picLocks noChangeAspect="1"/>
        </xdr:cNvPicPr>
      </xdr:nvPicPr>
      <xdr:blipFill>
        <a:blip xmlns:r="http://schemas.openxmlformats.org/officeDocument/2006/relationships" r:embed="rId3"/>
        <a:stretch>
          <a:fillRect/>
        </a:stretch>
      </xdr:blipFill>
      <xdr:spPr>
        <a:xfrm>
          <a:off x="7781925" y="1762125"/>
          <a:ext cx="3543302" cy="4733926"/>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10</xdr:col>
      <xdr:colOff>9525</xdr:colOff>
      <xdr:row>11</xdr:row>
      <xdr:rowOff>45124</xdr:rowOff>
    </xdr:from>
    <xdr:to>
      <xdr:col>14</xdr:col>
      <xdr:colOff>707024</xdr:colOff>
      <xdr:row>40</xdr:row>
      <xdr:rowOff>123825</xdr:rowOff>
    </xdr:to>
    <xdr:pic>
      <xdr:nvPicPr>
        <xdr:cNvPr id="38" name="Image 37" descr="12631510_1212229468807099_5189168862446730748_n.jpg"/>
        <xdr:cNvPicPr>
          <a:picLocks noChangeAspect="1"/>
        </xdr:cNvPicPr>
      </xdr:nvPicPr>
      <xdr:blipFill>
        <a:blip xmlns:r="http://schemas.openxmlformats.org/officeDocument/2006/relationships" r:embed="rId4"/>
        <a:stretch>
          <a:fillRect/>
        </a:stretch>
      </xdr:blipFill>
      <xdr:spPr>
        <a:xfrm>
          <a:off x="54976" y="1826299"/>
          <a:ext cx="3745499" cy="477452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0</xdr:col>
      <xdr:colOff>22103</xdr:colOff>
      <xdr:row>27</xdr:row>
      <xdr:rowOff>104774</xdr:rowOff>
    </xdr:from>
    <xdr:to>
      <xdr:col>2</xdr:col>
      <xdr:colOff>47625</xdr:colOff>
      <xdr:row>30</xdr:row>
      <xdr:rowOff>161924</xdr:rowOff>
    </xdr:to>
    <xdr:sp macro="" textlink="">
      <xdr:nvSpPr>
        <xdr:cNvPr id="17" name="Pentagone 16">
          <a:hlinkClick xmlns:r="http://schemas.openxmlformats.org/officeDocument/2006/relationships" r:id="rId5" tooltip="OEUVR-SOC-VACT"/>
        </xdr:cNvPr>
        <xdr:cNvSpPr/>
      </xdr:nvSpPr>
      <xdr:spPr>
        <a:xfrm>
          <a:off x="9858375" y="4476749"/>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الخدمات الإجتماعية</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2</xdr:col>
      <xdr:colOff>326903</xdr:colOff>
      <xdr:row>27</xdr:row>
      <xdr:rowOff>104774</xdr:rowOff>
    </xdr:from>
    <xdr:to>
      <xdr:col>4</xdr:col>
      <xdr:colOff>352425</xdr:colOff>
      <xdr:row>30</xdr:row>
      <xdr:rowOff>161924</xdr:rowOff>
    </xdr:to>
    <xdr:sp macro="" textlink="">
      <xdr:nvSpPr>
        <xdr:cNvPr id="51" name="Pentagone 50">
          <a:hlinkClick xmlns:r="http://schemas.openxmlformats.org/officeDocument/2006/relationships" r:id="rId6" tooltip="métuel VAC"/>
        </xdr:cNvPr>
        <xdr:cNvSpPr/>
      </xdr:nvSpPr>
      <xdr:spPr>
        <a:xfrm>
          <a:off x="8029575" y="4476749"/>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إشتراك</a:t>
          </a:r>
          <a:r>
            <a:rPr lang="ar-DZ" sz="2200" b="1" baseline="0">
              <a:solidFill>
                <a:sysClr val="windowText" lastClr="000000"/>
              </a:solidFill>
              <a:latin typeface="Estrangelo Edessa" pitchFamily="66" charset="0"/>
              <a:cs typeface="Estrangelo Edessa" pitchFamily="66" charset="0"/>
            </a:rPr>
            <a:t> التعاضدية</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12</xdr:col>
      <xdr:colOff>609600</xdr:colOff>
      <xdr:row>0</xdr:row>
      <xdr:rowOff>0</xdr:rowOff>
    </xdr:from>
    <xdr:to>
      <xdr:col>15</xdr:col>
      <xdr:colOff>0</xdr:colOff>
      <xdr:row>5</xdr:row>
      <xdr:rowOff>114300</xdr:rowOff>
    </xdr:to>
    <xdr:sp macro="" textlink="">
      <xdr:nvSpPr>
        <xdr:cNvPr id="57" name="Flèche droite à entaille 56">
          <a:hlinkClick xmlns:r="http://schemas.openxmlformats.org/officeDocument/2006/relationships" r:id="rId7"/>
        </xdr:cNvPr>
        <xdr:cNvSpPr/>
      </xdr:nvSpPr>
      <xdr:spPr>
        <a:xfrm>
          <a:off x="0" y="0"/>
          <a:ext cx="1676400" cy="923925"/>
        </a:xfrm>
        <a:prstGeom prst="notchedRightArrow">
          <a:avLst/>
        </a:prstGeom>
        <a:scene3d>
          <a:camera prst="orthographicFront">
            <a:rot lat="0" lon="0" rev="0"/>
          </a:camera>
          <a:lightRig rig="threePt" dir="t">
            <a:rot lat="0" lon="0" rev="1200000"/>
          </a:lightRig>
        </a:scene3d>
        <a:sp3d>
          <a:bevelT w="63500" h="25400" prst="angle"/>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1400" b="1">
              <a:solidFill>
                <a:srgbClr val="002060"/>
              </a:solidFill>
            </a:rPr>
            <a:t>العودة إلى الصفحة الرئيسية</a:t>
          </a:r>
          <a:endParaRPr lang="fr-FR" sz="1400" b="1">
            <a:solidFill>
              <a:srgbClr val="002060"/>
            </a:solidFill>
          </a:endParaRPr>
        </a:p>
      </xdr:txBody>
    </xdr:sp>
    <xdr:clientData/>
  </xdr:twoCellAnchor>
  <xdr:twoCellAnchor>
    <xdr:from>
      <xdr:col>3</xdr:col>
      <xdr:colOff>133351</xdr:colOff>
      <xdr:row>1</xdr:row>
      <xdr:rowOff>47626</xdr:rowOff>
    </xdr:from>
    <xdr:to>
      <xdr:col>12</xdr:col>
      <xdr:colOff>152400</xdr:colOff>
      <xdr:row>5</xdr:row>
      <xdr:rowOff>142876</xdr:rowOff>
    </xdr:to>
    <xdr:sp macro="" textlink="">
      <xdr:nvSpPr>
        <xdr:cNvPr id="58" name="Ruban vers le bas 57"/>
        <xdr:cNvSpPr/>
      </xdr:nvSpPr>
      <xdr:spPr>
        <a:xfrm>
          <a:off x="2133600" y="209551"/>
          <a:ext cx="6877049" cy="742950"/>
        </a:xfrm>
        <a:prstGeom prst="ribbon">
          <a:avLst>
            <a:gd name="adj1" fmla="val 33333"/>
            <a:gd name="adj2" fmla="val 71293"/>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4400" b="1" u="sng">
              <a:solidFill>
                <a:srgbClr val="002060"/>
              </a:solidFill>
              <a:latin typeface="Estrangelo Edessa" pitchFamily="66" charset="0"/>
              <a:cs typeface="Estrangelo Edessa" pitchFamily="66" charset="0"/>
            </a:rPr>
            <a:t>المرتبات والأجور للعمال المتعاقدين</a:t>
          </a:r>
          <a:endParaRPr lang="fr-FR" sz="4400" b="1" u="sng">
            <a:solidFill>
              <a:srgbClr val="002060"/>
            </a:solidFill>
            <a:latin typeface="Estrangelo Edessa" pitchFamily="66" charset="0"/>
            <a:cs typeface="Estrangelo Edessa" pitchFamily="66" charset="0"/>
          </a:endParaRPr>
        </a:p>
      </xdr:txBody>
    </xdr:sp>
    <xdr:clientData/>
  </xdr:twoCellAnchor>
  <xdr:twoCellAnchor>
    <xdr:from>
      <xdr:col>7</xdr:col>
      <xdr:colOff>28576</xdr:colOff>
      <xdr:row>22</xdr:row>
      <xdr:rowOff>133350</xdr:rowOff>
    </xdr:from>
    <xdr:to>
      <xdr:col>9</xdr:col>
      <xdr:colOff>38100</xdr:colOff>
      <xdr:row>26</xdr:row>
      <xdr:rowOff>19050</xdr:rowOff>
    </xdr:to>
    <xdr:sp macro="" textlink="">
      <xdr:nvSpPr>
        <xdr:cNvPr id="62" name="Pentagone 61">
          <a:hlinkClick xmlns:r="http://schemas.openxmlformats.org/officeDocument/2006/relationships" r:id="rId8" tooltip="SEC-SOCIAL-VAC"/>
        </xdr:cNvPr>
        <xdr:cNvSpPr/>
      </xdr:nvSpPr>
      <xdr:spPr>
        <a:xfrm>
          <a:off x="4533900" y="3695700"/>
          <a:ext cx="1533524" cy="533400"/>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الضمان الإجتماعي</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7</xdr:col>
      <xdr:colOff>28575</xdr:colOff>
      <xdr:row>27</xdr:row>
      <xdr:rowOff>57150</xdr:rowOff>
    </xdr:from>
    <xdr:to>
      <xdr:col>9</xdr:col>
      <xdr:colOff>38099</xdr:colOff>
      <xdr:row>30</xdr:row>
      <xdr:rowOff>104775</xdr:rowOff>
    </xdr:to>
    <xdr:sp macro="" textlink="">
      <xdr:nvSpPr>
        <xdr:cNvPr id="65" name="Pentagone 64">
          <a:hlinkClick xmlns:r="http://schemas.openxmlformats.org/officeDocument/2006/relationships" r:id="rId9" tooltip="IRG"/>
        </xdr:cNvPr>
        <xdr:cNvSpPr/>
      </xdr:nvSpPr>
      <xdr:spPr>
        <a:xfrm>
          <a:off x="4533901" y="4429125"/>
          <a:ext cx="1533524" cy="533400"/>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الضريبة على الدخل</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2</xdr:col>
      <xdr:colOff>326903</xdr:colOff>
      <xdr:row>21</xdr:row>
      <xdr:rowOff>9524</xdr:rowOff>
    </xdr:from>
    <xdr:to>
      <xdr:col>4</xdr:col>
      <xdr:colOff>352425</xdr:colOff>
      <xdr:row>24</xdr:row>
      <xdr:rowOff>66674</xdr:rowOff>
    </xdr:to>
    <xdr:sp macro="" textlink="">
      <xdr:nvSpPr>
        <xdr:cNvPr id="66" name="Pentagone 65">
          <a:hlinkClick xmlns:r="http://schemas.openxmlformats.org/officeDocument/2006/relationships" r:id="rId10" tooltip="ETAT-PAY-VACT"/>
        </xdr:cNvPr>
        <xdr:cNvSpPr/>
      </xdr:nvSpPr>
      <xdr:spPr>
        <a:xfrm>
          <a:off x="8029575" y="3409949"/>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حالات الدفع</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0</xdr:col>
      <xdr:colOff>12578</xdr:colOff>
      <xdr:row>20</xdr:row>
      <xdr:rowOff>152399</xdr:rowOff>
    </xdr:from>
    <xdr:to>
      <xdr:col>2</xdr:col>
      <xdr:colOff>38100</xdr:colOff>
      <xdr:row>24</xdr:row>
      <xdr:rowOff>47624</xdr:rowOff>
    </xdr:to>
    <xdr:sp macro="" textlink="">
      <xdr:nvSpPr>
        <xdr:cNvPr id="67" name="Pentagone 66">
          <a:hlinkClick xmlns:r="http://schemas.openxmlformats.org/officeDocument/2006/relationships" r:id="rId11" tooltip="MAND-PAY-VACTCMP"/>
        </xdr:cNvPr>
        <xdr:cNvSpPr/>
      </xdr:nvSpPr>
      <xdr:spPr>
        <a:xfrm>
          <a:off x="9867900" y="3390899"/>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حولات الدفع</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0</xdr:col>
      <xdr:colOff>3053</xdr:colOff>
      <xdr:row>33</xdr:row>
      <xdr:rowOff>152399</xdr:rowOff>
    </xdr:from>
    <xdr:to>
      <xdr:col>2</xdr:col>
      <xdr:colOff>28575</xdr:colOff>
      <xdr:row>37</xdr:row>
      <xdr:rowOff>47624</xdr:rowOff>
    </xdr:to>
    <xdr:sp macro="" textlink="">
      <xdr:nvSpPr>
        <xdr:cNvPr id="68" name="Pentagone 67">
          <a:hlinkClick xmlns:r="http://schemas.openxmlformats.org/officeDocument/2006/relationships" r:id="rId12" tooltip="BRD CCPVACTC"/>
        </xdr:cNvPr>
        <xdr:cNvSpPr/>
      </xdr:nvSpPr>
      <xdr:spPr>
        <a:xfrm>
          <a:off x="9877425" y="5495924"/>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baseline="0">
              <a:solidFill>
                <a:sysClr val="windowText" lastClr="000000"/>
              </a:solidFill>
              <a:latin typeface="Estrangelo Edessa" pitchFamily="66" charset="0"/>
              <a:cs typeface="Estrangelo Edessa" pitchFamily="66" charset="0"/>
            </a:rPr>
            <a:t>جداول الدفع </a:t>
          </a:r>
          <a:r>
            <a:rPr lang="fr-FR" sz="1800" b="1" baseline="0">
              <a:solidFill>
                <a:sysClr val="windowText" lastClr="000000"/>
              </a:solidFill>
              <a:latin typeface="Estrangelo Edessa" pitchFamily="66" charset="0"/>
              <a:cs typeface="Estrangelo Edessa" pitchFamily="66" charset="0"/>
            </a:rPr>
            <a:t>CCP</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2</xdr:col>
      <xdr:colOff>307853</xdr:colOff>
      <xdr:row>33</xdr:row>
      <xdr:rowOff>152399</xdr:rowOff>
    </xdr:from>
    <xdr:to>
      <xdr:col>4</xdr:col>
      <xdr:colOff>333375</xdr:colOff>
      <xdr:row>37</xdr:row>
      <xdr:rowOff>47624</xdr:rowOff>
    </xdr:to>
    <xdr:sp macro="" textlink="">
      <xdr:nvSpPr>
        <xdr:cNvPr id="69" name="Pentagone 68">
          <a:hlinkClick xmlns:r="http://schemas.openxmlformats.org/officeDocument/2006/relationships" r:id="rId13" tooltip="BRD bancairVTC"/>
        </xdr:cNvPr>
        <xdr:cNvSpPr/>
      </xdr:nvSpPr>
      <xdr:spPr>
        <a:xfrm>
          <a:off x="8048625" y="5495924"/>
          <a:ext cx="1549522" cy="542925"/>
        </a:xfrm>
        <a:prstGeom prst="homePlate">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جداول الدفع للبنوك</a:t>
          </a:r>
          <a:endParaRPr lang="fr-FR" sz="2200" b="1">
            <a:solidFill>
              <a:sysClr val="windowText" lastClr="000000"/>
            </a:solidFill>
            <a:latin typeface="Estrangelo Edessa" pitchFamily="66" charset="0"/>
            <a:cs typeface="Estrangelo Edessa" pitchFamily="66" charset="0"/>
          </a:endParaRPr>
        </a:p>
      </xdr:txBody>
    </xdr:sp>
    <xdr:clientData/>
  </xdr:twoCellAnchor>
  <xdr:twoCellAnchor>
    <xdr:from>
      <xdr:col>0</xdr:col>
      <xdr:colOff>657225</xdr:colOff>
      <xdr:row>11</xdr:row>
      <xdr:rowOff>76200</xdr:rowOff>
    </xdr:from>
    <xdr:to>
      <xdr:col>4</xdr:col>
      <xdr:colOff>57150</xdr:colOff>
      <xdr:row>20</xdr:row>
      <xdr:rowOff>19049</xdr:rowOff>
    </xdr:to>
    <xdr:sp macro="" textlink="">
      <xdr:nvSpPr>
        <xdr:cNvPr id="71" name="Soleil 70"/>
        <xdr:cNvSpPr/>
      </xdr:nvSpPr>
      <xdr:spPr>
        <a:xfrm>
          <a:off x="8324850" y="1857375"/>
          <a:ext cx="2447925" cy="1400174"/>
        </a:xfrm>
        <a:prstGeom prst="sun">
          <a:avLst>
            <a:gd name="adj" fmla="val 16285"/>
          </a:avLst>
        </a:prstGeom>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0">
          <a:schemeClr val="accent5"/>
        </a:lnRef>
        <a:fillRef idx="3">
          <a:schemeClr val="accent5"/>
        </a:fillRef>
        <a:effectRef idx="3">
          <a:schemeClr val="accent5"/>
        </a:effectRef>
        <a:fontRef idx="minor">
          <a:schemeClr val="lt1"/>
        </a:fontRef>
      </xdr:style>
      <xdr:txBody>
        <a:bodyPr rtlCol="0" anchor="ctr"/>
        <a:lstStyle/>
        <a:p>
          <a:pPr algn="ctr" rtl="1"/>
          <a:r>
            <a:rPr lang="ar-DZ" sz="2800" b="1" baseline="0">
              <a:solidFill>
                <a:sysClr val="windowText" lastClr="000000"/>
              </a:solidFill>
              <a:latin typeface="Estrangelo Edessa" pitchFamily="66" charset="0"/>
              <a:cs typeface="Estrangelo Edessa" pitchFamily="66" charset="0"/>
            </a:rPr>
            <a:t>توقيت كامل</a:t>
          </a:r>
        </a:p>
      </xdr:txBody>
    </xdr:sp>
    <xdr:clientData/>
  </xdr:twoCellAnchor>
  <xdr:twoCellAnchor>
    <xdr:from>
      <xdr:col>10</xdr:col>
      <xdr:colOff>222128</xdr:colOff>
      <xdr:row>28</xdr:row>
      <xdr:rowOff>142875</xdr:rowOff>
    </xdr:from>
    <xdr:to>
      <xdr:col>12</xdr:col>
      <xdr:colOff>247650</xdr:colOff>
      <xdr:row>32</xdr:row>
      <xdr:rowOff>38100</xdr:rowOff>
    </xdr:to>
    <xdr:sp macro="" textlink="">
      <xdr:nvSpPr>
        <xdr:cNvPr id="82" name="Pentagone 81">
          <a:hlinkClick xmlns:r="http://schemas.openxmlformats.org/officeDocument/2006/relationships" r:id="rId14" tooltip="OEUVR-SOC-VACHEUR"/>
        </xdr:cNvPr>
        <xdr:cNvSpPr/>
      </xdr:nvSpPr>
      <xdr:spPr>
        <a:xfrm>
          <a:off x="2038350" y="4676775"/>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baseline="0">
              <a:solidFill>
                <a:srgbClr val="002060"/>
              </a:solidFill>
              <a:latin typeface="Estrangelo Edessa" pitchFamily="66" charset="0"/>
              <a:cs typeface="Estrangelo Edessa" pitchFamily="66" charset="0"/>
            </a:rPr>
            <a:t>الخدمات الإجتماعية</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12</xdr:col>
      <xdr:colOff>526928</xdr:colOff>
      <xdr:row>28</xdr:row>
      <xdr:rowOff>142875</xdr:rowOff>
    </xdr:from>
    <xdr:to>
      <xdr:col>14</xdr:col>
      <xdr:colOff>552450</xdr:colOff>
      <xdr:row>32</xdr:row>
      <xdr:rowOff>38100</xdr:rowOff>
    </xdr:to>
    <xdr:sp macro="" textlink="">
      <xdr:nvSpPr>
        <xdr:cNvPr id="83" name="Pentagone 82">
          <a:hlinkClick xmlns:r="http://schemas.openxmlformats.org/officeDocument/2006/relationships" r:id="rId15" tooltip="métuel VAC-HEUR"/>
        </xdr:cNvPr>
        <xdr:cNvSpPr/>
      </xdr:nvSpPr>
      <xdr:spPr>
        <a:xfrm>
          <a:off x="209550" y="4676775"/>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a:solidFill>
                <a:srgbClr val="002060"/>
              </a:solidFill>
              <a:latin typeface="Estrangelo Edessa" pitchFamily="66" charset="0"/>
              <a:cs typeface="Estrangelo Edessa" pitchFamily="66" charset="0"/>
            </a:rPr>
            <a:t>إشتراك</a:t>
          </a:r>
          <a:r>
            <a:rPr lang="ar-DZ" sz="2200" b="1" baseline="0">
              <a:solidFill>
                <a:srgbClr val="002060"/>
              </a:solidFill>
              <a:latin typeface="Estrangelo Edessa" pitchFamily="66" charset="0"/>
              <a:cs typeface="Estrangelo Edessa" pitchFamily="66" charset="0"/>
            </a:rPr>
            <a:t> التعاضدية</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12</xdr:col>
      <xdr:colOff>526928</xdr:colOff>
      <xdr:row>22</xdr:row>
      <xdr:rowOff>0</xdr:rowOff>
    </xdr:from>
    <xdr:to>
      <xdr:col>14</xdr:col>
      <xdr:colOff>552450</xdr:colOff>
      <xdr:row>25</xdr:row>
      <xdr:rowOff>57150</xdr:rowOff>
    </xdr:to>
    <xdr:sp macro="" textlink="">
      <xdr:nvSpPr>
        <xdr:cNvPr id="87" name="Pentagone 86">
          <a:hlinkClick xmlns:r="http://schemas.openxmlformats.org/officeDocument/2006/relationships" r:id="rId16" tooltip="ETAT-PAY-VACT (2)"/>
        </xdr:cNvPr>
        <xdr:cNvSpPr/>
      </xdr:nvSpPr>
      <xdr:spPr>
        <a:xfrm>
          <a:off x="209550" y="3562350"/>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a:solidFill>
                <a:srgbClr val="002060"/>
              </a:solidFill>
              <a:latin typeface="Estrangelo Edessa" pitchFamily="66" charset="0"/>
              <a:cs typeface="Estrangelo Edessa" pitchFamily="66" charset="0"/>
            </a:rPr>
            <a:t>حالات الدفع</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10</xdr:col>
      <xdr:colOff>212603</xdr:colOff>
      <xdr:row>21</xdr:row>
      <xdr:rowOff>142875</xdr:rowOff>
    </xdr:from>
    <xdr:to>
      <xdr:col>12</xdr:col>
      <xdr:colOff>238125</xdr:colOff>
      <xdr:row>25</xdr:row>
      <xdr:rowOff>38100</xdr:rowOff>
    </xdr:to>
    <xdr:sp macro="" textlink="">
      <xdr:nvSpPr>
        <xdr:cNvPr id="88" name="Pentagone 87">
          <a:hlinkClick xmlns:r="http://schemas.openxmlformats.org/officeDocument/2006/relationships" r:id="rId17" tooltip="MAND-PAY-VCTHEUR"/>
        </xdr:cNvPr>
        <xdr:cNvSpPr/>
      </xdr:nvSpPr>
      <xdr:spPr>
        <a:xfrm>
          <a:off x="2047875" y="3543300"/>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a:solidFill>
                <a:srgbClr val="002060"/>
              </a:solidFill>
              <a:latin typeface="Estrangelo Edessa" pitchFamily="66" charset="0"/>
              <a:cs typeface="Estrangelo Edessa" pitchFamily="66" charset="0"/>
            </a:rPr>
            <a:t>حولات الدفع</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10</xdr:col>
      <xdr:colOff>203078</xdr:colOff>
      <xdr:row>35</xdr:row>
      <xdr:rowOff>85725</xdr:rowOff>
    </xdr:from>
    <xdr:to>
      <xdr:col>12</xdr:col>
      <xdr:colOff>228600</xdr:colOff>
      <xdr:row>38</xdr:row>
      <xdr:rowOff>142875</xdr:rowOff>
    </xdr:to>
    <xdr:sp macro="" textlink="">
      <xdr:nvSpPr>
        <xdr:cNvPr id="89" name="Pentagone 88">
          <a:hlinkClick xmlns:r="http://schemas.openxmlformats.org/officeDocument/2006/relationships" r:id="rId18" tooltip="BRD CCPVACHEUR"/>
        </xdr:cNvPr>
        <xdr:cNvSpPr/>
      </xdr:nvSpPr>
      <xdr:spPr>
        <a:xfrm>
          <a:off x="2057400" y="5753100"/>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baseline="0">
              <a:solidFill>
                <a:srgbClr val="002060"/>
              </a:solidFill>
              <a:latin typeface="Estrangelo Edessa" pitchFamily="66" charset="0"/>
              <a:cs typeface="Estrangelo Edessa" pitchFamily="66" charset="0"/>
            </a:rPr>
            <a:t>جداول الدفع </a:t>
          </a:r>
          <a:r>
            <a:rPr lang="fr-FR" sz="1800" b="1" baseline="0">
              <a:solidFill>
                <a:srgbClr val="002060"/>
              </a:solidFill>
              <a:latin typeface="Estrangelo Edessa" pitchFamily="66" charset="0"/>
              <a:cs typeface="Estrangelo Edessa" pitchFamily="66" charset="0"/>
            </a:rPr>
            <a:t>CCP</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12</xdr:col>
      <xdr:colOff>507878</xdr:colOff>
      <xdr:row>35</xdr:row>
      <xdr:rowOff>85725</xdr:rowOff>
    </xdr:from>
    <xdr:to>
      <xdr:col>14</xdr:col>
      <xdr:colOff>533400</xdr:colOff>
      <xdr:row>38</xdr:row>
      <xdr:rowOff>142875</xdr:rowOff>
    </xdr:to>
    <xdr:sp macro="" textlink="">
      <xdr:nvSpPr>
        <xdr:cNvPr id="90" name="Pentagone 89">
          <a:hlinkClick xmlns:r="http://schemas.openxmlformats.org/officeDocument/2006/relationships" r:id="rId19" tooltip="BRD bancaireVACHEUR"/>
        </xdr:cNvPr>
        <xdr:cNvSpPr/>
      </xdr:nvSpPr>
      <xdr:spPr>
        <a:xfrm>
          <a:off x="228600" y="5753100"/>
          <a:ext cx="1549522" cy="542925"/>
        </a:xfrm>
        <a:prstGeom prst="homePlate">
          <a:avLst/>
        </a:prstGeom>
        <a:ln>
          <a:noFill/>
        </a:ln>
        <a:effectLst>
          <a:glow rad="101600">
            <a:schemeClr val="accent4">
              <a:satMod val="175000"/>
              <a:alpha val="40000"/>
            </a:schemeClr>
          </a:glow>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200" b="1">
              <a:solidFill>
                <a:srgbClr val="002060"/>
              </a:solidFill>
              <a:latin typeface="Estrangelo Edessa" pitchFamily="66" charset="0"/>
              <a:cs typeface="Estrangelo Edessa" pitchFamily="66" charset="0"/>
            </a:rPr>
            <a:t>جداول الدفع للبنوك</a:t>
          </a:r>
          <a:endParaRPr lang="fr-FR" sz="2200" b="1">
            <a:solidFill>
              <a:srgbClr val="002060"/>
            </a:solidFill>
            <a:latin typeface="Estrangelo Edessa" pitchFamily="66" charset="0"/>
            <a:cs typeface="Estrangelo Edessa" pitchFamily="66" charset="0"/>
          </a:endParaRPr>
        </a:p>
      </xdr:txBody>
    </xdr:sp>
    <xdr:clientData/>
  </xdr:twoCellAnchor>
  <xdr:twoCellAnchor>
    <xdr:from>
      <xdr:col>11</xdr:col>
      <xdr:colOff>95250</xdr:colOff>
      <xdr:row>12</xdr:row>
      <xdr:rowOff>66676</xdr:rowOff>
    </xdr:from>
    <xdr:to>
      <xdr:col>14</xdr:col>
      <xdr:colOff>257175</xdr:colOff>
      <xdr:row>21</xdr:row>
      <xdr:rowOff>9525</xdr:rowOff>
    </xdr:to>
    <xdr:sp macro="" textlink="">
      <xdr:nvSpPr>
        <xdr:cNvPr id="92" name="Soleil 91"/>
        <xdr:cNvSpPr/>
      </xdr:nvSpPr>
      <xdr:spPr>
        <a:xfrm>
          <a:off x="504825" y="2009776"/>
          <a:ext cx="2447925" cy="1400174"/>
        </a:xfrm>
        <a:prstGeom prst="sun">
          <a:avLst>
            <a:gd name="adj" fmla="val 16285"/>
          </a:avLst>
        </a:prstGeom>
        <a:ln>
          <a:noFill/>
        </a:ln>
        <a:effectLst>
          <a:outerShdw blurRad="225425" dist="50800" dir="5220000" algn="ctr">
            <a:srgbClr val="000000">
              <a:alpha val="33000"/>
            </a:srgbClr>
          </a:outerShdw>
        </a:effectLst>
        <a:scene3d>
          <a:camera prst="perspectiveFront" fov="3300000">
            <a:rot lat="486000" lon="19530000" rev="174000"/>
          </a:camera>
          <a:lightRig rig="threePt" dir="t"/>
        </a:scene3d>
        <a:sp3d extrusionH="254000" contourW="19050" prstMaterial="metal">
          <a:bevelT w="82550" h="44450" prst="angle"/>
          <a:bevelB w="82550" h="44450" prst="angle"/>
          <a:contourClr>
            <a:srgbClr val="FFFFFF"/>
          </a:contourClr>
        </a:sp3d>
      </xdr:spPr>
      <xdr:style>
        <a:lnRef idx="1">
          <a:schemeClr val="accent4"/>
        </a:lnRef>
        <a:fillRef idx="2">
          <a:schemeClr val="accent4"/>
        </a:fillRef>
        <a:effectRef idx="1">
          <a:schemeClr val="accent4"/>
        </a:effectRef>
        <a:fontRef idx="minor">
          <a:schemeClr val="dk1"/>
        </a:fontRef>
      </xdr:style>
      <xdr:txBody>
        <a:bodyPr rtlCol="0" anchor="ctr"/>
        <a:lstStyle/>
        <a:p>
          <a:pPr algn="ctr" rtl="1"/>
          <a:r>
            <a:rPr lang="ar-DZ" sz="2800" b="1" baseline="0">
              <a:solidFill>
                <a:sysClr val="windowText" lastClr="000000"/>
              </a:solidFill>
              <a:latin typeface="Estrangelo Edessa" pitchFamily="66" charset="0"/>
              <a:cs typeface="Estrangelo Edessa" pitchFamily="66" charset="0"/>
            </a:rPr>
            <a:t>توقيت جزئي</a:t>
          </a:r>
        </a:p>
      </xdr:txBody>
    </xdr:sp>
    <xdr:clientData/>
  </xdr:twoCellAnchor>
  <xdr:twoCellAnchor>
    <xdr:from>
      <xdr:col>6</xdr:col>
      <xdr:colOff>142875</xdr:colOff>
      <xdr:row>8</xdr:row>
      <xdr:rowOff>95250</xdr:rowOff>
    </xdr:from>
    <xdr:to>
      <xdr:col>9</xdr:col>
      <xdr:colOff>161925</xdr:colOff>
      <xdr:row>16</xdr:row>
      <xdr:rowOff>114300</xdr:rowOff>
    </xdr:to>
    <xdr:sp macro="" textlink="">
      <xdr:nvSpPr>
        <xdr:cNvPr id="94" name="Organigramme : Alternative 93">
          <a:hlinkClick xmlns:r="http://schemas.openxmlformats.org/officeDocument/2006/relationships" r:id="rId20" tooltip="VAC-TCMP"/>
        </xdr:cNvPr>
        <xdr:cNvSpPr/>
      </xdr:nvSpPr>
      <xdr:spPr>
        <a:xfrm>
          <a:off x="4410075" y="1390650"/>
          <a:ext cx="2305050" cy="1314450"/>
        </a:xfrm>
        <a:prstGeom prst="flowChartAlternateProcess">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800" b="1">
              <a:latin typeface="Estrangelo Edessa" pitchFamily="66" charset="0"/>
              <a:cs typeface="Estrangelo Edessa" pitchFamily="66" charset="0"/>
            </a:rPr>
            <a:t>قاعدة</a:t>
          </a:r>
          <a:r>
            <a:rPr lang="ar-DZ" sz="2800" b="1" baseline="0">
              <a:latin typeface="Estrangelo Edessa" pitchFamily="66" charset="0"/>
              <a:cs typeface="Estrangelo Edessa" pitchFamily="66" charset="0"/>
            </a:rPr>
            <a:t> البيانات العامة للعمال المتعاقدين بالتوقيت الكامل + الجزئي</a:t>
          </a:r>
          <a:endParaRPr lang="fr-FR" sz="2800" b="1">
            <a:latin typeface="Estrangelo Edessa" pitchFamily="66" charset="0"/>
            <a:cs typeface="Estrangelo Edessa" pitchFamily="66" charset="0"/>
          </a:endParaRPr>
        </a:p>
      </xdr:txBody>
    </xdr:sp>
    <xdr:clientData/>
  </xdr:twoCellAnchor>
  <xdr:twoCellAnchor>
    <xdr:from>
      <xdr:col>6</xdr:col>
      <xdr:colOff>581025</xdr:colOff>
      <xdr:row>32</xdr:row>
      <xdr:rowOff>28576</xdr:rowOff>
    </xdr:from>
    <xdr:to>
      <xdr:col>9</xdr:col>
      <xdr:colOff>133350</xdr:colOff>
      <xdr:row>35</xdr:row>
      <xdr:rowOff>57151</xdr:rowOff>
    </xdr:to>
    <xdr:sp macro="" textlink="">
      <xdr:nvSpPr>
        <xdr:cNvPr id="95" name="Pentagone 94">
          <a:hlinkClick xmlns:r="http://schemas.openxmlformats.org/officeDocument/2006/relationships" r:id="rId21" tooltip="BRD Global"/>
        </xdr:cNvPr>
        <xdr:cNvSpPr/>
      </xdr:nvSpPr>
      <xdr:spPr>
        <a:xfrm>
          <a:off x="4438650" y="5210176"/>
          <a:ext cx="1838325" cy="514350"/>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t"/>
        <a:lstStyle/>
        <a:p>
          <a:pPr algn="ctr" rtl="1"/>
          <a:r>
            <a:rPr lang="ar-DZ" sz="2200" b="1">
              <a:solidFill>
                <a:sysClr val="windowText" lastClr="000000"/>
              </a:solidFill>
              <a:latin typeface="Estrangelo Edessa" pitchFamily="66" charset="0"/>
              <a:cs typeface="Estrangelo Edessa" pitchFamily="66" charset="0"/>
            </a:rPr>
            <a:t>جدول</a:t>
          </a:r>
          <a:r>
            <a:rPr lang="ar-DZ" sz="2200" b="1" baseline="0">
              <a:solidFill>
                <a:sysClr val="windowText" lastClr="000000"/>
              </a:solidFill>
              <a:latin typeface="Estrangelo Edessa" pitchFamily="66" charset="0"/>
              <a:cs typeface="Estrangelo Edessa" pitchFamily="66" charset="0"/>
            </a:rPr>
            <a:t> إرسال الحوالات</a:t>
          </a:r>
          <a:endParaRPr lang="fr-FR" sz="2200" b="1">
            <a:solidFill>
              <a:sysClr val="windowText" lastClr="000000"/>
            </a:solidFill>
            <a:latin typeface="Estrangelo Edessa" pitchFamily="66" charset="0"/>
            <a:cs typeface="Estrangelo Edessa" pitchFamily="66" charset="0"/>
          </a:endParaRPr>
        </a:p>
      </xdr:txBody>
    </xdr:sp>
    <xdr:clientData/>
  </xdr:twoCellAnchor>
  <xdr:oneCellAnchor>
    <xdr:from>
      <xdr:col>5</xdr:col>
      <xdr:colOff>533400</xdr:colOff>
      <xdr:row>0</xdr:row>
      <xdr:rowOff>0</xdr:rowOff>
    </xdr:from>
    <xdr:ext cx="2886075" cy="493853"/>
    <xdr:sp macro="" textlink="">
      <xdr:nvSpPr>
        <xdr:cNvPr id="31" name="Rectangle 30"/>
        <xdr:cNvSpPr/>
      </xdr:nvSpPr>
      <xdr:spPr>
        <a:xfrm>
          <a:off x="4200525" y="0"/>
          <a:ext cx="2886075" cy="493853"/>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ar-DZ" sz="2800" b="1" u="sng"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rPr>
            <a:t>مديرية ............لولاية</a:t>
          </a:r>
          <a:r>
            <a:rPr lang="ar-DZ" sz="2800" b="1" u="sng"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rPr>
            <a:t> ......</a:t>
          </a:r>
          <a:endParaRPr lang="fr-FR" sz="2800" b="1" u="sng"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Estrangelo Edessa" pitchFamily="66" charset="0"/>
            <a:cs typeface="Estrangelo Edessa" pitchFamily="66" charset="0"/>
          </a:endParaRPr>
        </a:p>
      </xdr:txBody>
    </xdr:sp>
    <xdr:clientData/>
  </xdr:oneCellAnchor>
  <xdr:twoCellAnchor>
    <xdr:from>
      <xdr:col>6</xdr:col>
      <xdr:colOff>733426</xdr:colOff>
      <xdr:row>17</xdr:row>
      <xdr:rowOff>9525</xdr:rowOff>
    </xdr:from>
    <xdr:to>
      <xdr:col>8</xdr:col>
      <xdr:colOff>647701</xdr:colOff>
      <xdr:row>22</xdr:row>
      <xdr:rowOff>57150</xdr:rowOff>
    </xdr:to>
    <xdr:sp macro="" textlink="">
      <xdr:nvSpPr>
        <xdr:cNvPr id="29" name="Organigramme : Alternative 28">
          <a:hlinkClick xmlns:r="http://schemas.openxmlformats.org/officeDocument/2006/relationships" r:id="rId22" tooltip="BRD-Titr-PRS-VAC"/>
        </xdr:cNvPr>
        <xdr:cNvSpPr/>
      </xdr:nvSpPr>
      <xdr:spPr>
        <a:xfrm>
          <a:off x="4686299" y="2762250"/>
          <a:ext cx="1438275" cy="857250"/>
        </a:xfrm>
        <a:prstGeom prst="flowChartAlternateProcess">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سند</a:t>
          </a:r>
          <a:r>
            <a:rPr lang="ar-DZ" sz="2000" b="1" baseline="0">
              <a:latin typeface="Estrangelo Edessa" pitchFamily="66" charset="0"/>
              <a:cs typeface="Estrangelo Edessa" pitchFamily="66" charset="0"/>
            </a:rPr>
            <a:t> + إشعار +جدول التحصيل</a:t>
          </a:r>
          <a:endParaRPr lang="fr-FR" sz="2000" b="1">
            <a:latin typeface="Estrangelo Edessa" pitchFamily="66" charset="0"/>
            <a:cs typeface="Estrangelo Edessa" pitchFamily="66" charset="0"/>
          </a:endParaRPr>
        </a:p>
      </xdr:txBody>
    </xdr:sp>
    <xdr:clientData/>
  </xdr:twoCellAnchor>
  <xdr:twoCellAnchor>
    <xdr:from>
      <xdr:col>7</xdr:col>
      <xdr:colOff>19050</xdr:colOff>
      <xdr:row>36</xdr:row>
      <xdr:rowOff>9526</xdr:rowOff>
    </xdr:from>
    <xdr:to>
      <xdr:col>9</xdr:col>
      <xdr:colOff>333375</xdr:colOff>
      <xdr:row>39</xdr:row>
      <xdr:rowOff>38101</xdr:rowOff>
    </xdr:to>
    <xdr:sp macro="" textlink="">
      <xdr:nvSpPr>
        <xdr:cNvPr id="32" name="Pentagone 31">
          <a:hlinkClick xmlns:r="http://schemas.openxmlformats.org/officeDocument/2006/relationships" r:id="rId23" tooltip="avi vir VAC"/>
        </xdr:cNvPr>
        <xdr:cNvSpPr/>
      </xdr:nvSpPr>
      <xdr:spPr>
        <a:xfrm>
          <a:off x="4238625" y="5838826"/>
          <a:ext cx="1838325" cy="514350"/>
        </a:xfrm>
        <a:prstGeom prst="homePlate">
          <a:avLst/>
        </a:prstGeom>
        <a:ln>
          <a:noFill/>
        </a:ln>
        <a:effectLst>
          <a:outerShdw blurRad="127000" dist="38100" dir="2700000" algn="ctr">
            <a:srgbClr val="000000">
              <a:alpha val="45000"/>
            </a:srgbClr>
          </a:outerShdw>
        </a:effectLst>
        <a:scene3d>
          <a:camera prst="perspectiveFront" fov="2700000">
            <a:rot lat="20376000" lon="1938000" rev="20112001"/>
          </a:camera>
          <a:lightRig rig="freezing" dir="t"/>
        </a:scene3d>
        <a:sp3d prstMaterial="translucentPowder">
          <a:bevelT w="203200" h="50800" prst="softRound"/>
        </a:sp3d>
      </xdr:spPr>
      <xdr:style>
        <a:lnRef idx="1">
          <a:schemeClr val="dk1"/>
        </a:lnRef>
        <a:fillRef idx="2">
          <a:schemeClr val="dk1"/>
        </a:fillRef>
        <a:effectRef idx="1">
          <a:schemeClr val="dk1"/>
        </a:effectRef>
        <a:fontRef idx="minor">
          <a:schemeClr val="dk1"/>
        </a:fontRef>
      </xdr:style>
      <xdr:txBody>
        <a:bodyPr rtlCol="0" anchor="t"/>
        <a:lstStyle/>
        <a:p>
          <a:pPr algn="ctr" rtl="1"/>
          <a:r>
            <a:rPr lang="fr-FR" sz="1800" b="1">
              <a:solidFill>
                <a:sysClr val="windowText" lastClr="000000"/>
              </a:solidFill>
              <a:latin typeface="Estrangelo Edessa" pitchFamily="66" charset="0"/>
              <a:cs typeface="Estrangelo Edessa" pitchFamily="66" charset="0"/>
            </a:rPr>
            <a:t>les Avis de Virement</a:t>
          </a:r>
        </a:p>
      </xdr:txBody>
    </xdr:sp>
    <xdr:clientData/>
  </xdr:twoCellAnchor>
  <xdr:twoCellAnchor>
    <xdr:from>
      <xdr:col>0</xdr:col>
      <xdr:colOff>371475</xdr:colOff>
      <xdr:row>1</xdr:row>
      <xdr:rowOff>19050</xdr:rowOff>
    </xdr:from>
    <xdr:to>
      <xdr:col>1</xdr:col>
      <xdr:colOff>704851</xdr:colOff>
      <xdr:row>4</xdr:row>
      <xdr:rowOff>123823</xdr:rowOff>
    </xdr:to>
    <xdr:sp macro="" textlink="">
      <xdr:nvSpPr>
        <xdr:cNvPr id="33" name="Parchemin horizontal 32"/>
        <xdr:cNvSpPr/>
      </xdr:nvSpPr>
      <xdr:spPr>
        <a:xfrm>
          <a:off x="9963149" y="180975"/>
          <a:ext cx="1095376" cy="590548"/>
        </a:xfrm>
        <a:prstGeom prst="horizontalScroll">
          <a:avLst/>
        </a:prstGeom>
        <a:effectLst>
          <a:innerShdw blurRad="114300">
            <a:prstClr val="black"/>
          </a:innerShdw>
        </a:effectLst>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latin typeface="Estrangelo Edessa" pitchFamily="66" charset="0"/>
              <a:cs typeface="Estrangelo Edessa" pitchFamily="66" charset="0"/>
            </a:rPr>
            <a:t>لطفي بوشوك </a:t>
          </a:r>
          <a:endParaRPr lang="fr-FR" sz="2000" b="1">
            <a:latin typeface="Estrangelo Edessa" pitchFamily="66" charset="0"/>
            <a:cs typeface="Estrangelo Edessa" pitchFamily="66"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117230</xdr:colOff>
      <xdr:row>0</xdr:row>
      <xdr:rowOff>131885</xdr:rowOff>
    </xdr:from>
    <xdr:to>
      <xdr:col>8</xdr:col>
      <xdr:colOff>152399</xdr:colOff>
      <xdr:row>4</xdr:row>
      <xdr:rowOff>37368</xdr:rowOff>
    </xdr:to>
    <xdr:sp macro="" textlink="">
      <xdr:nvSpPr>
        <xdr:cNvPr id="3" name="Flèche droite à entaille 2">
          <a:hlinkClick xmlns:r="http://schemas.openxmlformats.org/officeDocument/2006/relationships" r:id="rId1" tooltip="الفرعية2"/>
        </xdr:cNvPr>
        <xdr:cNvSpPr/>
      </xdr:nvSpPr>
      <xdr:spPr>
        <a:xfrm>
          <a:off x="12479084966" y="131885"/>
          <a:ext cx="1676400" cy="92392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695325</xdr:colOff>
      <xdr:row>11</xdr:row>
      <xdr:rowOff>0</xdr:rowOff>
    </xdr:from>
    <xdr:to>
      <xdr:col>4</xdr:col>
      <xdr:colOff>695325</xdr:colOff>
      <xdr:row>11</xdr:row>
      <xdr:rowOff>561975</xdr:rowOff>
    </xdr:to>
    <xdr:sp macro="" textlink="">
      <xdr:nvSpPr>
        <xdr:cNvPr id="2" name="Line 4"/>
        <xdr:cNvSpPr>
          <a:spLocks noChangeShapeType="1"/>
        </xdr:cNvSpPr>
      </xdr:nvSpPr>
      <xdr:spPr bwMode="auto">
        <a:xfrm>
          <a:off x="12482293425" y="3581400"/>
          <a:ext cx="0" cy="419100"/>
        </a:xfrm>
        <a:prstGeom prst="line">
          <a:avLst/>
        </a:prstGeom>
        <a:noFill/>
        <a:ln w="9525">
          <a:solidFill>
            <a:srgbClr val="000000"/>
          </a:solidFill>
          <a:round/>
          <a:headEnd/>
          <a:tailEnd/>
        </a:ln>
      </xdr:spPr>
    </xdr:sp>
    <xdr:clientData/>
  </xdr:twoCellAnchor>
  <xdr:twoCellAnchor>
    <xdr:from>
      <xdr:col>4</xdr:col>
      <xdr:colOff>28575</xdr:colOff>
      <xdr:row>10</xdr:row>
      <xdr:rowOff>9525</xdr:rowOff>
    </xdr:from>
    <xdr:to>
      <xdr:col>4</xdr:col>
      <xdr:colOff>676275</xdr:colOff>
      <xdr:row>10</xdr:row>
      <xdr:rowOff>342900</xdr:rowOff>
    </xdr:to>
    <xdr:sp macro="" textlink="">
      <xdr:nvSpPr>
        <xdr:cNvPr id="3" name="Text Box 6"/>
        <xdr:cNvSpPr txBox="1">
          <a:spLocks noChangeArrowheads="1"/>
        </xdr:cNvSpPr>
      </xdr:nvSpPr>
      <xdr:spPr bwMode="auto">
        <a:xfrm>
          <a:off x="12482312475" y="3209925"/>
          <a:ext cx="647700" cy="333375"/>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الرقم</a:t>
          </a:r>
        </a:p>
      </xdr:txBody>
    </xdr:sp>
    <xdr:clientData/>
  </xdr:twoCellAnchor>
  <xdr:twoCellAnchor>
    <xdr:from>
      <xdr:col>4</xdr:col>
      <xdr:colOff>695325</xdr:colOff>
      <xdr:row>10</xdr:row>
      <xdr:rowOff>9525</xdr:rowOff>
    </xdr:from>
    <xdr:to>
      <xdr:col>4</xdr:col>
      <xdr:colOff>695325</xdr:colOff>
      <xdr:row>11</xdr:row>
      <xdr:rowOff>9525</xdr:rowOff>
    </xdr:to>
    <xdr:sp macro="" textlink="">
      <xdr:nvSpPr>
        <xdr:cNvPr id="4" name="Line 11"/>
        <xdr:cNvSpPr>
          <a:spLocks noChangeShapeType="1"/>
        </xdr:cNvSpPr>
      </xdr:nvSpPr>
      <xdr:spPr bwMode="auto">
        <a:xfrm>
          <a:off x="12482293425" y="3209925"/>
          <a:ext cx="0" cy="381000"/>
        </a:xfrm>
        <a:prstGeom prst="line">
          <a:avLst/>
        </a:prstGeom>
        <a:noFill/>
        <a:ln w="9525">
          <a:solidFill>
            <a:srgbClr val="000000"/>
          </a:solidFill>
          <a:round/>
          <a:headEnd/>
          <a:tailEnd/>
        </a:ln>
      </xdr:spPr>
    </xdr:sp>
    <xdr:clientData/>
  </xdr:twoCellAnchor>
  <xdr:twoCellAnchor>
    <xdr:from>
      <xdr:col>4</xdr:col>
      <xdr:colOff>655152</xdr:colOff>
      <xdr:row>10</xdr:row>
      <xdr:rowOff>28575</xdr:rowOff>
    </xdr:from>
    <xdr:to>
      <xdr:col>4</xdr:col>
      <xdr:colOff>1893402</xdr:colOff>
      <xdr:row>10</xdr:row>
      <xdr:rowOff>295275</xdr:rowOff>
    </xdr:to>
    <xdr:sp macro="" textlink="">
      <xdr:nvSpPr>
        <xdr:cNvPr id="5" name="Text Box 12"/>
        <xdr:cNvSpPr txBox="1">
          <a:spLocks noChangeArrowheads="1"/>
        </xdr:cNvSpPr>
      </xdr:nvSpPr>
      <xdr:spPr bwMode="auto">
        <a:xfrm>
          <a:off x="12481095348" y="3228975"/>
          <a:ext cx="1238250" cy="266700"/>
        </a:xfrm>
        <a:prstGeom prst="rect">
          <a:avLst/>
        </a:prstGeom>
        <a:noFill/>
        <a:ln w="9525">
          <a:noFill/>
          <a:miter lim="800000"/>
          <a:headEnd/>
          <a:tailEnd/>
        </a:ln>
      </xdr:spPr>
      <xdr:txBody>
        <a:bodyPr vertOverflow="clip" wrap="square" lIns="0" tIns="27432" rIns="36576" bIns="0" anchor="t" upright="1"/>
        <a:lstStyle/>
        <a:p>
          <a:pPr algn="r" rtl="0">
            <a:defRPr sz="1000"/>
          </a:pPr>
          <a:r>
            <a:rPr lang="ar-DZ" sz="1400" b="0" i="0" strike="noStrike">
              <a:solidFill>
                <a:srgbClr val="000000"/>
              </a:solidFill>
              <a:latin typeface="Arial"/>
              <a:cs typeface="Arial"/>
            </a:rPr>
            <a:t>التاريـــخ :</a:t>
          </a:r>
        </a:p>
      </xdr:txBody>
    </xdr:sp>
    <xdr:clientData/>
  </xdr:twoCellAnchor>
  <xdr:twoCellAnchor>
    <xdr:from>
      <xdr:col>5</xdr:col>
      <xdr:colOff>99392</xdr:colOff>
      <xdr:row>0</xdr:row>
      <xdr:rowOff>8282</xdr:rowOff>
    </xdr:from>
    <xdr:to>
      <xdr:col>8</xdr:col>
      <xdr:colOff>323022</xdr:colOff>
      <xdr:row>3</xdr:row>
      <xdr:rowOff>223630</xdr:rowOff>
    </xdr:to>
    <xdr:sp macro="" textlink="">
      <xdr:nvSpPr>
        <xdr:cNvPr id="6" name="Flèche droite à entaille 5">
          <a:hlinkClick xmlns:r="http://schemas.openxmlformats.org/officeDocument/2006/relationships" r:id="rId1" tooltip="الفرعية2"/>
        </xdr:cNvPr>
        <xdr:cNvSpPr/>
      </xdr:nvSpPr>
      <xdr:spPr>
        <a:xfrm>
          <a:off x="12478950978" y="8282"/>
          <a:ext cx="1861930" cy="107259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5</xdr:col>
      <xdr:colOff>74546</xdr:colOff>
      <xdr:row>4</xdr:row>
      <xdr:rowOff>16565</xdr:rowOff>
    </xdr:from>
    <xdr:to>
      <xdr:col>8</xdr:col>
      <xdr:colOff>281610</xdr:colOff>
      <xdr:row>6</xdr:row>
      <xdr:rowOff>177040</xdr:rowOff>
    </xdr:to>
    <xdr:sp macro="" textlink="">
      <xdr:nvSpPr>
        <xdr:cNvPr id="7" name="Flèche droite à entaille 6">
          <a:hlinkClick xmlns:r="http://schemas.openxmlformats.org/officeDocument/2006/relationships" r:id="rId2" tooltip="ورقة العمل"/>
        </xdr:cNvPr>
        <xdr:cNvSpPr/>
      </xdr:nvSpPr>
      <xdr:spPr>
        <a:xfrm>
          <a:off x="12478992390" y="1130990"/>
          <a:ext cx="1845364" cy="115107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1600" b="1">
              <a:latin typeface="Estrangelo Edessa" pitchFamily="66" charset="0"/>
              <a:cs typeface="Estrangelo Edessa" pitchFamily="66" charset="0"/>
            </a:rPr>
            <a:t>الإنتقال إلى ورقة العمل للتدقيق و التحقق</a:t>
          </a:r>
          <a:endParaRPr lang="fr-FR" sz="1600" b="1">
            <a:latin typeface="Estrangelo Edessa" pitchFamily="66" charset="0"/>
            <a:cs typeface="Estrangelo Edessa" pitchFamily="66"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467589</xdr:colOff>
      <xdr:row>32</xdr:row>
      <xdr:rowOff>69274</xdr:rowOff>
    </xdr:from>
    <xdr:to>
      <xdr:col>24</xdr:col>
      <xdr:colOff>503324</xdr:colOff>
      <xdr:row>38</xdr:row>
      <xdr:rowOff>703552</xdr:rowOff>
    </xdr:to>
    <xdr:sp macro="" textlink="">
      <xdr:nvSpPr>
        <xdr:cNvPr id="2" name="Flèche droite à entaille 1">
          <a:hlinkClick xmlns:r="http://schemas.openxmlformats.org/officeDocument/2006/relationships" r:id="rId1" tooltip="الفرعية2"/>
        </xdr:cNvPr>
        <xdr:cNvSpPr/>
      </xdr:nvSpPr>
      <xdr:spPr>
        <a:xfrm>
          <a:off x="7151312" y="13542819"/>
          <a:ext cx="4157462" cy="2452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3200" b="1">
              <a:solidFill>
                <a:srgbClr val="002060"/>
              </a:solidFill>
            </a:rPr>
            <a:t>العودة إلى</a:t>
          </a:r>
          <a:r>
            <a:rPr lang="ar-DZ" sz="3200" b="1" baseline="0">
              <a:solidFill>
                <a:srgbClr val="002060"/>
              </a:solidFill>
            </a:rPr>
            <a:t> واجهة العمال المتعاقدين</a:t>
          </a:r>
          <a:endParaRPr lang="fr-FR" sz="3200" b="1">
            <a:solidFill>
              <a:srgbClr val="00206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555625</xdr:colOff>
      <xdr:row>3</xdr:row>
      <xdr:rowOff>111124</xdr:rowOff>
    </xdr:from>
    <xdr:to>
      <xdr:col>15</xdr:col>
      <xdr:colOff>476250</xdr:colOff>
      <xdr:row>9</xdr:row>
      <xdr:rowOff>273326</xdr:rowOff>
    </xdr:to>
    <xdr:sp macro="" textlink="">
      <xdr:nvSpPr>
        <xdr:cNvPr id="2" name="Flèche droite à entaille 1">
          <a:hlinkClick xmlns:r="http://schemas.openxmlformats.org/officeDocument/2006/relationships" r:id="rId1" tooltip="الفرعية2"/>
        </xdr:cNvPr>
        <xdr:cNvSpPr/>
      </xdr:nvSpPr>
      <xdr:spPr>
        <a:xfrm>
          <a:off x="3333750" y="1055341"/>
          <a:ext cx="2421973" cy="1520550"/>
        </a:xfrm>
        <a:prstGeom prst="notchedRightArrow">
          <a:avLst>
            <a:gd name="adj1" fmla="val 51090"/>
            <a:gd name="adj2" fmla="val 5000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solidFill>
                <a:srgbClr val="002060"/>
              </a:solidFill>
            </a:rPr>
            <a:t>العودة إلى</a:t>
          </a:r>
          <a:r>
            <a:rPr lang="ar-DZ" sz="2000" b="1" baseline="0">
              <a:solidFill>
                <a:srgbClr val="002060"/>
              </a:solidFill>
            </a:rPr>
            <a:t> واجهة العمال المتعاقدين</a:t>
          </a:r>
          <a:endParaRPr lang="fr-FR" sz="2000" b="1">
            <a:solidFill>
              <a:srgbClr val="002060"/>
            </a:solidFill>
          </a:endParaRPr>
        </a:p>
      </xdr:txBody>
    </xdr:sp>
    <xdr:clientData/>
  </xdr:twoCellAnchor>
  <xdr:twoCellAnchor>
    <xdr:from>
      <xdr:col>13</xdr:col>
      <xdr:colOff>804792</xdr:colOff>
      <xdr:row>9</xdr:row>
      <xdr:rowOff>282989</xdr:rowOff>
    </xdr:from>
    <xdr:to>
      <xdr:col>15</xdr:col>
      <xdr:colOff>629475</xdr:colOff>
      <xdr:row>13</xdr:row>
      <xdr:rowOff>223630</xdr:rowOff>
    </xdr:to>
    <xdr:sp macro="" textlink="">
      <xdr:nvSpPr>
        <xdr:cNvPr id="3" name="Flèche gauche 2">
          <a:hlinkClick xmlns:r="http://schemas.openxmlformats.org/officeDocument/2006/relationships" r:id="rId2" tooltip="BRD-Titr-PERS-VAC"/>
        </xdr:cNvPr>
        <xdr:cNvSpPr/>
      </xdr:nvSpPr>
      <xdr:spPr>
        <a:xfrm>
          <a:off x="3180525" y="2585554"/>
          <a:ext cx="2326031" cy="1133337"/>
        </a:xfrm>
        <a:prstGeom prst="leftArrow">
          <a:avLst>
            <a:gd name="adj1" fmla="val 67948"/>
            <a:gd name="adj2" fmla="val 67949"/>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rtlCol="0" anchor="ctr"/>
        <a:lstStyle/>
        <a:p>
          <a:pPr algn="ctr" rtl="1"/>
          <a:r>
            <a:rPr lang="ar-DZ" sz="3200" b="1" baseline="0">
              <a:latin typeface="Estrangelo Edessa" pitchFamily="66" charset="0"/>
              <a:cs typeface="Estrangelo Edessa" pitchFamily="66" charset="0"/>
            </a:rPr>
            <a:t>العودة إلى جدول التحصيل</a:t>
          </a:r>
          <a:endParaRPr lang="fr-FR" sz="3200" b="1">
            <a:latin typeface="Estrangelo Edessa" pitchFamily="66" charset="0"/>
            <a:cs typeface="Estrangelo Edessa" pitchFamily="66"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1428750</xdr:colOff>
      <xdr:row>0</xdr:row>
      <xdr:rowOff>0</xdr:rowOff>
    </xdr:from>
    <xdr:to>
      <xdr:col>3</xdr:col>
      <xdr:colOff>1143000</xdr:colOff>
      <xdr:row>2</xdr:row>
      <xdr:rowOff>381000</xdr:rowOff>
    </xdr:to>
    <xdr:sp macro="" textlink="">
      <xdr:nvSpPr>
        <xdr:cNvPr id="2" name="Flèche droite à entaille 1">
          <a:hlinkClick xmlns:r="http://schemas.openxmlformats.org/officeDocument/2006/relationships" r:id="rId1" tooltip="الفرعية2"/>
        </xdr:cNvPr>
        <xdr:cNvSpPr/>
      </xdr:nvSpPr>
      <xdr:spPr>
        <a:xfrm>
          <a:off x="12487592500" y="0"/>
          <a:ext cx="2587625" cy="12382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2000" b="1">
              <a:solidFill>
                <a:srgbClr val="002060"/>
              </a:solidFill>
            </a:rPr>
            <a:t>العودة إلى</a:t>
          </a:r>
          <a:r>
            <a:rPr lang="ar-DZ" sz="2000" b="1" baseline="0">
              <a:solidFill>
                <a:srgbClr val="002060"/>
              </a:solidFill>
            </a:rPr>
            <a:t> واجهة العمال المتعاقدين</a:t>
          </a:r>
          <a:endParaRPr lang="fr-FR" sz="2000" b="1">
            <a:solidFill>
              <a:srgbClr val="002060"/>
            </a:solidFill>
          </a:endParaRPr>
        </a:p>
      </xdr:txBody>
    </xdr:sp>
    <xdr:clientData/>
  </xdr:twoCellAnchor>
  <xdr:twoCellAnchor>
    <xdr:from>
      <xdr:col>3</xdr:col>
      <xdr:colOff>4333875</xdr:colOff>
      <xdr:row>0</xdr:row>
      <xdr:rowOff>0</xdr:rowOff>
    </xdr:from>
    <xdr:to>
      <xdr:col>4</xdr:col>
      <xdr:colOff>1206500</xdr:colOff>
      <xdr:row>2</xdr:row>
      <xdr:rowOff>381000</xdr:rowOff>
    </xdr:to>
    <xdr:sp macro="" textlink="">
      <xdr:nvSpPr>
        <xdr:cNvPr id="3" name="Flèche gauche 2">
          <a:hlinkClick xmlns:r="http://schemas.openxmlformats.org/officeDocument/2006/relationships" r:id="rId2" tooltip="Titre-PRS-VAC"/>
        </xdr:cNvPr>
        <xdr:cNvSpPr/>
      </xdr:nvSpPr>
      <xdr:spPr>
        <a:xfrm>
          <a:off x="12481306000" y="0"/>
          <a:ext cx="3095625" cy="1238250"/>
        </a:xfrm>
        <a:prstGeom prst="leftArrow">
          <a:avLst>
            <a:gd name="adj1" fmla="val 67948"/>
            <a:gd name="adj2" fmla="val 67949"/>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rtlCol="0" anchor="ctr"/>
        <a:lstStyle/>
        <a:p>
          <a:pPr algn="ctr" rtl="1"/>
          <a:r>
            <a:rPr lang="ar-DZ" sz="3200" b="1">
              <a:latin typeface="Estrangelo Edessa" pitchFamily="66" charset="0"/>
              <a:cs typeface="Estrangelo Edessa" pitchFamily="66" charset="0"/>
            </a:rPr>
            <a:t>الإنتقال</a:t>
          </a:r>
          <a:r>
            <a:rPr lang="ar-DZ" sz="3200" b="1" baseline="0">
              <a:latin typeface="Estrangelo Edessa" pitchFamily="66" charset="0"/>
              <a:cs typeface="Estrangelo Edessa" pitchFamily="66" charset="0"/>
            </a:rPr>
            <a:t> إلى سندات وإشعارات التحصيل</a:t>
          </a:r>
          <a:endParaRPr lang="fr-FR" sz="3200" b="1">
            <a:latin typeface="Estrangelo Edessa" pitchFamily="66" charset="0"/>
            <a:cs typeface="Estrangelo Edessa" pitchFamily="66"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609600</xdr:colOff>
      <xdr:row>0</xdr:row>
      <xdr:rowOff>1</xdr:rowOff>
    </xdr:from>
    <xdr:to>
      <xdr:col>4</xdr:col>
      <xdr:colOff>390020</xdr:colOff>
      <xdr:row>0</xdr:row>
      <xdr:rowOff>723901</xdr:rowOff>
    </xdr:to>
    <xdr:sp macro="" textlink="">
      <xdr:nvSpPr>
        <xdr:cNvPr id="2" name="Flèche droite à entaille 1">
          <a:hlinkClick xmlns:r="http://schemas.openxmlformats.org/officeDocument/2006/relationships" r:id="rId1"/>
        </xdr:cNvPr>
        <xdr:cNvSpPr/>
      </xdr:nvSpPr>
      <xdr:spPr>
        <a:xfrm>
          <a:off x="12501743980" y="1"/>
          <a:ext cx="1666370" cy="7239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1400" b="1">
              <a:latin typeface="Times New Roman" pitchFamily="18" charset="0"/>
              <a:cs typeface="Times New Roman" pitchFamily="18" charset="0"/>
            </a:rPr>
            <a:t>العودة</a:t>
          </a:r>
          <a:r>
            <a:rPr lang="ar-DZ" sz="1400" b="1" baseline="0">
              <a:latin typeface="Times New Roman" pitchFamily="18" charset="0"/>
              <a:cs typeface="Times New Roman" pitchFamily="18" charset="0"/>
            </a:rPr>
            <a:t> إلى واجهة العمال الدائمين</a:t>
          </a:r>
          <a:endParaRPr lang="fr-FR" sz="1400" b="1">
            <a:latin typeface="Times New Roman" pitchFamily="18" charset="0"/>
            <a:cs typeface="Times New Roman" pitchFamily="18" charset="0"/>
          </a:endParaRPr>
        </a:p>
      </xdr:txBody>
    </xdr:sp>
    <xdr:clientData/>
  </xdr:twoCellAnchor>
  <xdr:twoCellAnchor>
    <xdr:from>
      <xdr:col>25</xdr:col>
      <xdr:colOff>1343026</xdr:colOff>
      <xdr:row>14</xdr:row>
      <xdr:rowOff>0</xdr:rowOff>
    </xdr:from>
    <xdr:to>
      <xdr:col>27</xdr:col>
      <xdr:colOff>552450</xdr:colOff>
      <xdr:row>19</xdr:row>
      <xdr:rowOff>85725</xdr:rowOff>
    </xdr:to>
    <xdr:sp macro="" textlink="">
      <xdr:nvSpPr>
        <xdr:cNvPr id="3" name="Flèche droite à entaille 2">
          <a:hlinkClick xmlns:r="http://schemas.openxmlformats.org/officeDocument/2006/relationships" r:id="rId2"/>
        </xdr:cNvPr>
        <xdr:cNvSpPr/>
      </xdr:nvSpPr>
      <xdr:spPr>
        <a:xfrm>
          <a:off x="12473682825" y="3867150"/>
          <a:ext cx="2171699" cy="12763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1600" b="1">
              <a:latin typeface="Times New Roman" pitchFamily="18" charset="0"/>
              <a:cs typeface="Times New Roman" pitchFamily="18" charset="0"/>
            </a:rPr>
            <a:t>العودة</a:t>
          </a:r>
          <a:r>
            <a:rPr lang="ar-DZ" sz="1600" b="1" baseline="0">
              <a:latin typeface="Times New Roman" pitchFamily="18" charset="0"/>
              <a:cs typeface="Times New Roman" pitchFamily="18" charset="0"/>
            </a:rPr>
            <a:t> إلى واجهة العمال الدائمين</a:t>
          </a:r>
          <a:endParaRPr lang="fr-FR" sz="1600" b="1">
            <a:latin typeface="Times New Roman" pitchFamily="18" charset="0"/>
            <a:cs typeface="Times New Roman" pitchFamily="18" charset="0"/>
          </a:endParaRPr>
        </a:p>
      </xdr:txBody>
    </xdr:sp>
    <xdr:clientData/>
  </xdr:twoCellAnchor>
  <xdr:twoCellAnchor>
    <xdr:from>
      <xdr:col>12</xdr:col>
      <xdr:colOff>666750</xdr:colOff>
      <xdr:row>0</xdr:row>
      <xdr:rowOff>0</xdr:rowOff>
    </xdr:from>
    <xdr:to>
      <xdr:col>13</xdr:col>
      <xdr:colOff>276225</xdr:colOff>
      <xdr:row>1</xdr:row>
      <xdr:rowOff>66675</xdr:rowOff>
    </xdr:to>
    <xdr:sp macro="" textlink="">
      <xdr:nvSpPr>
        <xdr:cNvPr id="4" name="Flèche droite à entaille 3">
          <a:hlinkClick xmlns:r="http://schemas.openxmlformats.org/officeDocument/2006/relationships" r:id="rId3"/>
        </xdr:cNvPr>
        <xdr:cNvSpPr/>
      </xdr:nvSpPr>
      <xdr:spPr>
        <a:xfrm>
          <a:off x="12490065825" y="0"/>
          <a:ext cx="1781175" cy="80962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28</xdr:col>
      <xdr:colOff>1295400</xdr:colOff>
      <xdr:row>14</xdr:row>
      <xdr:rowOff>19050</xdr:rowOff>
    </xdr:from>
    <xdr:to>
      <xdr:col>30</xdr:col>
      <xdr:colOff>257175</xdr:colOff>
      <xdr:row>19</xdr:row>
      <xdr:rowOff>142875</xdr:rowOff>
    </xdr:to>
    <xdr:sp macro="" textlink="">
      <xdr:nvSpPr>
        <xdr:cNvPr id="5" name="Flèche droite à entaille 4">
          <a:hlinkClick xmlns:r="http://schemas.openxmlformats.org/officeDocument/2006/relationships" r:id="rId4"/>
        </xdr:cNvPr>
        <xdr:cNvSpPr/>
      </xdr:nvSpPr>
      <xdr:spPr>
        <a:xfrm>
          <a:off x="12469396575" y="3886200"/>
          <a:ext cx="1990725" cy="13144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600" b="1">
              <a:solidFill>
                <a:srgbClr val="002060"/>
              </a:solidFill>
            </a:rPr>
            <a:t>العودة إلى</a:t>
          </a:r>
          <a:r>
            <a:rPr lang="ar-DZ" sz="1600" b="1" baseline="0">
              <a:solidFill>
                <a:srgbClr val="002060"/>
              </a:solidFill>
            </a:rPr>
            <a:t> واجهة العمال المتعاقدين</a:t>
          </a:r>
          <a:endParaRPr lang="fr-FR" sz="1600" b="1">
            <a:solidFill>
              <a:srgbClr val="00206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571500</xdr:colOff>
      <xdr:row>0</xdr:row>
      <xdr:rowOff>67237</xdr:rowOff>
    </xdr:from>
    <xdr:to>
      <xdr:col>14</xdr:col>
      <xdr:colOff>235323</xdr:colOff>
      <xdr:row>7</xdr:row>
      <xdr:rowOff>67236</xdr:rowOff>
    </xdr:to>
    <xdr:sp macro="" textlink="">
      <xdr:nvSpPr>
        <xdr:cNvPr id="2" name="Flèche droite rayée 1">
          <a:hlinkClick xmlns:r="http://schemas.openxmlformats.org/officeDocument/2006/relationships" r:id="rId1" tooltip="الرئيسية"/>
        </xdr:cNvPr>
        <xdr:cNvSpPr/>
      </xdr:nvSpPr>
      <xdr:spPr>
        <a:xfrm>
          <a:off x="12473704677" y="67237"/>
          <a:ext cx="2711823" cy="1423146"/>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2000" b="1">
              <a:solidFill>
                <a:sysClr val="windowText" lastClr="000000"/>
              </a:solidFill>
              <a:latin typeface="Times New Roman" pitchFamily="18" charset="0"/>
              <a:cs typeface="Times New Roman" pitchFamily="18" charset="0"/>
            </a:rPr>
            <a:t>العودة إلى الصفحة الرئيسية</a:t>
          </a:r>
          <a:endParaRPr lang="fr-FR" sz="2000" b="1">
            <a:solidFill>
              <a:sysClr val="windowText" lastClr="000000"/>
            </a:solidFill>
            <a:latin typeface="Times New Roman" pitchFamily="18" charset="0"/>
            <a:cs typeface="Times New Roman" pitchFamily="18" charset="0"/>
          </a:endParaRPr>
        </a:p>
      </xdr:txBody>
    </xdr:sp>
    <xdr:clientData/>
  </xdr:twoCellAnchor>
  <xdr:twoCellAnchor>
    <xdr:from>
      <xdr:col>9</xdr:col>
      <xdr:colOff>605117</xdr:colOff>
      <xdr:row>12</xdr:row>
      <xdr:rowOff>89647</xdr:rowOff>
    </xdr:from>
    <xdr:to>
      <xdr:col>12</xdr:col>
      <xdr:colOff>481853</xdr:colOff>
      <xdr:row>18</xdr:row>
      <xdr:rowOff>168088</xdr:rowOff>
    </xdr:to>
    <xdr:sp macro="" textlink="">
      <xdr:nvSpPr>
        <xdr:cNvPr id="3" name="Flèche droite à entaille 2">
          <a:hlinkClick xmlns:r="http://schemas.openxmlformats.org/officeDocument/2006/relationships" r:id="rId2" tooltip="الفرعية1"/>
        </xdr:cNvPr>
        <xdr:cNvSpPr/>
      </xdr:nvSpPr>
      <xdr:spPr>
        <a:xfrm>
          <a:off x="12474982147" y="2431676"/>
          <a:ext cx="2162736" cy="1423147"/>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800" b="1">
              <a:latin typeface="Estrangelo Edessa" pitchFamily="66" charset="0"/>
              <a:cs typeface="Estrangelo Edessa" pitchFamily="66" charset="0"/>
            </a:rPr>
            <a:t>العودة</a:t>
          </a:r>
          <a:r>
            <a:rPr lang="ar-DZ" sz="2800" b="1" baseline="0">
              <a:latin typeface="Estrangelo Edessa" pitchFamily="66" charset="0"/>
              <a:cs typeface="Estrangelo Edessa" pitchFamily="66" charset="0"/>
            </a:rPr>
            <a:t> إلى واجهة العمال الدائمين</a:t>
          </a:r>
          <a:endParaRPr lang="fr-FR" sz="2800" b="1">
            <a:latin typeface="Estrangelo Edessa" pitchFamily="66" charset="0"/>
            <a:cs typeface="Estrangelo Edessa" pitchFamily="66" charset="0"/>
          </a:endParaRPr>
        </a:p>
      </xdr:txBody>
    </xdr:sp>
    <xdr:clientData/>
  </xdr:twoCellAnchor>
  <xdr:twoCellAnchor>
    <xdr:from>
      <xdr:col>10</xdr:col>
      <xdr:colOff>67235</xdr:colOff>
      <xdr:row>60</xdr:row>
      <xdr:rowOff>56029</xdr:rowOff>
    </xdr:from>
    <xdr:to>
      <xdr:col>13</xdr:col>
      <xdr:colOff>168088</xdr:colOff>
      <xdr:row>67</xdr:row>
      <xdr:rowOff>190500</xdr:rowOff>
    </xdr:to>
    <xdr:sp macro="" textlink="">
      <xdr:nvSpPr>
        <xdr:cNvPr id="4" name="Flèche droite à entaille 3">
          <a:hlinkClick xmlns:r="http://schemas.openxmlformats.org/officeDocument/2006/relationships" r:id="rId3" tooltip="الفرعية2"/>
        </xdr:cNvPr>
        <xdr:cNvSpPr/>
      </xdr:nvSpPr>
      <xdr:spPr>
        <a:xfrm>
          <a:off x="12474533912" y="11665323"/>
          <a:ext cx="2386853" cy="1636059"/>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800" b="1">
              <a:solidFill>
                <a:srgbClr val="002060"/>
              </a:solidFill>
            </a:rPr>
            <a:t>العودة إلى</a:t>
          </a:r>
          <a:r>
            <a:rPr lang="ar-DZ" sz="1800" b="1" baseline="0">
              <a:solidFill>
                <a:srgbClr val="002060"/>
              </a:solidFill>
            </a:rPr>
            <a:t> واجهة العمال المتعاقدين</a:t>
          </a:r>
          <a:endParaRPr lang="fr-FR" sz="1800" b="1">
            <a:solidFill>
              <a:srgbClr val="00206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523875</xdr:colOff>
      <xdr:row>0</xdr:row>
      <xdr:rowOff>0</xdr:rowOff>
    </xdr:from>
    <xdr:to>
      <xdr:col>3</xdr:col>
      <xdr:colOff>2200275</xdr:colOff>
      <xdr:row>0</xdr:row>
      <xdr:rowOff>923925</xdr:rowOff>
    </xdr:to>
    <xdr:sp macro="" textlink="">
      <xdr:nvSpPr>
        <xdr:cNvPr id="2" name="Flèche droite à entaille 1">
          <a:hlinkClick xmlns:r="http://schemas.openxmlformats.org/officeDocument/2006/relationships" r:id="rId1"/>
        </xdr:cNvPr>
        <xdr:cNvSpPr/>
      </xdr:nvSpPr>
      <xdr:spPr>
        <a:xfrm>
          <a:off x="13201773825" y="0"/>
          <a:ext cx="1676400" cy="92392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twoCellAnchor>
    <xdr:from>
      <xdr:col>42</xdr:col>
      <xdr:colOff>419100</xdr:colOff>
      <xdr:row>0</xdr:row>
      <xdr:rowOff>114300</xdr:rowOff>
    </xdr:from>
    <xdr:to>
      <xdr:col>45</xdr:col>
      <xdr:colOff>466724</xdr:colOff>
      <xdr:row>2</xdr:row>
      <xdr:rowOff>114300</xdr:rowOff>
    </xdr:to>
    <xdr:sp macro="" textlink="">
      <xdr:nvSpPr>
        <xdr:cNvPr id="3" name="Flèche droite à entaille 2">
          <a:hlinkClick xmlns:r="http://schemas.openxmlformats.org/officeDocument/2006/relationships" r:id="rId2"/>
        </xdr:cNvPr>
        <xdr:cNvSpPr/>
      </xdr:nvSpPr>
      <xdr:spPr>
        <a:xfrm>
          <a:off x="13183743001" y="114300"/>
          <a:ext cx="2333624" cy="16002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5"/>
        </a:lnRef>
        <a:fillRef idx="2">
          <a:schemeClr val="accent5"/>
        </a:fillRef>
        <a:effectRef idx="1">
          <a:schemeClr val="accent5"/>
        </a:effectRef>
        <a:fontRef idx="minor">
          <a:schemeClr val="dk1"/>
        </a:fontRef>
      </xdr:style>
      <xdr:txBody>
        <a:bodyPr rtlCol="0" anchor="ctr"/>
        <a:lstStyle/>
        <a:p>
          <a:pPr algn="ctr" rtl="1"/>
          <a:r>
            <a:rPr lang="ar-DZ" sz="1400" b="1">
              <a:solidFill>
                <a:srgbClr val="002060"/>
              </a:solidFill>
            </a:rPr>
            <a:t>العودة إلى</a:t>
          </a:r>
          <a:r>
            <a:rPr lang="ar-DZ" sz="1400" b="1" baseline="0">
              <a:solidFill>
                <a:srgbClr val="002060"/>
              </a:solidFill>
            </a:rPr>
            <a:t> واجهة العمال المتعاقدين</a:t>
          </a:r>
          <a:endParaRPr lang="fr-FR" sz="14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2190750</xdr:colOff>
      <xdr:row>6</xdr:row>
      <xdr:rowOff>552450</xdr:rowOff>
    </xdr:from>
    <xdr:to>
      <xdr:col>23</xdr:col>
      <xdr:colOff>1047750</xdr:colOff>
      <xdr:row>11</xdr:row>
      <xdr:rowOff>304800</xdr:rowOff>
    </xdr:to>
    <xdr:grpSp>
      <xdr:nvGrpSpPr>
        <xdr:cNvPr id="6150" name="Group 6"/>
        <xdr:cNvGrpSpPr>
          <a:grpSpLocks/>
        </xdr:cNvGrpSpPr>
      </xdr:nvGrpSpPr>
      <xdr:grpSpPr bwMode="auto">
        <a:xfrm>
          <a:off x="12465391312" y="3648075"/>
          <a:ext cx="25122188" cy="2681288"/>
          <a:chOff x="19412" y="338"/>
          <a:chExt cx="2118" cy="279"/>
        </a:xfrm>
      </xdr:grpSpPr>
      <xdr:sp macro="" textlink="">
        <xdr:nvSpPr>
          <xdr:cNvPr id="6148" name="WordArt 4"/>
          <xdr:cNvSpPr>
            <a:spLocks noChangeArrowheads="1" noChangeShapeType="1" noTextEdit="1"/>
          </xdr:cNvSpPr>
        </xdr:nvSpPr>
        <xdr:spPr bwMode="auto">
          <a:xfrm>
            <a:off x="19497" y="363"/>
            <a:ext cx="1965" cy="225"/>
          </a:xfrm>
          <a:prstGeom prst="rect">
            <a:avLst/>
          </a:prstGeom>
        </xdr:spPr>
        <xdr:txBody>
          <a:bodyPr wrap="none" fromWordArt="1">
            <a:prstTxWarp prst="textPlain">
              <a:avLst>
                <a:gd name="adj" fmla="val 50000"/>
              </a:avLst>
            </a:prstTxWarp>
          </a:bodyPr>
          <a:lstStyle/>
          <a:p>
            <a:pPr algn="ctr" rtl="1"/>
            <a:r>
              <a:rPr lang="ar-DZ"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rPr>
              <a:t>حــالــة دفــع الأجـــور</a:t>
            </a:r>
            <a:endParaRPr lang="fr-FR" sz="3600" kern="10" spc="0">
              <a:ln w="9525">
                <a:noFill/>
                <a:round/>
                <a:headEnd/>
                <a:tailEnd/>
              </a:ln>
              <a:solidFill>
                <a:srgbClr val="336699"/>
              </a:solidFill>
              <a:effectLst>
                <a:outerShdw dist="107763" dir="2700000" algn="ctr" rotWithShape="0">
                  <a:srgbClr val="B2B2B2">
                    <a:alpha val="50000"/>
                  </a:srgbClr>
                </a:outerShdw>
              </a:effectLst>
              <a:latin typeface="Times New Roman"/>
              <a:cs typeface="Times New Roman"/>
            </a:endParaRPr>
          </a:p>
        </xdr:txBody>
      </xdr:sp>
      <xdr:sp macro="" textlink="">
        <xdr:nvSpPr>
          <xdr:cNvPr id="6149" name="AutoShape 5"/>
          <xdr:cNvSpPr>
            <a:spLocks noChangeArrowheads="1"/>
          </xdr:cNvSpPr>
        </xdr:nvSpPr>
        <xdr:spPr bwMode="auto">
          <a:xfrm>
            <a:off x="19412" y="338"/>
            <a:ext cx="2118" cy="279"/>
          </a:xfrm>
          <a:prstGeom prst="roundRect">
            <a:avLst>
              <a:gd name="adj" fmla="val 16667"/>
            </a:avLst>
          </a:prstGeom>
          <a:noFill/>
          <a:ln w="76200" cmpd="tri">
            <a:solidFill>
              <a:srgbClr val="000000"/>
            </a:solidFill>
            <a:round/>
            <a:headEnd/>
            <a:tailEnd/>
          </a:ln>
          <a:effectLst>
            <a:outerShdw dist="107763" dir="2700000" algn="ctr" rotWithShape="0">
              <a:srgbClr val="808080">
                <a:alpha val="50000"/>
              </a:srgbClr>
            </a:outerShdw>
          </a:effectLst>
        </xdr:spPr>
      </xdr:sp>
    </xdr:grpSp>
    <xdr:clientData/>
  </xdr:twoCellAnchor>
  <xdr:twoCellAnchor>
    <xdr:from>
      <xdr:col>2</xdr:col>
      <xdr:colOff>214314</xdr:colOff>
      <xdr:row>0</xdr:row>
      <xdr:rowOff>0</xdr:rowOff>
    </xdr:from>
    <xdr:to>
      <xdr:col>4</xdr:col>
      <xdr:colOff>1643063</xdr:colOff>
      <xdr:row>4</xdr:row>
      <xdr:rowOff>452437</xdr:rowOff>
    </xdr:to>
    <xdr:sp macro="" textlink="">
      <xdr:nvSpPr>
        <xdr:cNvPr id="5" name="Flèche droite rayée 4">
          <a:hlinkClick xmlns:r="http://schemas.openxmlformats.org/officeDocument/2006/relationships" r:id="rId1" tooltip="Base-D"/>
        </xdr:cNvPr>
        <xdr:cNvSpPr/>
      </xdr:nvSpPr>
      <xdr:spPr>
        <a:xfrm>
          <a:off x="12523374750" y="0"/>
          <a:ext cx="6429374" cy="2452687"/>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3200" b="1">
              <a:solidFill>
                <a:sysClr val="windowText" lastClr="000000"/>
              </a:solidFill>
              <a:latin typeface="Times New Roman" pitchFamily="18" charset="0"/>
              <a:cs typeface="Times New Roman" pitchFamily="18" charset="0"/>
            </a:rPr>
            <a:t>الإنتقال</a:t>
          </a:r>
          <a:r>
            <a:rPr lang="ar-DZ" sz="3200" b="1" baseline="0">
              <a:solidFill>
                <a:sysClr val="windowText" lastClr="000000"/>
              </a:solidFill>
              <a:latin typeface="Times New Roman" pitchFamily="18" charset="0"/>
              <a:cs typeface="Times New Roman" pitchFamily="18" charset="0"/>
            </a:rPr>
            <a:t> إلى قاعدة البيانات للتدقيق</a:t>
          </a:r>
        </a:p>
      </xdr:txBody>
    </xdr:sp>
    <xdr:clientData/>
  </xdr:twoCellAnchor>
  <xdr:twoCellAnchor>
    <xdr:from>
      <xdr:col>5</xdr:col>
      <xdr:colOff>619125</xdr:colOff>
      <xdr:row>0</xdr:row>
      <xdr:rowOff>119068</xdr:rowOff>
    </xdr:from>
    <xdr:to>
      <xdr:col>7</xdr:col>
      <xdr:colOff>928686</xdr:colOff>
      <xdr:row>4</xdr:row>
      <xdr:rowOff>428630</xdr:rowOff>
    </xdr:to>
    <xdr:sp macro="" textlink="">
      <xdr:nvSpPr>
        <xdr:cNvPr id="6" name="Flèche droite à entaille 5">
          <a:hlinkClick xmlns:r="http://schemas.openxmlformats.org/officeDocument/2006/relationships" r:id="rId2" tooltip="الفرعية1"/>
        </xdr:cNvPr>
        <xdr:cNvSpPr/>
      </xdr:nvSpPr>
      <xdr:spPr>
        <a:xfrm>
          <a:off x="12515254689" y="119068"/>
          <a:ext cx="5572124" cy="2309812"/>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4800" b="1">
              <a:latin typeface="Estrangelo Edessa" pitchFamily="66" charset="0"/>
              <a:cs typeface="Estrangelo Edessa" pitchFamily="66" charset="0"/>
            </a:rPr>
            <a:t>العودة</a:t>
          </a:r>
          <a:r>
            <a:rPr lang="ar-DZ" sz="4800" b="1" baseline="0">
              <a:latin typeface="Estrangelo Edessa" pitchFamily="66" charset="0"/>
              <a:cs typeface="Estrangelo Edessa" pitchFamily="66" charset="0"/>
            </a:rPr>
            <a:t> إلى واجهة العمال الدائمين</a:t>
          </a:r>
          <a:endParaRPr lang="fr-FR" sz="4800" b="1">
            <a:latin typeface="Estrangelo Edessa" pitchFamily="66" charset="0"/>
            <a:cs typeface="Estrangelo Edessa" pitchFamily="66" charset="0"/>
          </a:endParaRPr>
        </a:p>
      </xdr:txBody>
    </xdr:sp>
    <xdr:clientData/>
  </xdr:twoCellAnchor>
  <xdr:twoCellAnchor>
    <xdr:from>
      <xdr:col>24</xdr:col>
      <xdr:colOff>1143001</xdr:colOff>
      <xdr:row>6</xdr:row>
      <xdr:rowOff>126422</xdr:rowOff>
    </xdr:from>
    <xdr:to>
      <xdr:col>25</xdr:col>
      <xdr:colOff>2879483</xdr:colOff>
      <xdr:row>11</xdr:row>
      <xdr:rowOff>206452</xdr:rowOff>
    </xdr:to>
    <xdr:sp macro="" textlink="">
      <xdr:nvSpPr>
        <xdr:cNvPr id="7" name="Flèche droite rayée 6">
          <a:hlinkClick xmlns:r="http://schemas.openxmlformats.org/officeDocument/2006/relationships" r:id="rId3" tooltip="Basse-D"/>
        </xdr:cNvPr>
        <xdr:cNvSpPr/>
      </xdr:nvSpPr>
      <xdr:spPr>
        <a:xfrm>
          <a:off x="12467060017" y="3222047"/>
          <a:ext cx="4451107" cy="3008968"/>
        </a:xfrm>
        <a:prstGeom prst="strip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6"/>
        </a:lnRef>
        <a:fillRef idx="3">
          <a:schemeClr val="accent6"/>
        </a:fillRef>
        <a:effectRef idx="3">
          <a:schemeClr val="accent6"/>
        </a:effectRef>
        <a:fontRef idx="minor">
          <a:schemeClr val="lt1"/>
        </a:fontRef>
      </xdr:style>
      <xdr:txBody>
        <a:bodyPr rtlCol="0" anchor="ctr"/>
        <a:lstStyle/>
        <a:p>
          <a:pPr algn="ctr" rtl="1"/>
          <a:r>
            <a:rPr lang="ar-DZ" sz="3200" b="1">
              <a:solidFill>
                <a:sysClr val="windowText" lastClr="000000"/>
              </a:solidFill>
              <a:latin typeface="Times New Roman" pitchFamily="18" charset="0"/>
              <a:cs typeface="Times New Roman" pitchFamily="18" charset="0"/>
            </a:rPr>
            <a:t>الإنتقال</a:t>
          </a:r>
          <a:r>
            <a:rPr lang="ar-DZ" sz="3200" b="1" baseline="0">
              <a:solidFill>
                <a:sysClr val="windowText" lastClr="000000"/>
              </a:solidFill>
              <a:latin typeface="Times New Roman" pitchFamily="18" charset="0"/>
              <a:cs typeface="Times New Roman" pitchFamily="18" charset="0"/>
            </a:rPr>
            <a:t> إلى قاعدة البيانات للتدقيق</a:t>
          </a:r>
        </a:p>
      </xdr:txBody>
    </xdr:sp>
    <xdr:clientData/>
  </xdr:twoCellAnchor>
  <xdr:twoCellAnchor>
    <xdr:from>
      <xdr:col>24</xdr:col>
      <xdr:colOff>1476375</xdr:colOff>
      <xdr:row>0</xdr:row>
      <xdr:rowOff>261938</xdr:rowOff>
    </xdr:from>
    <xdr:to>
      <xdr:col>25</xdr:col>
      <xdr:colOff>2619375</xdr:colOff>
      <xdr:row>6</xdr:row>
      <xdr:rowOff>1</xdr:rowOff>
    </xdr:to>
    <xdr:sp macro="" textlink="">
      <xdr:nvSpPr>
        <xdr:cNvPr id="8" name="Flèche droite à entaille 7">
          <a:hlinkClick xmlns:r="http://schemas.openxmlformats.org/officeDocument/2006/relationships" r:id="rId4" tooltip="الفرعية1"/>
        </xdr:cNvPr>
        <xdr:cNvSpPr/>
      </xdr:nvSpPr>
      <xdr:spPr>
        <a:xfrm>
          <a:off x="12467320125" y="261938"/>
          <a:ext cx="3857625" cy="2833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4800" b="1">
              <a:latin typeface="Estrangelo Edessa" pitchFamily="66" charset="0"/>
              <a:cs typeface="Estrangelo Edessa" pitchFamily="66" charset="0"/>
            </a:rPr>
            <a:t>العودة</a:t>
          </a:r>
          <a:r>
            <a:rPr lang="ar-DZ" sz="4800" b="1" baseline="0">
              <a:latin typeface="Estrangelo Edessa" pitchFamily="66" charset="0"/>
              <a:cs typeface="Estrangelo Edessa" pitchFamily="66" charset="0"/>
            </a:rPr>
            <a:t> إلى واجهة العمال الدائمين</a:t>
          </a:r>
          <a:endParaRPr lang="fr-FR" sz="4800" b="1">
            <a:latin typeface="Estrangelo Edessa" pitchFamily="66" charset="0"/>
            <a:cs typeface="Estrangelo Edessa" pitchFamily="66" charset="0"/>
          </a:endParaRPr>
        </a:p>
      </xdr:txBody>
    </xdr:sp>
    <xdr:clientData/>
  </xdr:twoCellAnchor>
  <xdr:twoCellAnchor>
    <xdr:from>
      <xdr:col>27</xdr:col>
      <xdr:colOff>119042</xdr:colOff>
      <xdr:row>2</xdr:row>
      <xdr:rowOff>261938</xdr:rowOff>
    </xdr:from>
    <xdr:to>
      <xdr:col>40</xdr:col>
      <xdr:colOff>666730</xdr:colOff>
      <xdr:row>8</xdr:row>
      <xdr:rowOff>238126</xdr:rowOff>
    </xdr:to>
    <xdr:sp macro="" textlink="">
      <xdr:nvSpPr>
        <xdr:cNvPr id="9" name="Flèche droite à entaille 8">
          <a:hlinkClick xmlns:r="http://schemas.openxmlformats.org/officeDocument/2006/relationships" r:id="rId5" tooltip="ورقة العمل"/>
        </xdr:cNvPr>
        <xdr:cNvSpPr/>
      </xdr:nvSpPr>
      <xdr:spPr>
        <a:xfrm>
          <a:off x="12453461270" y="1262063"/>
          <a:ext cx="4572000" cy="3214688"/>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400" b="1">
              <a:latin typeface="Estrangelo Edessa" pitchFamily="66" charset="0"/>
              <a:cs typeface="Estrangelo Edessa" pitchFamily="66" charset="0"/>
            </a:rPr>
            <a:t>الإنتقال إلى ورقة العمل للتدقيق و التحقق</a:t>
          </a:r>
          <a:endParaRPr lang="fr-FR" sz="4400" b="1">
            <a:latin typeface="Estrangelo Edessa" pitchFamily="66" charset="0"/>
            <a:cs typeface="Estrangelo Edessa" pitchFamily="66" charset="0"/>
          </a:endParaRPr>
        </a:p>
      </xdr:txBody>
    </xdr:sp>
    <xdr:clientData/>
  </xdr:twoCellAnchor>
  <xdr:twoCellAnchor>
    <xdr:from>
      <xdr:col>7</xdr:col>
      <xdr:colOff>1976438</xdr:colOff>
      <xdr:row>0</xdr:row>
      <xdr:rowOff>0</xdr:rowOff>
    </xdr:from>
    <xdr:to>
      <xdr:col>10</xdr:col>
      <xdr:colOff>1452562</xdr:colOff>
      <xdr:row>4</xdr:row>
      <xdr:rowOff>214312</xdr:rowOff>
    </xdr:to>
    <xdr:sp macro="" textlink="">
      <xdr:nvSpPr>
        <xdr:cNvPr id="10" name="Flèche droite à entaille 9">
          <a:hlinkClick xmlns:r="http://schemas.openxmlformats.org/officeDocument/2006/relationships" r:id="rId6" tooltip="ورقة العمل"/>
        </xdr:cNvPr>
        <xdr:cNvSpPr/>
      </xdr:nvSpPr>
      <xdr:spPr>
        <a:xfrm>
          <a:off x="12506872688" y="0"/>
          <a:ext cx="7334249" cy="2214562"/>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800" b="1">
              <a:latin typeface="Estrangelo Edessa" pitchFamily="66" charset="0"/>
              <a:cs typeface="Estrangelo Edessa" pitchFamily="66" charset="0"/>
            </a:rPr>
            <a:t>الإنتقال إلى ورقة العمل للتدقيق و التحقق</a:t>
          </a:r>
          <a:endParaRPr lang="fr-FR" sz="4800" b="1">
            <a:latin typeface="Estrangelo Edessa" pitchFamily="66" charset="0"/>
            <a:cs typeface="Estrangelo Edessa" pitchFamily="66"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222251</xdr:colOff>
      <xdr:row>3</xdr:row>
      <xdr:rowOff>365125</xdr:rowOff>
    </xdr:from>
    <xdr:to>
      <xdr:col>15</xdr:col>
      <xdr:colOff>0</xdr:colOff>
      <xdr:row>8</xdr:row>
      <xdr:rowOff>317500</xdr:rowOff>
    </xdr:to>
    <xdr:sp macro="" textlink="">
      <xdr:nvSpPr>
        <xdr:cNvPr id="3" name="Flèche droite à entaille 2">
          <a:hlinkClick xmlns:r="http://schemas.openxmlformats.org/officeDocument/2006/relationships" r:id="rId1" tooltip="الفرعية1"/>
        </xdr:cNvPr>
        <xdr:cNvSpPr/>
      </xdr:nvSpPr>
      <xdr:spPr>
        <a:xfrm>
          <a:off x="12479623250" y="2000250"/>
          <a:ext cx="3936999" cy="2492375"/>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4000" b="1">
              <a:latin typeface="Estrangelo Edessa" pitchFamily="66" charset="0"/>
              <a:cs typeface="Estrangelo Edessa" pitchFamily="66" charset="0"/>
            </a:rPr>
            <a:t>العودة</a:t>
          </a:r>
          <a:r>
            <a:rPr lang="ar-DZ" sz="4000" b="1" baseline="0">
              <a:latin typeface="Estrangelo Edessa" pitchFamily="66" charset="0"/>
              <a:cs typeface="Estrangelo Edessa" pitchFamily="66" charset="0"/>
            </a:rPr>
            <a:t> إلى واجهة العمال الدائمين</a:t>
          </a:r>
          <a:endParaRPr lang="fr-FR" sz="4000" b="1">
            <a:latin typeface="Estrangelo Edessa" pitchFamily="66" charset="0"/>
            <a:cs typeface="Estrangelo Edessa" pitchFamily="66" charset="0"/>
          </a:endParaRPr>
        </a:p>
      </xdr:txBody>
    </xdr:sp>
    <xdr:clientData/>
  </xdr:twoCellAnchor>
  <xdr:twoCellAnchor>
    <xdr:from>
      <xdr:col>11</xdr:col>
      <xdr:colOff>269874</xdr:colOff>
      <xdr:row>9</xdr:row>
      <xdr:rowOff>174625</xdr:rowOff>
    </xdr:from>
    <xdr:to>
      <xdr:col>15</xdr:col>
      <xdr:colOff>63500</xdr:colOff>
      <xdr:row>14</xdr:row>
      <xdr:rowOff>301626</xdr:rowOff>
    </xdr:to>
    <xdr:sp macro="" textlink="">
      <xdr:nvSpPr>
        <xdr:cNvPr id="5" name="Flèche droite à entaille 4">
          <a:hlinkClick xmlns:r="http://schemas.openxmlformats.org/officeDocument/2006/relationships" r:id="rId2" tooltip="ورقة العمل"/>
        </xdr:cNvPr>
        <xdr:cNvSpPr/>
      </xdr:nvSpPr>
      <xdr:spPr>
        <a:xfrm>
          <a:off x="12479559750" y="4810125"/>
          <a:ext cx="3952876" cy="2301876"/>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r" rtl="1"/>
          <a:r>
            <a:rPr lang="ar-DZ" sz="4000" b="1">
              <a:latin typeface="Estrangelo Edessa" pitchFamily="66" charset="0"/>
              <a:cs typeface="Estrangelo Edessa" pitchFamily="66" charset="0"/>
            </a:rPr>
            <a:t>الإنتقال إلى ورقة العمل للتدقيق و التحقق</a:t>
          </a:r>
          <a:endParaRPr lang="fr-FR" sz="4000" b="1">
            <a:latin typeface="Estrangelo Edessa" pitchFamily="66" charset="0"/>
            <a:cs typeface="Estrangelo Edessa" pitchFamily="66"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833438</xdr:colOff>
      <xdr:row>4</xdr:row>
      <xdr:rowOff>47625</xdr:rowOff>
    </xdr:from>
    <xdr:to>
      <xdr:col>17</xdr:col>
      <xdr:colOff>1003232</xdr:colOff>
      <xdr:row>10</xdr:row>
      <xdr:rowOff>47625</xdr:rowOff>
    </xdr:to>
    <xdr:sp macro="" textlink="">
      <xdr:nvSpPr>
        <xdr:cNvPr id="5" name="Flèche droite à entaille 4">
          <a:hlinkClick xmlns:r="http://schemas.openxmlformats.org/officeDocument/2006/relationships" r:id="rId1" tooltip="الفرعية1"/>
        </xdr:cNvPr>
        <xdr:cNvSpPr/>
      </xdr:nvSpPr>
      <xdr:spPr>
        <a:xfrm>
          <a:off x="12472079518" y="1404938"/>
          <a:ext cx="3122544" cy="2286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4000" b="1">
              <a:latin typeface="Estrangelo Edessa" pitchFamily="66" charset="0"/>
              <a:cs typeface="Estrangelo Edessa" pitchFamily="66" charset="0"/>
            </a:rPr>
            <a:t>العودة</a:t>
          </a:r>
          <a:r>
            <a:rPr lang="ar-DZ" sz="4000" b="1" baseline="0">
              <a:latin typeface="Estrangelo Edessa" pitchFamily="66" charset="0"/>
              <a:cs typeface="Estrangelo Edessa" pitchFamily="66" charset="0"/>
            </a:rPr>
            <a:t> إلى واجهة العمال الدائمين</a:t>
          </a:r>
          <a:endParaRPr lang="fr-FR" sz="4000" b="1">
            <a:latin typeface="Estrangelo Edessa" pitchFamily="66" charset="0"/>
            <a:cs typeface="Estrangelo Edessa" pitchFamily="66"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22</xdr:row>
      <xdr:rowOff>0</xdr:rowOff>
    </xdr:from>
    <xdr:to>
      <xdr:col>10</xdr:col>
      <xdr:colOff>0</xdr:colOff>
      <xdr:row>22</xdr:row>
      <xdr:rowOff>0</xdr:rowOff>
    </xdr:to>
    <xdr:sp macro="" textlink="">
      <xdr:nvSpPr>
        <xdr:cNvPr id="8193" name="Line 1"/>
        <xdr:cNvSpPr>
          <a:spLocks noChangeShapeType="1"/>
        </xdr:cNvSpPr>
      </xdr:nvSpPr>
      <xdr:spPr bwMode="auto">
        <a:xfrm flipH="1">
          <a:off x="187452000" y="8515350"/>
          <a:ext cx="0" cy="0"/>
        </a:xfrm>
        <a:prstGeom prst="line">
          <a:avLst/>
        </a:prstGeom>
        <a:noFill/>
        <a:ln w="1">
          <a:solidFill>
            <a:srgbClr val="000000"/>
          </a:solidFill>
          <a:prstDash val="dash"/>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194" name="Line 2"/>
        <xdr:cNvSpPr>
          <a:spLocks noChangeShapeType="1"/>
        </xdr:cNvSpPr>
      </xdr:nvSpPr>
      <xdr:spPr bwMode="auto">
        <a:xfrm flipH="1">
          <a:off x="187452000" y="8515350"/>
          <a:ext cx="0" cy="0"/>
        </a:xfrm>
        <a:prstGeom prst="line">
          <a:avLst/>
        </a:prstGeom>
        <a:noFill/>
        <a:ln w="1">
          <a:solidFill>
            <a:srgbClr val="000000"/>
          </a:solidFill>
          <a:prstDash val="dash"/>
          <a:round/>
          <a:headEnd/>
          <a:tailEnd/>
        </a:ln>
      </xdr:spPr>
    </xdr:sp>
    <xdr:clientData/>
  </xdr:twoCellAnchor>
  <xdr:twoCellAnchor>
    <xdr:from>
      <xdr:col>10</xdr:col>
      <xdr:colOff>0</xdr:colOff>
      <xdr:row>22</xdr:row>
      <xdr:rowOff>10832</xdr:rowOff>
    </xdr:from>
    <xdr:to>
      <xdr:col>10</xdr:col>
      <xdr:colOff>0</xdr:colOff>
      <xdr:row>22</xdr:row>
      <xdr:rowOff>10832</xdr:rowOff>
    </xdr:to>
    <xdr:sp macro="" textlink="">
      <xdr:nvSpPr>
        <xdr:cNvPr id="5123" name="WordArt 3"/>
        <xdr:cNvSpPr>
          <a:spLocks noChangeArrowheads="1" noChangeShapeType="1" noTextEdit="1"/>
        </xdr:cNvSpPr>
      </xdr:nvSpPr>
      <xdr:spPr bwMode="auto">
        <a:xfrm rot="-1005519">
          <a:off x="175221900" y="65941575"/>
          <a:ext cx="4981575" cy="0"/>
        </a:xfrm>
        <a:prstGeom prst="rect">
          <a:avLst/>
        </a:prstGeom>
      </xdr:spPr>
      <xdr:txBody>
        <a:bodyPr wrap="none" fromWordArt="1">
          <a:prstTxWarp prst="textPlain">
            <a:avLst>
              <a:gd name="adj" fmla="val 50000"/>
            </a:avLst>
          </a:prstTxWarp>
        </a:bodyPr>
        <a:lstStyle/>
        <a:p>
          <a:pPr algn="ctr" rtl="1"/>
          <a:r>
            <a:rPr lang="ar-DZ" sz="36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1005519" scaled="1"/>
              </a:gradFill>
              <a:effectLst>
                <a:outerShdw dist="35921" dir="2700000" sy="50000" kx="2115830" algn="bl" rotWithShape="0">
                  <a:srgbClr val="C0C0C0"/>
                </a:outerShdw>
              </a:effectLst>
              <a:latin typeface="Arial Black"/>
            </a:rPr>
            <a:t>لاشيء</a:t>
          </a:r>
          <a:endParaRPr lang="fr-FR" sz="36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1005519" scaled="1"/>
            </a:gradFill>
            <a:effectLst>
              <a:outerShdw dist="35921" dir="2700000" sy="50000" kx="2115830" algn="bl" rotWithShape="0">
                <a:srgbClr val="C0C0C0"/>
              </a:outerShdw>
            </a:effectLst>
            <a:latin typeface="Arial Black"/>
          </a:endParaRPr>
        </a:p>
      </xdr:txBody>
    </xdr:sp>
    <xdr:clientData/>
  </xdr:twoCellAnchor>
  <xdr:twoCellAnchor>
    <xdr:from>
      <xdr:col>10</xdr:col>
      <xdr:colOff>0</xdr:colOff>
      <xdr:row>22</xdr:row>
      <xdr:rowOff>0</xdr:rowOff>
    </xdr:from>
    <xdr:to>
      <xdr:col>10</xdr:col>
      <xdr:colOff>0</xdr:colOff>
      <xdr:row>22</xdr:row>
      <xdr:rowOff>0</xdr:rowOff>
    </xdr:to>
    <xdr:sp macro="" textlink="">
      <xdr:nvSpPr>
        <xdr:cNvPr id="8196" name="Line 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197" name="Line 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198" name="Line 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199" name="Line 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0" name="Line 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1" name="Line 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2" name="Line 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3" name="Line 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4" name="Line 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5" name="Line 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6" name="Line 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7" name="Line 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8" name="Line 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09" name="Line 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0" name="Line 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1" name="Line 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2" name="Line 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3" name="Line 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4" name="Line 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5" name="Line 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6" name="Line 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7" name="Line 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8" name="Line 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19" name="Line 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0" name="Line 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1" name="Line 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2" name="Line 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3" name="Line 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4" name="Line 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5" name="Line 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6" name="Line 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7" name="Line 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8" name="Line 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29" name="Line 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0" name="Line 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1" name="Line 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2" name="Line 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3" name="Line 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4" name="Line 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5" name="Line 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6" name="Line 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7" name="Line 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8" name="Line 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39" name="Line 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0" name="Line 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1" name="Line 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2" name="Line 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3" name="Line 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4" name="Line 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5" name="Line 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6" name="Line 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7" name="Line 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8" name="Line 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49" name="Line 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0" name="Line 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1" name="Line 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2" name="Line 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3" name="Line 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4" name="Line 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5" name="Line 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6" name="Line 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7" name="Line 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8" name="Line 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59" name="Line 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0" name="Line 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1" name="Line 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2" name="Line 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3" name="Line 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4" name="Line 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5" name="Line 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6" name="Line 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7" name="Line 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8" name="Line 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69" name="Line 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0" name="Line 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1" name="Line 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2" name="Line 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3" name="Line 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4" name="Line 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5" name="Line 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6" name="Line 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7" name="Line 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8" name="Line 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79" name="Line 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0" name="Line 1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1" name="Line 1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2" name="Line 1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3" name="Line 1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4" name="Line 1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5" name="Line 1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6" name="Line 1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7" name="Line 1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8" name="Line 1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89" name="Line 1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0" name="Line 1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1" name="Line 1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2" name="Line 1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3" name="Line 1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4" name="Line 1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5" name="Line 1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6" name="Line 1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7" name="Line 1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8" name="Line 1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299" name="Line 1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0" name="Line 1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1" name="Line 1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2" name="Line 1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3" name="Line 1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4" name="Line 1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5" name="Line 1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6" name="Line 1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7" name="Line 1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8" name="Line 1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09" name="Line 1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0" name="Line 1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1" name="Line 1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2" name="Line 1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3" name="Line 1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4" name="Line 1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5" name="Line 1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6" name="Line 1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7" name="Line 1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8" name="Line 1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19" name="Line 1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0" name="Line 1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1" name="Line 1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2" name="Line 1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3" name="Line 1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4" name="Line 1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5" name="Line 1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6" name="Line 1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7" name="Line 1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8" name="Line 1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29" name="Line 1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0" name="Line 1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1" name="Line 1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2" name="Line 1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3" name="Line 1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4" name="Line 1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5" name="Line 1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6" name="Line 1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7" name="Line 1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8" name="Line 1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39" name="Line 1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0" name="Line 1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1" name="Line 1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2" name="Line 1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3" name="Line 1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4" name="Line 1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5" name="Line 1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6" name="Line 1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7" name="Line 1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8" name="Line 1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49" name="Line 2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0" name="Line 2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1" name="Line 2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2" name="Line 2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3" name="Line 2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4" name="Line 2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5" name="Line 2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6" name="Line 2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7" name="Line 2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8" name="Line 2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59" name="Line 2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0" name="Line 2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1" name="Line 2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2" name="Line 2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3" name="Line 2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4" name="Line 2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5" name="Line 2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6" name="Line 2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7" name="Line 2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8" name="Line 2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69" name="Line 2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0" name="Line 2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1" name="Line 2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2" name="Line 2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3" name="Line 2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4" name="Line 2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5" name="Line 2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6" name="Line 2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7" name="Line 2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8" name="Line 2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79" name="Line 2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0" name="Line 2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1" name="Line 2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2" name="Line 2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3" name="Line 2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4" name="Line 2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5" name="Line 2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6" name="Line 2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7" name="Line 2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8" name="Line 2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89" name="Line 2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0" name="Line 2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1" name="Line 2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2" name="Line 2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3" name="Line 2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4" name="Line 14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5" name="Line 14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6" name="Line 14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7" name="Line 14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8" name="Line 14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399" name="Line 14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0" name="Line 14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1" name="Line 14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2" name="Line 14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3" name="Line 14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4" name="Line 14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5" name="Line 14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6" name="Line 14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7" name="Line 14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8" name="Line 14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09" name="Line 14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0" name="Line 14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1" name="Line 14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2" name="Line 14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3" name="Line 14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4" name="Line 14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5" name="Line 14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6" name="Line 14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7" name="Line 14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8" name="Line 14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19" name="Line 14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0" name="Line 14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1" name="Line 14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2" name="Line 14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3" name="Line 14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4" name="Line 14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5" name="Line 14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6" name="Line 14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7" name="Line 14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8" name="Line 14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29" name="Line 14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0" name="Line 14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1" name="Line 14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2" name="Line 14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3" name="Line 14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4" name="Line 14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5" name="Line 14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6" name="Line 14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7" name="Line 14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8" name="Line 14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39" name="Line 14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0" name="Line 14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1" name="Line 14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2" name="Line 14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3" name="Line 14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4" name="Line 14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5" name="Line 14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6" name="Line 14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7" name="Line 14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8" name="Line 14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49" name="Line 14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0" name="Line 14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1" name="Line 14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2" name="Line 14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3" name="Line 14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4" name="Line 14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5" name="Line 14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6" name="Line 14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7" name="Line 14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8" name="Line 14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59" name="Line 14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0" name="Line 14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1" name="Line 14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2" name="Line 14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3" name="Line 14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4" name="Line 14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5" name="Line 15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6" name="Line 15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7" name="Line 15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8" name="Line 15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69" name="Line 15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0" name="Line 15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1" name="Line 15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2" name="Line 15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3" name="Line 15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4" name="Line 15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5" name="Line 15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6" name="Line 15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7" name="Line 15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8" name="Line 15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79" name="Line 15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0" name="Line 15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1" name="Line 15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2" name="Line 15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3" name="Line 15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4" name="Line 15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5" name="Line 15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6" name="Line 15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7" name="Line 15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8" name="Line 15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89" name="Line 15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0" name="Line 15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1" name="Line 15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2" name="Line 15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3" name="Line 15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4" name="Line 15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5" name="Line 15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6" name="Line 15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7" name="Line 15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8" name="Line 15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499" name="Line 15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0" name="Line 15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1" name="Line 15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2" name="Line 15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3" name="Line 15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4" name="Line 15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5" name="Line 15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6" name="Line 15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7" name="Line 15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8" name="Line 15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09" name="Line 15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0" name="Line 15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1" name="Line 15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2" name="Line 15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3" name="Line 15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4" name="Line 15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5" name="Line 15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6" name="Line 15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7" name="Line 15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8" name="Line 15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19" name="Line 15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0" name="Line 15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1" name="Line 15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2" name="Line 15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3" name="Line 15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4" name="Line 15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5" name="Line 15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6" name="Line 15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7" name="Line 15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8" name="Line 15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29" name="Line 15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0" name="Line 15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1" name="Line 15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2" name="Line 15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3" name="Line 15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4" name="Line 15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5" name="Line 15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6" name="Line 15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7" name="Line 15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8" name="Line 15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39" name="Line 15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0" name="Line 15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1" name="Line 15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2" name="Line 15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3" name="Line 15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4" name="Line 15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5" name="Line 15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6" name="Line 15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7" name="Line 15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8" name="Line 15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49" name="Line 15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0" name="Line 15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1" name="Line 15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2" name="Line 15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3" name="Line 15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4" name="Line 15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5" name="Line 15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6" name="Line 15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7" name="Line 15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8" name="Line 15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59" name="Line 15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0" name="Line 15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1" name="Line 15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2" name="Line 15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3" name="Line 15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4" name="Line 15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5" name="Line 16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6" name="Line 16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7" name="Line 16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8" name="Line 16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69" name="Line 16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0" name="Line 16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1" name="Line 16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2" name="Line 16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3" name="Line 16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4" name="Line 16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5" name="Line 16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6" name="Line 16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7" name="Line 16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8" name="Line 16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79" name="Line 16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0" name="Line 16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1" name="Line 16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2" name="Line 16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3" name="Line 16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4" name="Line 16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5" name="Line 16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6" name="Line 16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7" name="Line 16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8" name="Line 16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89" name="Line 16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0" name="Line 16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1" name="Line 16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2" name="Line 16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3" name="Line 16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4" name="Line 16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5" name="Line 16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6" name="Line 16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7" name="Line 16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8" name="Line 16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599" name="Line 16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0" name="Line 16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1" name="Line 16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2" name="Line 16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3" name="Line 16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4" name="Line 16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5" name="Line 16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6" name="Line 16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7" name="Line 16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8" name="Line 16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09" name="Line 16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0" name="Line 16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1" name="Line 16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2" name="Line 16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3" name="Line 16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4" name="Line 16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5" name="Line 16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6" name="Line 16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7" name="Line 16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8" name="Line 16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19" name="Line 16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0" name="Line 16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1" name="Line 16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2" name="Line 16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3" name="Line 16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4" name="Line 16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5" name="Line 16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6" name="Line 16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7" name="Line 16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8" name="Line 16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29" name="Line 16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0" name="Line 16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1" name="Line 16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2" name="Line 16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3" name="Line 16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4" name="Line 16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5" name="Line 16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6" name="Line 16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7" name="Line 16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8" name="Line 16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39" name="Line 16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0" name="Line 16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1" name="Line 16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2" name="Line 16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3" name="Line 16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4" name="Line 16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5" name="Line 16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6" name="Line 16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7" name="Line 16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8" name="Line 16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49" name="Line 16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0" name="Line 16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1" name="Line 16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2" name="Line 16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3" name="Line 16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4" name="Line 16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5" name="Line 16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6" name="Line 16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7" name="Line 16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8" name="Line 16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59" name="Line 16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0" name="Line 16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1" name="Line 16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2" name="Line 16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3" name="Line 16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4" name="Line 16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5" name="Line 17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6" name="Line 17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7" name="Line 17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8" name="Line 17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69" name="Line 17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0" name="Line 17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1" name="Line 17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2" name="Line 17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3" name="Line 17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4" name="Line 17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5" name="Line 17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6" name="Line 17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7" name="Line 17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8" name="Line 17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79" name="Line 17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0" name="Line 17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1" name="Line 17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2" name="Line 17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3" name="Line 17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4" name="Line 17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5" name="Line 17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6" name="Line 17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7" name="Line 17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8" name="Line 17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89" name="Line 17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0" name="Line 17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1" name="Line 17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2" name="Line 17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3" name="Line 17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4" name="Line 17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5" name="Line 17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6" name="Line 17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7" name="Line 17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8" name="Line 17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699" name="Line 17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0" name="Line 17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1" name="Line 17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2" name="Line 17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3" name="Line 17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4" name="Line 17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5" name="Line 17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6" name="Line 17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7" name="Line 17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8" name="Line 17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09" name="Line 17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0" name="Line 17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1" name="Line 17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2" name="Line 17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3" name="Line 17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4" name="Line 17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5" name="Line 17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6" name="Line 17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7" name="Line 17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8" name="Line 17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19" name="Line 17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0" name="Line 17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1" name="Line 17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2" name="Line 17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3" name="Line 17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4" name="Line 17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5" name="Line 17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6" name="Line 17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7" name="Line 17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8" name="Line 17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29" name="Line 17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0" name="Line 17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1" name="Line 17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2" name="Line 17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3" name="Line 17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4" name="Line 17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5" name="Line 17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6" name="Line 17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7" name="Line 17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8" name="Line 17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39" name="Line 17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0" name="Line 17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1" name="Line 17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2" name="Line 17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3" name="Line 17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4" name="Line 17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5" name="Line 17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6" name="Line 17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7" name="Line 17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8" name="Line 17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49" name="Line 17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0" name="Line 17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1" name="Line 17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2" name="Line 17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3" name="Line 17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4" name="Line 17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5" name="Line 17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6" name="Line 17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7" name="Line 17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8" name="Line 17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59" name="Line 17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0" name="Line 17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1" name="Line 17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2" name="Line 17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3" name="Line 17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4" name="Line 17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5" name="Line 18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6" name="Line 18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7" name="Line 18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8" name="Line 18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69" name="Line 18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0" name="Line 18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1" name="Line 18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2" name="Line 18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3" name="Line 18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4" name="Line 18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5" name="Line 18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6" name="Line 18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7" name="Line 18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8" name="Line 18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79" name="Line 18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0" name="Line 18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1" name="Line 18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2" name="Line 18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3" name="Line 18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4" name="Line 18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5" name="Line 18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6" name="Line 18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7" name="Line 18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8" name="Line 18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89" name="Line 18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0" name="Line 18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1" name="Line 18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2" name="Line 18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3" name="Line 18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4" name="Line 18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5" name="Line 18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6" name="Line 18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7" name="Line 18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8" name="Line 18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799" name="Line 18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0" name="Line 18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1" name="Line 18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2" name="Line 18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3" name="Line 18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4" name="Line 18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5" name="Line 18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6" name="Line 18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7" name="Line 18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8" name="Line 18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09" name="Line 18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0" name="Line 18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1" name="Line 18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2" name="Line 18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3" name="Line 18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4" name="Line 18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5" name="Line 18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6" name="Line 18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7" name="Line 18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8" name="Line 18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19" name="Line 18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0" name="Line 18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1" name="Line 18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2" name="Line 18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3" name="Line 18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4" name="Line 18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5" name="Line 18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6" name="Line 18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7" name="Line 18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8" name="Line 18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29" name="Line 18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0" name="Line 18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1" name="Line 18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2" name="Line 18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3" name="Line 18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4" name="Line 18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5" name="Line 18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6" name="Line 18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7" name="Line 18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8" name="Line 18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39" name="Line 18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0" name="Line 18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1" name="Line 18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2" name="Line 18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3" name="Line 18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4" name="Line 18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5" name="Line 18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6" name="Line 18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7" name="Line 18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8" name="Line 18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49" name="Line 18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0" name="Line 18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1" name="Line 18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2" name="Line 18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3" name="Line 18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4" name="Line 18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5" name="Line 18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6" name="Line 18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7" name="Line 18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8" name="Line 18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59" name="Line 18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0" name="Line 18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1" name="Line 18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2" name="Line 18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3" name="Line 18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4" name="Line 18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5" name="Line 19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6" name="Line 19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7" name="Line 19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8" name="Line 19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69" name="Line 19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0" name="Line 19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1" name="Line 19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2" name="Line 19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3" name="Line 19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4" name="Line 19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5" name="Line 19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6" name="Line 19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7" name="Line 19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8" name="Line 19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79" name="Line 19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0" name="Line 19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1" name="Line 19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2" name="Line 19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3" name="Line 19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4" name="Line 19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5" name="Line 19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6" name="Line 19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7" name="Line 19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8" name="Line 19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89" name="Line 19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0" name="Line 19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1" name="Line 19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2" name="Line 19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3" name="Line 19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4" name="Line 19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5" name="Line 19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6" name="Line 19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7" name="Line 19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8" name="Line 19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899" name="Line 19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0" name="Line 19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1" name="Line 19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2" name="Line 19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3" name="Line 19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4" name="Line 19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5" name="Line 19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6" name="Line 19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7" name="Line 19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8" name="Line 19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09" name="Line 19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0" name="Line 19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1" name="Line 19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2" name="Line 19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3" name="Line 19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4" name="Line 19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5" name="Line 19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6" name="Line 19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7" name="Line 19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8" name="Line 19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19" name="Line 19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0" name="Line 19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1" name="Line 19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2" name="Line 19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3" name="Line 19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4" name="Line 19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5" name="Line 19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6" name="Line 19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7" name="Line 19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8" name="Line 19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29" name="Line 19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0" name="Line 19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1" name="Line 19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2" name="Line 19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3" name="Line 19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4" name="Line 19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5" name="Line 19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6" name="Line 19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7" name="Line 19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8" name="Line 19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39" name="Line 19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0" name="Line 19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1" name="Line 19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2" name="Line 19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3" name="Line 19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4" name="Line 19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5" name="Line 19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6" name="Line 19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7" name="Line 19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8" name="Line 19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49" name="Line 19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0" name="Line 19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1" name="Line 19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2" name="Line 19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3" name="Line 19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4" name="Line 19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5" name="Line 19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6" name="Line 19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7" name="Line 19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8" name="Line 19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59" name="Line 19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0" name="Line 19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1" name="Line 19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2" name="Line 19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3" name="Line 19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4" name="Line 19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5" name="Line 20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6" name="Line 20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7" name="Line 20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8" name="Line 20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69" name="Line 20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0" name="Line 20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1" name="Line 20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2" name="Line 20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3" name="Line 20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4" name="Line 20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5" name="Line 20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6" name="Line 20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7" name="Line 20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8" name="Line 20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79" name="Line 20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0" name="Line 20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1" name="Line 20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2" name="Line 20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3" name="Line 20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4" name="Line 20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5" name="Line 20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6" name="Line 20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7" name="Line 20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8" name="Line 20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89" name="Line 20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0" name="Line 20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1" name="Line 20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2" name="Line 20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3" name="Line 20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4" name="Line 20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5" name="Line 20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6" name="Line 20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7" name="Line 20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8" name="Line 20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8999" name="Line 20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0" name="Line 20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1" name="Line 20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2" name="Line 20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3" name="Line 20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4" name="Line 20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5" name="Line 20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6" name="Line 20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7" name="Line 20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8" name="Line 20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09" name="Line 20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0" name="Line 20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1" name="Line 20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2" name="Line 20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3" name="Line 20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4" name="Line 20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5" name="Line 20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6" name="Line 20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7" name="Line 20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8" name="Line 20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19" name="Line 20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0" name="Line 20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1" name="Line 20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2" name="Line 20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3" name="Line 20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4" name="Line 20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5" name="Line 20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6" name="Line 20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7" name="Line 20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8" name="Line 20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29" name="Line 20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0" name="Line 20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1" name="Line 20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2" name="Line 20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3" name="Line 20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4" name="Line 20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5" name="Line 20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6" name="Line 20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7" name="Line 20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8" name="Line 20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39" name="Line 20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0" name="Line 20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1" name="Line 20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2" name="Line 20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3" name="Line 20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4" name="Line 20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5" name="Line 20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6" name="Line 20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7" name="Line 20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8" name="Line 20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49" name="Line 20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0" name="Line 20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1" name="Line 20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2" name="Line 20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3" name="Line 21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4" name="Line 21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5" name="Line 21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6" name="Line 21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7" name="Line 21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8" name="Line 21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59" name="Line 21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0" name="Line 21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1" name="Line 21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2" name="Line 21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3" name="Line 21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4" name="Line 21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5" name="Line 21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6" name="Line 21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7" name="Line 21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8" name="Line 21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69" name="Line 21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0" name="Line 21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1" name="Line 21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2" name="Line 21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3" name="Line 21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4" name="Line 21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5" name="Line 21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6" name="Line 21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7" name="Line 21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8" name="Line 21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79" name="Line 21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0" name="Line 21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1" name="Line 21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2" name="Line 21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3" name="Line 21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4" name="Line 21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5" name="Line 21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6" name="Line 21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7" name="Line 21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8" name="Line 21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89" name="Line 21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0" name="Line 21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1" name="Line 21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2" name="Line 21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3" name="Line 21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4" name="Line 21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5" name="Line 21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6" name="Line 21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7" name="Line 21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8" name="Line 21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099" name="Line 21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0" name="Line 21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1" name="Line 21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2" name="Line 21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3" name="Line 21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4" name="Line 21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5" name="Line 21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6" name="Line 21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7" name="Line 21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8" name="Line 21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09" name="Line 21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0" name="Line 21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1" name="Line 21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2" name="Line 21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3" name="Line 21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4" name="Line 21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5" name="Line 21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6" name="Line 21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7" name="Line 21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8" name="Line 21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19" name="Line 21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0" name="Line 21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1" name="Line 21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2" name="Line 21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3" name="Line 21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4" name="Line 21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5" name="Line 21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6" name="Line 21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7" name="Line 21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8" name="Line 21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29" name="Line 21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0" name="Line 21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1" name="Line 21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2" name="Line 21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3" name="Line 21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4" name="Line 21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5" name="Line 21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6" name="Line 21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7" name="Line 21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8" name="Line 21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39" name="Line 21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0" name="Line 21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1" name="Line 21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2" name="Line 21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3" name="Line 21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4" name="Line 21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5" name="Line 21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6" name="Line 21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7" name="Line 21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8" name="Line 21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49" name="Line 21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0" name="Line 21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1" name="Line 21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2" name="Line 21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3" name="Line 22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4" name="Line 22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5" name="Line 22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6" name="Line 22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7" name="Line 22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8" name="Line 22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59" name="Line 22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0" name="Line 22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1" name="Line 22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2" name="Line 22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3" name="Line 22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4" name="Line 22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5" name="Line 22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6" name="Line 22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7" name="Line 22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8" name="Line 22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69" name="Line 22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0" name="Line 22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1" name="Line 22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2" name="Line 22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3" name="Line 22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4" name="Line 22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5" name="Line 22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6" name="Line 22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7" name="Line 22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8" name="Line 22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79" name="Line 22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0" name="Line 22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1" name="Line 22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2" name="Line 22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3" name="Line 22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4" name="Line 22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5" name="Line 22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6" name="Line 22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7" name="Line 22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8" name="Line 22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89" name="Line 22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0" name="Line 22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1" name="Line 22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2" name="Line 22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3" name="Line 22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4" name="Line 22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5" name="Line 22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6" name="Line 22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7" name="Line 22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8" name="Line 22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199" name="Line 22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0" name="Line 22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1" name="Line 22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2" name="Line 22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3" name="Line 22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4" name="Line 22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5" name="Line 22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6" name="Line 22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7" name="Line 22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8" name="Line 22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09" name="Line 22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0" name="Line 22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1" name="Line 22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2" name="Line 22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3" name="Line 22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4" name="Line 22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5" name="Line 22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6" name="Line 22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7" name="Line 22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8" name="Line 22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19" name="Line 22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0" name="Line 22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1" name="Line 22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2" name="Line 22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3" name="Line 22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4" name="Line 22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5" name="Line 22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6" name="Line 22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7" name="Line 22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8" name="Line 22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29" name="Line 22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0" name="Line 22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1" name="Line 22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2" name="Line 22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3" name="Line 22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4" name="Line 22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5" name="Line 22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6" name="Line 22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7" name="Line 23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8" name="Line 23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39" name="Line 23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0" name="Line 23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1" name="Line 23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2" name="Line 23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3" name="Line 23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4" name="Line 23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5" name="Line 23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6" name="Line 23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7" name="Line 23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8" name="Line 23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49" name="Line 23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0" name="Line 23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1" name="Line 23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2" name="Line 23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3" name="Line 23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4" name="Line 23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5" name="Line 23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6" name="Line 23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7" name="Line 23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8" name="Line 23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59" name="Line 23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0" name="Line 23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1" name="Line 23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2" name="Line 23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3" name="Line 23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4" name="Line 23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5" name="Line 23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6" name="Line 23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7" name="Line 23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8" name="Line 23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69" name="Line 23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0" name="Line 23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1" name="Line 23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2" name="Line 23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3" name="Line 23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4" name="Line 23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5" name="Line 23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6" name="Line 23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7" name="Line 23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8" name="Line 23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79" name="Line 23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0" name="Line 23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1" name="Line 23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2" name="Line 23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3" name="Line 23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4" name="Line 23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5" name="Line 23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6" name="Line 23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7" name="Line 23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8" name="Line 23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89" name="Line 23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0" name="Line 23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1" name="Line 23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2" name="Line 23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3" name="Line 23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4" name="Line 23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5" name="Line 23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6" name="Line 23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7" name="Line 23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8" name="Line 23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299" name="Line 23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0" name="Line 23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1" name="Line 23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2" name="Line 23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3" name="Line 23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4" name="Line 23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5" name="Line 23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6" name="Line 23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7" name="Line 23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8" name="Line 23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09" name="Line 23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0" name="Line 23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1" name="Line 23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2" name="Line 23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3" name="Line 23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4" name="Line 23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5" name="Line 23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6" name="Line 23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7" name="Line 24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8" name="Line 24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19" name="Line 24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0" name="Line 24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1" name="Line 24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2" name="Line 24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3" name="Line 24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4" name="Line 24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5" name="Line 24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6" name="Line 24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7" name="Line 24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8" name="Line 24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29" name="Line 24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0" name="Line 24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1" name="Line 24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2" name="Line 24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3" name="Line 24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4" name="Line 24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5" name="Line 24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6" name="Line 24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7" name="Line 24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8" name="Line 24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39" name="Line 24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0" name="Line 24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1" name="Line 24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2" name="Line 24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3" name="Line 24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4" name="Line 24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5" name="Line 24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6" name="Line 24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7" name="Line 24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8" name="Line 24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49" name="Line 24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0" name="Line 24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1" name="Line 24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2" name="Line 24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3" name="Line 24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4" name="Line 24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5" name="Line 24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6" name="Line 24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7" name="Line 24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8" name="Line 24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59" name="Line 24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0" name="Line 24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1" name="Line 24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2" name="Line 24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3" name="Line 24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4" name="Line 24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5" name="Line 24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6" name="Line 24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7" name="Line 24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8" name="Line 24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69" name="Line 24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0" name="Line 24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1" name="Line 24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2" name="Line 24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3" name="Line 24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4" name="Line 24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5" name="Line 24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6" name="Line 24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7" name="Line 24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8" name="Line 24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79" name="Line 24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0" name="Line 24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1" name="Line 24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2" name="Line 24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3" name="Line 24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4" name="Line 24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5" name="Line 24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6" name="Line 24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7" name="Line 24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8" name="Line 24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89" name="Line 24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0" name="Line 24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1" name="Line 24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2" name="Line 24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3" name="Line 24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4" name="Line 24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5" name="Line 24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6" name="Line 24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7" name="Line 24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8" name="Line 24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399" name="Line 24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0" name="Line 24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1" name="Line 24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2" name="Line 24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3" name="Line 24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4" name="Line 24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5" name="Line 25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6" name="Line 25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7" name="Line 25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8" name="Line 25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09" name="Line 25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0" name="Line 25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1" name="Line 25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2" name="Line 25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3" name="Line 25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4" name="Line 25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5" name="Line 25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6" name="Line 25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7" name="Line 25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8" name="Line 25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19" name="Line 25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0" name="Line 25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1" name="Line 25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2" name="Line 25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3" name="Line 25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4" name="Line 25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5" name="Line 25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6" name="Line 25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7" name="Line 25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8" name="Line 25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29" name="Line 25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0" name="Line 25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1" name="Line 25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2" name="Line 25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3" name="Line 25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4" name="Line 25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5" name="Line 25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6" name="Line 25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7" name="Line 25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8" name="Line 25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39" name="Line 25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0" name="Line 25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1" name="Line 25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2" name="Line 25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3" name="Line 25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4" name="Line 25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5" name="Line 25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6" name="Line 25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7" name="Line 25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8" name="Line 25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49" name="Line 25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0" name="Line 25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1" name="Line 25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2" name="Line 25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3" name="Line 25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4" name="Line 25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5" name="Line 25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6" name="Line 25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7" name="Line 25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8" name="Line 25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59" name="Line 25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0" name="Line 25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1" name="Line 25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2" name="Line 25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3" name="Line 25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4" name="Line 25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5" name="Line 25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6" name="Line 25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7" name="Line 25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8" name="Line 25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69" name="Line 25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0" name="Line 25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1" name="Line 25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2" name="Line 25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3" name="Line 25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4" name="Line 25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5" name="Line 25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6" name="Line 25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7" name="Line 25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8" name="Line 25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79" name="Line 25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0" name="Line 25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1" name="Line 25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2" name="Line 25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3" name="Line 25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4" name="Line 25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5" name="Line 25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6" name="Line 25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7" name="Line 25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8" name="Line 25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89" name="Line 25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0" name="Line 25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1" name="Line 25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2" name="Line 25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3" name="Line 25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4" name="Line 25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5" name="Line 25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6" name="Line 25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7" name="Line 25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8" name="Line 25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499" name="Line 25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0" name="Line 25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1" name="Line 25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2" name="Line 25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3" name="Line 25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4" name="Line 25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5" name="Line 26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6" name="Line 26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7" name="Line 26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8" name="Line 26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09" name="Line 26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0" name="Line 26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1" name="Line 26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2" name="Line 26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3" name="Line 26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4" name="Line 26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5" name="Line 26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6" name="Line 26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7" name="Line 26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8" name="Line 26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19" name="Line 26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0" name="Line 26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1" name="Line 26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2" name="Line 26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3" name="Line 26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4" name="Line 26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5" name="Line 26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6" name="Line 26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7" name="Line 26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8" name="Line 26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29" name="Line 26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0" name="Line 26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1" name="Line 26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2" name="Line 26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3" name="Line 26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4" name="Line 26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5" name="Line 26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6" name="Line 26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7" name="Line 26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8" name="Line 264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39" name="Line 264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0" name="Line 264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1" name="Line 265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2" name="Line 26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3" name="Line 26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4" name="Line 26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5" name="Line 26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6" name="Line 26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7" name="Line 26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8" name="Line 26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49" name="Line 26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0" name="Line 26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1" name="Line 26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2" name="Line 26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3" name="Line 26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4" name="Line 26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5" name="Line 26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6" name="Line 26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7" name="Line 26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8" name="Line 26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59" name="Line 26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0" name="Line 26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1" name="Line 26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2" name="Line 26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3" name="Line 26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4" name="Line 26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5" name="Line 26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6" name="Line 26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7" name="Line 26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8" name="Line 26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69" name="Line 26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0" name="Line 26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1" name="Line 26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2" name="Line 26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3" name="Line 26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4" name="Line 26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5" name="Line 26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6" name="Line 26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7" name="Line 26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8" name="Line 26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79" name="Line 26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0" name="Line 26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1" name="Line 26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2" name="Line 26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3" name="Line 26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4" name="Line 26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5" name="Line 26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6" name="Line 26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7" name="Line 26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8" name="Line 26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89" name="Line 26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0" name="Line 26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1" name="Line 27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2" name="Line 27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3" name="Line 27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4" name="Line 27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5" name="Line 27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6" name="Line 27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7" name="Line 27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8" name="Line 27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599" name="Line 27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0" name="Line 27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1" name="Line 27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2" name="Line 27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3" name="Line 27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4" name="Line 27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5" name="Line 27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6" name="Line 27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7" name="Line 27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8" name="Line 27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09" name="Line 27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0" name="Line 27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1" name="Line 27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2" name="Line 27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3" name="Line 27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4" name="Line 27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5" name="Line 27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6" name="Line 27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7" name="Line 27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8" name="Line 27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19" name="Line 27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0" name="Line 27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1" name="Line 27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2" name="Line 27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3" name="Line 27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4" name="Line 27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5" name="Line 27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6" name="Line 27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7" name="Line 27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8" name="Line 27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29" name="Line 27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0" name="Line 275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1" name="Line 275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2" name="Line 275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3" name="Line 275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4" name="Line 275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5" name="Line 275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6" name="Line 275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7" name="Line 275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8" name="Line 275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39" name="Line 276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0" name="Line 276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1" name="Line 276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2" name="Line 276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3" name="Line 276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4" name="Line 276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5" name="Line 276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6" name="Line 276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7" name="Line 276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8" name="Line 276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49" name="Line 277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0" name="Line 277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1" name="Line 277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2" name="Line 277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3" name="Line 277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4" name="Line 277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5" name="Line 277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6" name="Line 277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7" name="Line 277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8" name="Line 277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59" name="Line 278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0" name="Line 278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1" name="Line 278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2" name="Line 278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3" name="Line 278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4" name="Line 278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5" name="Line 278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6" name="Line 278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7" name="Line 278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8" name="Line 278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69" name="Line 279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0" name="Line 279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1" name="Line 279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2" name="Line 279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3" name="Line 279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4" name="Line 279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5" name="Line 27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6" name="Line 27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7" name="Line 27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8" name="Line 27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79" name="Line 28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0" name="Line 28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1" name="Line 28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2" name="Line 28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3" name="Line 28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4" name="Line 28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5" name="Line 28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6" name="Line 28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7" name="Line 28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8" name="Line 28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89" name="Line 28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0" name="Line 28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1" name="Line 28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2" name="Line 28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3" name="Line 28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4" name="Line 28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5" name="Line 28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6" name="Line 28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7" name="Line 28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8" name="Line 28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699" name="Line 282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0" name="Line 282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1" name="Line 282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2" name="Line 282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3" name="Line 282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4" name="Line 282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5" name="Line 282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6" name="Line 282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7" name="Line 282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8" name="Line 282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09" name="Line 283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0" name="Line 283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1" name="Line 283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2" name="Line 283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3" name="Line 283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4" name="Line 283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5" name="Line 283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6" name="Line 283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7" name="Line 283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8" name="Line 283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19" name="Line 284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0" name="Line 284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1" name="Line 284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2" name="Line 284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3" name="Line 284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4" name="Line 284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5" name="Line 284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6" name="Line 289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7" name="Line 289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8" name="Line 289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29" name="Line 289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0" name="Line 290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1" name="Line 290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2" name="Line 290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3" name="Line 290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4" name="Line 290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5" name="Line 290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6" name="Line 290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7" name="Line 290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8" name="Line 290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39" name="Line 290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0" name="Line 2910"/>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1" name="Line 2911"/>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2" name="Line 2912"/>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3" name="Line 2913"/>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4" name="Line 2914"/>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5" name="Line 2915"/>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6" name="Line 2916"/>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7" name="Line 2917"/>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8" name="Line 2918"/>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10</xdr:col>
      <xdr:colOff>0</xdr:colOff>
      <xdr:row>22</xdr:row>
      <xdr:rowOff>0</xdr:rowOff>
    </xdr:from>
    <xdr:to>
      <xdr:col>10</xdr:col>
      <xdr:colOff>0</xdr:colOff>
      <xdr:row>22</xdr:row>
      <xdr:rowOff>0</xdr:rowOff>
    </xdr:to>
    <xdr:sp macro="" textlink="">
      <xdr:nvSpPr>
        <xdr:cNvPr id="9749" name="Line 2919"/>
        <xdr:cNvSpPr>
          <a:spLocks noChangeShapeType="1"/>
        </xdr:cNvSpPr>
      </xdr:nvSpPr>
      <xdr:spPr bwMode="auto">
        <a:xfrm flipH="1">
          <a:off x="187452000" y="8515350"/>
          <a:ext cx="0" cy="0"/>
        </a:xfrm>
        <a:prstGeom prst="line">
          <a:avLst/>
        </a:prstGeom>
        <a:noFill/>
        <a:ln w="17145">
          <a:solidFill>
            <a:srgbClr val="000000"/>
          </a:solidFill>
          <a:round/>
          <a:headEnd/>
          <a:tailEnd/>
        </a:ln>
      </xdr:spPr>
    </xdr:sp>
    <xdr:clientData/>
  </xdr:twoCellAnchor>
  <xdr:twoCellAnchor>
    <xdr:from>
      <xdr:col>8</xdr:col>
      <xdr:colOff>78442</xdr:colOff>
      <xdr:row>0</xdr:row>
      <xdr:rowOff>459441</xdr:rowOff>
    </xdr:from>
    <xdr:to>
      <xdr:col>9</xdr:col>
      <xdr:colOff>605117</xdr:colOff>
      <xdr:row>6</xdr:row>
      <xdr:rowOff>156882</xdr:rowOff>
    </xdr:to>
    <xdr:sp macro="" textlink="">
      <xdr:nvSpPr>
        <xdr:cNvPr id="1560" name="Flèche droite à entaille 1559">
          <a:hlinkClick xmlns:r="http://schemas.openxmlformats.org/officeDocument/2006/relationships" r:id="rId1" tooltip="الفرعية1"/>
        </xdr:cNvPr>
        <xdr:cNvSpPr/>
      </xdr:nvSpPr>
      <xdr:spPr>
        <a:xfrm>
          <a:off x="12477144883" y="459441"/>
          <a:ext cx="2577352" cy="1445559"/>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800" b="1">
              <a:latin typeface="Estrangelo Edessa" pitchFamily="66" charset="0"/>
              <a:cs typeface="Estrangelo Edessa" pitchFamily="66" charset="0"/>
            </a:rPr>
            <a:t>العودة</a:t>
          </a:r>
          <a:r>
            <a:rPr lang="ar-DZ" sz="2800" b="1" baseline="0">
              <a:latin typeface="Estrangelo Edessa" pitchFamily="66" charset="0"/>
              <a:cs typeface="Estrangelo Edessa" pitchFamily="66" charset="0"/>
            </a:rPr>
            <a:t> إلى واجهة العمال الدائمين</a:t>
          </a:r>
          <a:endParaRPr lang="fr-FR" sz="2800" b="1">
            <a:latin typeface="Estrangelo Edessa" pitchFamily="66" charset="0"/>
            <a:cs typeface="Estrangelo Edessa" pitchFamily="66"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76200</xdr:colOff>
      <xdr:row>0</xdr:row>
      <xdr:rowOff>0</xdr:rowOff>
    </xdr:from>
    <xdr:to>
      <xdr:col>10</xdr:col>
      <xdr:colOff>903219</xdr:colOff>
      <xdr:row>4</xdr:row>
      <xdr:rowOff>171450</xdr:rowOff>
    </xdr:to>
    <xdr:sp macro="" textlink="">
      <xdr:nvSpPr>
        <xdr:cNvPr id="3" name="Flèche droite à entaille 2">
          <a:hlinkClick xmlns:r="http://schemas.openxmlformats.org/officeDocument/2006/relationships" r:id="rId1" tooltip="الفرعية1"/>
        </xdr:cNvPr>
        <xdr:cNvSpPr/>
      </xdr:nvSpPr>
      <xdr:spPr>
        <a:xfrm>
          <a:off x="12476465781" y="0"/>
          <a:ext cx="2265294" cy="13525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400" b="1">
              <a:latin typeface="Estrangelo Edessa" pitchFamily="66" charset="0"/>
              <a:cs typeface="Estrangelo Edessa" pitchFamily="66" charset="0"/>
            </a:rPr>
            <a:t>العودة</a:t>
          </a:r>
          <a:r>
            <a:rPr lang="ar-DZ" sz="2400" b="1" baseline="0">
              <a:latin typeface="Estrangelo Edessa" pitchFamily="66" charset="0"/>
              <a:cs typeface="Estrangelo Edessa" pitchFamily="66" charset="0"/>
            </a:rPr>
            <a:t> إلى واجهة العمال الدائمين</a:t>
          </a:r>
          <a:endParaRPr lang="fr-FR" sz="2400" b="1">
            <a:latin typeface="Estrangelo Edessa" pitchFamily="66" charset="0"/>
            <a:cs typeface="Estrangelo Edessa" pitchFamily="66" charset="0"/>
          </a:endParaRPr>
        </a:p>
      </xdr:txBody>
    </xdr:sp>
    <xdr:clientData/>
  </xdr:twoCellAnchor>
  <xdr:twoCellAnchor>
    <xdr:from>
      <xdr:col>9</xdr:col>
      <xdr:colOff>133349</xdr:colOff>
      <xdr:row>11</xdr:row>
      <xdr:rowOff>276225</xdr:rowOff>
    </xdr:from>
    <xdr:to>
      <xdr:col>10</xdr:col>
      <xdr:colOff>942974</xdr:colOff>
      <xdr:row>16</xdr:row>
      <xdr:rowOff>152400</xdr:rowOff>
    </xdr:to>
    <xdr:sp macro="" textlink="">
      <xdr:nvSpPr>
        <xdr:cNvPr id="5" name="Flèche droite à entaille 4">
          <a:hlinkClick xmlns:r="http://schemas.openxmlformats.org/officeDocument/2006/relationships" r:id="rId2" tooltip="ورقة العمل"/>
        </xdr:cNvPr>
        <xdr:cNvSpPr/>
      </xdr:nvSpPr>
      <xdr:spPr>
        <a:xfrm>
          <a:off x="12476426026" y="3524250"/>
          <a:ext cx="2247900" cy="135255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57978</xdr:colOff>
      <xdr:row>0</xdr:row>
      <xdr:rowOff>82826</xdr:rowOff>
    </xdr:from>
    <xdr:to>
      <xdr:col>7</xdr:col>
      <xdr:colOff>795130</xdr:colOff>
      <xdr:row>3</xdr:row>
      <xdr:rowOff>215348</xdr:rowOff>
    </xdr:to>
    <xdr:sp macro="" textlink="">
      <xdr:nvSpPr>
        <xdr:cNvPr id="3" name="Flèche droite à entaille 2">
          <a:hlinkClick xmlns:r="http://schemas.openxmlformats.org/officeDocument/2006/relationships" r:id="rId1" tooltip="الفرعية1"/>
        </xdr:cNvPr>
        <xdr:cNvSpPr/>
      </xdr:nvSpPr>
      <xdr:spPr>
        <a:xfrm>
          <a:off x="12480441848" y="82826"/>
          <a:ext cx="1789044" cy="110987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العودة</a:t>
          </a:r>
          <a:r>
            <a:rPr lang="ar-DZ" sz="2000" b="1" baseline="0">
              <a:latin typeface="Estrangelo Edessa" pitchFamily="66" charset="0"/>
              <a:cs typeface="Estrangelo Edessa" pitchFamily="66" charset="0"/>
            </a:rPr>
            <a:t> إلى واجهة العمال الدائمين</a:t>
          </a:r>
          <a:endParaRPr lang="fr-FR" sz="2000" b="1">
            <a:latin typeface="Estrangelo Edessa" pitchFamily="66" charset="0"/>
            <a:cs typeface="Estrangelo Edessa" pitchFamily="66" charset="0"/>
          </a:endParaRPr>
        </a:p>
      </xdr:txBody>
    </xdr:sp>
    <xdr:clientData/>
  </xdr:twoCellAnchor>
  <xdr:twoCellAnchor>
    <xdr:from>
      <xdr:col>5</xdr:col>
      <xdr:colOff>49697</xdr:colOff>
      <xdr:row>3</xdr:row>
      <xdr:rowOff>248478</xdr:rowOff>
    </xdr:from>
    <xdr:to>
      <xdr:col>7</xdr:col>
      <xdr:colOff>1010480</xdr:colOff>
      <xdr:row>8</xdr:row>
      <xdr:rowOff>49696</xdr:rowOff>
    </xdr:to>
    <xdr:sp macro="" textlink="">
      <xdr:nvSpPr>
        <xdr:cNvPr id="4" name="Flèche droite à entaille 3">
          <a:hlinkClick xmlns:r="http://schemas.openxmlformats.org/officeDocument/2006/relationships" r:id="rId2" tooltip="ورقة العمل"/>
        </xdr:cNvPr>
        <xdr:cNvSpPr/>
      </xdr:nvSpPr>
      <xdr:spPr>
        <a:xfrm>
          <a:off x="12480226498" y="1225826"/>
          <a:ext cx="2012675" cy="1143000"/>
        </a:xfrm>
        <a:prstGeom prst="notchedRigh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rtlCol="0" anchor="ctr"/>
        <a:lstStyle/>
        <a:p>
          <a:pPr algn="ctr" rtl="1"/>
          <a:r>
            <a:rPr lang="ar-DZ" sz="2000" b="1">
              <a:latin typeface="Estrangelo Edessa" pitchFamily="66" charset="0"/>
              <a:cs typeface="Estrangelo Edessa" pitchFamily="66" charset="0"/>
            </a:rPr>
            <a:t>الإنتقال إلى ورقة العمل للتدقيق و التحقق</a:t>
          </a:r>
          <a:endParaRPr lang="fr-FR" sz="2000" b="1">
            <a:latin typeface="Estrangelo Edessa" pitchFamily="66" charset="0"/>
            <a:cs typeface="Estrangelo Edessa" pitchFamily="66"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Microsoft%20Office\Office12\xlstart\PERS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MAINES\ann&#233;e%202019\&#1575;&#1587;&#1578;&#1585;&#1580;&#1575;&#1593;%20&#1575;&#1604;&#1575;&#1605;&#1608;&#1575;&#1604;2019\&#1573;&#1587;&#1578;&#1585;&#1580;&#1575;&#1593;%20&#1575;&#1604;&#1571;&#1605;&#1608;&#1575;&#1604;20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rrete.MAJ"/>
      <sheetName val="Feuil1"/>
      <sheetName val="Arrete.MAJ (2)"/>
      <sheetName val="Module1"/>
    </sheetNames>
    <definedNames>
      <definedName name="Arreta"/>
    </definedNames>
    <sheetDataSet>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جدول الارسال"/>
      <sheetName val="إسترجاع الأموال "/>
    </sheetNames>
    <sheetDataSet>
      <sheetData sheetId="0"/>
      <sheetData sheetId="1">
        <row r="18">
          <cell r="B18" t="str">
            <v xml:space="preserve">أسبـــاب الدفـــع </v>
          </cell>
        </row>
        <row r="111">
          <cell r="B111" t="str">
            <v xml:space="preserve">خصم خمسة ( 05 ) يوم بسبب عطلة مرضية </v>
          </cell>
        </row>
        <row r="134">
          <cell r="B134" t="str">
            <v xml:space="preserve">خصم عشرة ( 10 ) يوم بسبب عطلة مرضية </v>
          </cell>
        </row>
        <row r="157">
          <cell r="B157" t="str">
            <v xml:space="preserve">خصم يومان ( 02 ) يوم بسبب عطلة مرضية </v>
          </cell>
        </row>
        <row r="180">
          <cell r="B180" t="str">
            <v xml:space="preserve">خصم ثلاثة ( 03 ) يوم بسبب غياب غير شرعي  </v>
          </cell>
        </row>
        <row r="203">
          <cell r="B203" t="str">
            <v>خصم سبعة ( 07 ) يوم بسبب عطلة مرضية</v>
          </cell>
        </row>
        <row r="219">
          <cell r="B219" t="str">
            <v>السيــــد :</v>
          </cell>
        </row>
        <row r="226">
          <cell r="B226" t="str">
            <v>خصم يومين ( 02 ) يوم بسبب غياب غير شرعي</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tabColor rgb="FF00B0F0"/>
  </sheetPr>
  <dimension ref="A1:P43"/>
  <sheetViews>
    <sheetView showGridLines="0" rightToLeft="1" tabSelected="1" workbookViewId="0">
      <selection activeCell="N8" sqref="N8"/>
    </sheetView>
  </sheetViews>
  <sheetFormatPr baseColWidth="10" defaultColWidth="0" defaultRowHeight="12.75" zeroHeight="1"/>
  <cols>
    <col min="1" max="1" width="11.42578125" style="1067" customWidth="1"/>
    <col min="2" max="2" width="17" style="1067" customWidth="1"/>
    <col min="3" max="12" width="11.42578125" style="1067" customWidth="1"/>
    <col min="13" max="14" width="15.85546875" style="1067" customWidth="1"/>
    <col min="15" max="15" width="11.42578125" style="1067" hidden="1" customWidth="1"/>
    <col min="16" max="16" width="15.28515625" style="1067" hidden="1" customWidth="1"/>
    <col min="17" max="16384" width="11.42578125" style="1067" hidden="1"/>
  </cols>
  <sheetData>
    <row r="1" spans="14:14"/>
    <row r="2" spans="14:14"/>
    <row r="3" spans="14:14"/>
    <row r="4" spans="14:14"/>
    <row r="5" spans="14:14"/>
    <row r="6" spans="14:14"/>
    <row r="7" spans="14:14"/>
    <row r="8" spans="14:14" ht="33.75">
      <c r="N8" s="986" t="s">
        <v>629</v>
      </c>
    </row>
    <row r="9" spans="14:14" ht="33.75">
      <c r="N9" s="987">
        <v>69</v>
      </c>
    </row>
    <row r="10" spans="14:14" ht="18">
      <c r="N10" s="1070">
        <v>43617</v>
      </c>
    </row>
    <row r="11" spans="14:14"/>
    <row r="12" spans="14:14">
      <c r="N12" s="1068"/>
    </row>
    <row r="13" spans="14:14">
      <c r="N13" s="1068"/>
    </row>
    <row r="14" spans="14:14" s="1068" customFormat="1"/>
    <row r="15" spans="14:14" s="1068" customFormat="1"/>
    <row r="16" spans="14:14" s="1068" customFormat="1"/>
    <row r="17" s="1068" customFormat="1"/>
    <row r="18" s="1068" customFormat="1"/>
    <row r="19" s="1068" customFormat="1"/>
    <row r="20" s="1068" customFormat="1"/>
    <row r="21" s="1068" customFormat="1"/>
    <row r="22" s="1068" customFormat="1"/>
    <row r="23" s="1068" customFormat="1"/>
    <row r="24" s="1068" customFormat="1"/>
    <row r="25" s="1068" customFormat="1"/>
    <row r="26" s="1068" customFormat="1"/>
    <row r="27" s="1068" customFormat="1"/>
    <row r="28" s="1068" customFormat="1"/>
    <row r="29" s="1068" customFormat="1"/>
    <row r="30" s="1068" customFormat="1"/>
    <row r="31" s="1068" customFormat="1"/>
    <row r="32" s="1068" customFormat="1"/>
    <row r="33" s="1068" customFormat="1"/>
    <row r="34" s="1068" customFormat="1"/>
    <row r="35" s="1068" customFormat="1"/>
    <row r="36" s="1068" customFormat="1"/>
    <row r="37" s="1068" customFormat="1" hidden="1"/>
    <row r="38" s="1068" customFormat="1" hidden="1"/>
    <row r="39" s="1068" customFormat="1" hidden="1"/>
    <row r="40" s="1068" customFormat="1" hidden="1"/>
    <row r="41" s="1068" customFormat="1" hidden="1"/>
    <row r="42" s="1068" customFormat="1" hidden="1"/>
    <row r="43" s="1068" customFormat="1" hidden="1"/>
  </sheetData>
  <dataValidations count="1">
    <dataValidation type="list" allowBlank="1" showInputMessage="1" showErrorMessage="1" sqref="N8">
      <formula1>"جانفي,فيفري,مارس,أفريل,ماي,جوان,جويلية,أوت,سبتمبر,أكتوبر,نوفمبر,ديسمبر"</formula1>
    </dataValidation>
  </dataValidations>
  <pageMargins left="0.7" right="0.7" top="0.75" bottom="0.75" header="0.3" footer="0.3"/>
  <pageSetup paperSize="9" orientation="portrait" horizontalDpi="180" verticalDpi="180" r:id="rId1"/>
  <drawing r:id="rId2"/>
  <legacyDrawing r:id="rId3"/>
</worksheet>
</file>

<file path=xl/worksheets/sheet10.xml><?xml version="1.0" encoding="utf-8"?>
<worksheet xmlns="http://schemas.openxmlformats.org/spreadsheetml/2006/main" xmlns:r="http://schemas.openxmlformats.org/officeDocument/2006/relationships">
  <sheetPr>
    <tabColor rgb="FF00B050"/>
  </sheetPr>
  <dimension ref="A1:G97"/>
  <sheetViews>
    <sheetView rightToLeft="1" view="pageBreakPreview" topLeftCell="A82" zoomScale="115" zoomScaleNormal="70" workbookViewId="0">
      <selection activeCell="A7" sqref="A7:D7"/>
    </sheetView>
  </sheetViews>
  <sheetFormatPr baseColWidth="10" defaultRowHeight="15"/>
  <cols>
    <col min="1" max="1" width="11.7109375" customWidth="1"/>
    <col min="2" max="2" width="24.28515625" customWidth="1"/>
    <col min="3" max="3" width="21" customWidth="1"/>
    <col min="4" max="4" width="31.140625" customWidth="1"/>
    <col min="5" max="5" width="6.5703125" style="952" customWidth="1"/>
    <col min="6" max="6" width="6.5703125" style="953" customWidth="1"/>
  </cols>
  <sheetData>
    <row r="1" spans="1:7" ht="27">
      <c r="A1" s="1461" t="s">
        <v>1</v>
      </c>
      <c r="B1" s="1461"/>
      <c r="C1" s="1461"/>
      <c r="D1" s="1461"/>
    </row>
    <row r="2" spans="1:7" ht="20.25">
      <c r="A2" s="453"/>
      <c r="B2" s="298"/>
      <c r="C2" s="298"/>
      <c r="D2" s="298"/>
    </row>
    <row r="3" spans="1:7" ht="20.25">
      <c r="A3" s="1359" t="s">
        <v>903</v>
      </c>
      <c r="B3" s="546"/>
      <c r="C3" s="298"/>
      <c r="D3" s="298"/>
      <c r="G3" s="182"/>
    </row>
    <row r="4" spans="1:7" ht="20.25">
      <c r="A4" s="1359" t="s">
        <v>810</v>
      </c>
      <c r="B4" s="546"/>
      <c r="D4" s="1361" t="s">
        <v>772</v>
      </c>
    </row>
    <row r="5" spans="1:7" ht="45.75" customHeight="1">
      <c r="A5" s="1465" t="s">
        <v>331</v>
      </c>
      <c r="B5" s="1465"/>
      <c r="C5" s="1465"/>
      <c r="D5" s="1465"/>
    </row>
    <row r="6" spans="1:7" ht="32.25" customHeight="1">
      <c r="A6" s="1462" t="s">
        <v>330</v>
      </c>
      <c r="B6" s="1462"/>
      <c r="C6" s="1462"/>
      <c r="D6" s="1462"/>
    </row>
    <row r="7" spans="1:7" ht="23.25">
      <c r="A7" s="1466" t="s">
        <v>904</v>
      </c>
      <c r="B7" s="1466"/>
      <c r="C7" s="1466"/>
      <c r="D7" s="1466"/>
      <c r="F7" s="954"/>
    </row>
    <row r="8" spans="1:7" ht="18">
      <c r="A8" s="547" t="s">
        <v>252</v>
      </c>
      <c r="B8" s="1322" t="str">
        <f>الرئيسية!N8</f>
        <v>جوان</v>
      </c>
      <c r="C8" s="547" t="s">
        <v>253</v>
      </c>
      <c r="D8" s="1323">
        <f ca="1">YEAR(TODAY())</f>
        <v>2019</v>
      </c>
      <c r="F8" s="955"/>
    </row>
    <row r="9" spans="1:7">
      <c r="A9" s="298"/>
      <c r="B9" s="298"/>
      <c r="C9" s="298"/>
      <c r="D9" s="298"/>
    </row>
    <row r="10" spans="1:7" ht="30" customHeight="1">
      <c r="A10" s="1460" t="s">
        <v>254</v>
      </c>
      <c r="B10" s="1460"/>
      <c r="C10" s="1463" t="s">
        <v>255</v>
      </c>
      <c r="D10" s="553" t="s">
        <v>329</v>
      </c>
    </row>
    <row r="11" spans="1:7" ht="30" customHeight="1">
      <c r="A11" s="555" t="s">
        <v>328</v>
      </c>
      <c r="B11" s="554"/>
      <c r="C11" s="1464"/>
      <c r="D11" s="1336">
        <f>الرئيسية!N10</f>
        <v>43617</v>
      </c>
      <c r="E11" s="956"/>
    </row>
    <row r="12" spans="1:7" ht="33" customHeight="1">
      <c r="A12" s="1470" t="str">
        <f>CONCATENATE(," ",B8)</f>
        <v xml:space="preserve"> جوان</v>
      </c>
      <c r="B12" s="1471"/>
      <c r="C12" s="1317">
        <f>VLOOKUP(D12,TABMAND,S2+8,FALSE)</f>
        <v>4526.99</v>
      </c>
      <c r="D12" s="1316">
        <v>73</v>
      </c>
      <c r="E12" s="957"/>
    </row>
    <row r="13" spans="1:7">
      <c r="A13" s="298"/>
      <c r="B13" s="298"/>
      <c r="C13" s="298"/>
      <c r="D13" s="298"/>
    </row>
    <row r="14" spans="1:7" ht="31.5" customHeight="1">
      <c r="A14" s="548" t="s">
        <v>256</v>
      </c>
      <c r="B14" s="549"/>
      <c r="C14" s="551" t="s">
        <v>257</v>
      </c>
      <c r="D14" s="552" t="s">
        <v>258</v>
      </c>
      <c r="E14" s="1308">
        <v>1</v>
      </c>
      <c r="F14" s="1308" t="str">
        <f>LOOKUP(D12,'ورقة العمل'!Y2:Y12,'ورقة العمل'!X2:X12)</f>
        <v>الحساب الجاري البريدي</v>
      </c>
    </row>
    <row r="15" spans="1:7" ht="15.75">
      <c r="A15" s="958">
        <f>'ETAT-PAY-PERM'!A15</f>
        <v>1</v>
      </c>
      <c r="B15" s="959" t="str">
        <f>'ETAT-PAY-PERM'!C15</f>
        <v>لللللللللللللللللللللل</v>
      </c>
      <c r="C15" s="552">
        <f>LOOKUP(A15,'Base-D'!A:A,'Base-D'!Q:Q)</f>
        <v>0</v>
      </c>
      <c r="D15" s="960">
        <f>'ETAT-PAY-PERM'!M15</f>
        <v>3485.55</v>
      </c>
      <c r="E15" s="1320">
        <f>IF(D15&gt;0,1,0)</f>
        <v>1</v>
      </c>
      <c r="F15" s="1318" t="str">
        <f>'ETAT-PAY-PERM'!Z15</f>
        <v>لبنك الوطني الجزائري</v>
      </c>
    </row>
    <row r="16" spans="1:7" ht="12.75" customHeight="1">
      <c r="A16" s="958">
        <f>'ETAT-PAY-PERM'!A16</f>
        <v>2</v>
      </c>
      <c r="B16" s="959" t="str">
        <f>'ETAT-PAY-PERM'!C16</f>
        <v>فففففففففففففففففففف</v>
      </c>
      <c r="C16" s="552">
        <f>LOOKUP(A16,'Base-D'!A:A,'Base-D'!Q:Q)</f>
        <v>0</v>
      </c>
      <c r="D16" s="960">
        <f>'ETAT-PAY-PERM'!M16</f>
        <v>3085.77</v>
      </c>
      <c r="E16" s="1320">
        <f t="shared" ref="E16:E79" si="0">IF(D16&gt;0,1,0)</f>
        <v>1</v>
      </c>
      <c r="F16" s="1318" t="str">
        <f>'ETAT-PAY-PERM'!Z16</f>
        <v>بنك الفلاحة و التنمية الريفية</v>
      </c>
    </row>
    <row r="17" spans="1:6" ht="12.75" customHeight="1">
      <c r="A17" s="958">
        <f>'ETAT-PAY-PERM'!A17</f>
        <v>3</v>
      </c>
      <c r="B17" s="959" t="str">
        <f>'ETAT-PAY-PERM'!C17</f>
        <v>يسلللللللسيييييييي</v>
      </c>
      <c r="C17" s="552">
        <f>LOOKUP(A17,'Base-D'!A:A,'Base-D'!Q:Q)</f>
        <v>0</v>
      </c>
      <c r="D17" s="960">
        <f>'ETAT-PAY-PERM'!M17</f>
        <v>1568.91</v>
      </c>
      <c r="E17" s="1320">
        <f t="shared" si="0"/>
        <v>1</v>
      </c>
      <c r="F17" s="1318" t="str">
        <f>'ETAT-PAY-PERM'!Z17</f>
        <v>الحساب الجاري البريدي</v>
      </c>
    </row>
    <row r="18" spans="1:6" ht="15.75">
      <c r="A18" s="958">
        <f>'ETAT-PAY-PERM'!A18</f>
        <v>4</v>
      </c>
      <c r="B18" s="959" t="str">
        <f>'ETAT-PAY-PERM'!C18</f>
        <v>ررءرءؤرؤءرليسليسليسل</v>
      </c>
      <c r="C18" s="552">
        <f>LOOKUP(A18,'Base-D'!A:A,'Base-D'!Q:Q)</f>
        <v>0</v>
      </c>
      <c r="D18" s="960">
        <f>'ETAT-PAY-PERM'!M18</f>
        <v>0</v>
      </c>
      <c r="E18" s="1320">
        <f t="shared" si="0"/>
        <v>0</v>
      </c>
      <c r="F18" s="1318" t="str">
        <f>'ETAT-PAY-PERM'!Z18</f>
        <v>الخزينة الولائية</v>
      </c>
    </row>
    <row r="19" spans="1:6" ht="15.75">
      <c r="A19" s="958">
        <f>'ETAT-PAY-PERM'!A19</f>
        <v>5</v>
      </c>
      <c r="B19" s="959" t="str">
        <f>'ETAT-PAY-PERM'!C19</f>
        <v>صثقصقثصقضشللبيسلبيشل</v>
      </c>
      <c r="C19" s="552">
        <f>LOOKUP(A19,'Base-D'!A:A,'Base-D'!Q:Q)</f>
        <v>0</v>
      </c>
      <c r="D19" s="960">
        <f>'ETAT-PAY-PERM'!M19</f>
        <v>0</v>
      </c>
      <c r="E19" s="1320">
        <f t="shared" si="0"/>
        <v>0</v>
      </c>
      <c r="F19" s="1318" t="str">
        <f>'ETAT-PAY-PERM'!Z19</f>
        <v>الخزينة الولائية</v>
      </c>
    </row>
    <row r="20" spans="1:6" ht="15.75">
      <c r="A20" s="958">
        <f>'ETAT-PAY-PERM'!A20</f>
        <v>6</v>
      </c>
      <c r="B20" s="959" t="str">
        <f>'ETAT-PAY-PERM'!C20</f>
        <v>صثقثصقثصقصثرسيبرشبيسب</v>
      </c>
      <c r="C20" s="552">
        <f>LOOKUP(A20,'Base-D'!A:A,'Base-D'!Q:Q)</f>
        <v>0</v>
      </c>
      <c r="D20" s="960">
        <f>'ETAT-PAY-PERM'!M20</f>
        <v>1677.22</v>
      </c>
      <c r="E20" s="1320">
        <f t="shared" si="0"/>
        <v>1</v>
      </c>
      <c r="F20" s="1318" t="str">
        <f>'ETAT-PAY-PERM'!Z20</f>
        <v>الخزينة الولائية</v>
      </c>
    </row>
    <row r="21" spans="1:6" ht="15.75">
      <c r="A21" s="958">
        <f>'ETAT-PAY-PERM'!A21</f>
        <v>7</v>
      </c>
      <c r="B21" s="959" t="str">
        <f>'ETAT-PAY-PERM'!C21</f>
        <v>للللللللبيسلبيليبسل</v>
      </c>
      <c r="C21" s="552">
        <f>LOOKUP(A21,'Base-D'!A:A,'Base-D'!Q:Q)</f>
        <v>0</v>
      </c>
      <c r="D21" s="960">
        <f>'ETAT-PAY-PERM'!M21</f>
        <v>0</v>
      </c>
      <c r="E21" s="1320">
        <f t="shared" si="0"/>
        <v>0</v>
      </c>
      <c r="F21" s="1318" t="str">
        <f>'ETAT-PAY-PERM'!Z21</f>
        <v>الحساب الجاري البريدي</v>
      </c>
    </row>
    <row r="22" spans="1:6" ht="15.75">
      <c r="A22" s="958">
        <f>'ETAT-PAY-PERM'!A22</f>
        <v>8</v>
      </c>
      <c r="B22" s="959" t="str">
        <f>'ETAT-PAY-PERM'!C22</f>
        <v>ففففففففلللللللللللللل</v>
      </c>
      <c r="C22" s="552">
        <f>LOOKUP(A22,'Base-D'!A:A,'Base-D'!Q:Q)</f>
        <v>0</v>
      </c>
      <c r="D22" s="960">
        <f>'ETAT-PAY-PERM'!M22</f>
        <v>0</v>
      </c>
      <c r="E22" s="1320">
        <f t="shared" si="0"/>
        <v>0</v>
      </c>
      <c r="F22" s="1318" t="str">
        <f>'ETAT-PAY-PERM'!Z22</f>
        <v>بنك التنمية المحلية</v>
      </c>
    </row>
    <row r="23" spans="1:6" ht="15.75">
      <c r="A23" s="958">
        <f>'ETAT-PAY-PERM'!A23</f>
        <v>9</v>
      </c>
      <c r="B23" s="959" t="str">
        <f>'ETAT-PAY-PERM'!C23</f>
        <v>سييييييييفففففففففففف</v>
      </c>
      <c r="C23" s="552">
        <f>LOOKUP(A23,'Base-D'!A:A,'Base-D'!Q:Q)</f>
        <v>0</v>
      </c>
      <c r="D23" s="960">
        <f>'ETAT-PAY-PERM'!M23</f>
        <v>0</v>
      </c>
      <c r="E23" s="1320">
        <f t="shared" si="0"/>
        <v>0</v>
      </c>
      <c r="F23" s="1318" t="str">
        <f>'ETAT-PAY-PERM'!Z23</f>
        <v>بنك الفلاحة و التنمية الريفية</v>
      </c>
    </row>
    <row r="24" spans="1:6" ht="15.75">
      <c r="A24" s="958">
        <f>'ETAT-PAY-PERM'!A24</f>
        <v>10</v>
      </c>
      <c r="B24" s="959" t="str">
        <f>'ETAT-PAY-PERM'!C24</f>
        <v>ليسليسليسليسللللللل</v>
      </c>
      <c r="C24" s="552">
        <f>LOOKUP(A24,'Base-D'!A:A,'Base-D'!Q:Q)</f>
        <v>0</v>
      </c>
      <c r="D24" s="960">
        <f>'ETAT-PAY-PERM'!M24</f>
        <v>1207.46</v>
      </c>
      <c r="E24" s="1320">
        <f t="shared" si="0"/>
        <v>1</v>
      </c>
      <c r="F24" s="1318" t="str">
        <f>'ETAT-PAY-PERM'!Z24</f>
        <v>الحساب الجاري البريدي</v>
      </c>
    </row>
    <row r="25" spans="1:6" ht="15.75">
      <c r="A25" s="958">
        <f>'ETAT-PAY-PERM'!A25</f>
        <v>11</v>
      </c>
      <c r="B25" s="959" t="str">
        <f>'ETAT-PAY-PERM'!C25</f>
        <v>شللبيسلبيشلررءرءؤرؤءر</v>
      </c>
      <c r="C25" s="552">
        <f>LOOKUP(A25,'Base-D'!A:A,'Base-D'!Q:Q)</f>
        <v>0</v>
      </c>
      <c r="D25" s="960">
        <f>'ETAT-PAY-PERM'!M25</f>
        <v>1750.62</v>
      </c>
      <c r="E25" s="1320">
        <f t="shared" si="0"/>
        <v>1</v>
      </c>
      <c r="F25" s="1318" t="str">
        <f>'ETAT-PAY-PERM'!Z25</f>
        <v>الحساب الجاري البريدي</v>
      </c>
    </row>
    <row r="26" spans="1:6" ht="15.75">
      <c r="A26" s="958">
        <f>'ETAT-PAY-PERM'!A26</f>
        <v>12</v>
      </c>
      <c r="B26" s="959" t="str">
        <f>'ETAT-PAY-PERM'!C26</f>
        <v>رسيبرشبيسبصثقصقثصقض</v>
      </c>
      <c r="C26" s="552">
        <f>LOOKUP(A26,'Base-D'!A:A,'Base-D'!Q:Q)</f>
        <v>0</v>
      </c>
      <c r="D26" s="960">
        <f>'ETAT-PAY-PERM'!M26</f>
        <v>0</v>
      </c>
      <c r="E26" s="1320">
        <f t="shared" si="0"/>
        <v>0</v>
      </c>
      <c r="F26" s="1318" t="str">
        <f>'ETAT-PAY-PERM'!Z26</f>
        <v>الخزينة الولائية</v>
      </c>
    </row>
    <row r="27" spans="1:6" ht="15.75">
      <c r="A27" s="958">
        <f>'ETAT-PAY-PERM'!A27</f>
        <v>13</v>
      </c>
      <c r="B27" s="959" t="str">
        <f>'ETAT-PAY-PERM'!C27</f>
        <v>بيسلبيليبسلصثقثصقثصقصث</v>
      </c>
      <c r="C27" s="552">
        <f>LOOKUP(A27,'Base-D'!A:A,'Base-D'!Q:Q)</f>
        <v>0</v>
      </c>
      <c r="D27" s="960">
        <f>'ETAT-PAY-PERM'!M27</f>
        <v>0</v>
      </c>
      <c r="E27" s="1320">
        <f t="shared" si="0"/>
        <v>0</v>
      </c>
      <c r="F27" s="1318" t="str">
        <f>'ETAT-PAY-PERM'!Z27</f>
        <v>الخزينة الولائية</v>
      </c>
    </row>
    <row r="28" spans="1:6" ht="15.75">
      <c r="A28" s="958">
        <f>'ETAT-PAY-PERM'!A28</f>
        <v>14</v>
      </c>
      <c r="B28" s="959" t="str">
        <f>'ETAT-PAY-PERM'!C28</f>
        <v>لللللللللللللللللللللل</v>
      </c>
      <c r="C28" s="552">
        <f>LOOKUP(A28,'Base-D'!A:A,'Base-D'!Q:Q)</f>
        <v>0</v>
      </c>
      <c r="D28" s="960">
        <f>'ETAT-PAY-PERM'!M28</f>
        <v>0</v>
      </c>
      <c r="E28" s="1320">
        <f t="shared" si="0"/>
        <v>0</v>
      </c>
      <c r="F28" s="1318" t="str">
        <f>'ETAT-PAY-PERM'!Z28</f>
        <v>الحساب الجاري البريدي</v>
      </c>
    </row>
    <row r="29" spans="1:6" ht="15.75">
      <c r="A29" s="958">
        <f>'ETAT-PAY-PERM'!A29</f>
        <v>15</v>
      </c>
      <c r="B29" s="959" t="str">
        <f>'ETAT-PAY-PERM'!C29</f>
        <v>فففففففففففففففففففف</v>
      </c>
      <c r="C29" s="552">
        <f>LOOKUP(A29,'Base-D'!A:A,'Base-D'!Q:Q)</f>
        <v>0</v>
      </c>
      <c r="D29" s="960">
        <f>'ETAT-PAY-PERM'!M29</f>
        <v>0</v>
      </c>
      <c r="E29" s="1320">
        <f t="shared" si="0"/>
        <v>0</v>
      </c>
      <c r="F29" s="1318" t="str">
        <f>'ETAT-PAY-PERM'!Z29</f>
        <v>الحساب الجاري البريدي</v>
      </c>
    </row>
    <row r="30" spans="1:6" ht="15.75">
      <c r="A30" s="958">
        <f>'ETAT-PAY-PERM'!A30</f>
        <v>16</v>
      </c>
      <c r="B30" s="959" t="str">
        <f>'ETAT-PAY-PERM'!C30</f>
        <v>يسلللللللسيييييييي</v>
      </c>
      <c r="C30" s="552">
        <f>LOOKUP(A30,'Base-D'!A:A,'Base-D'!Q:Q)</f>
        <v>0</v>
      </c>
      <c r="D30" s="960">
        <f>'ETAT-PAY-PERM'!M30</f>
        <v>0</v>
      </c>
      <c r="E30" s="1320">
        <f t="shared" si="0"/>
        <v>0</v>
      </c>
      <c r="F30" s="1318" t="str">
        <f>'ETAT-PAY-PERM'!Z30</f>
        <v>الحساب الجاري البريدي</v>
      </c>
    </row>
    <row r="31" spans="1:6" ht="15.75">
      <c r="A31" s="958">
        <f>'ETAT-PAY-PERM'!A31</f>
        <v>17</v>
      </c>
      <c r="B31" s="959" t="str">
        <f>'ETAT-PAY-PERM'!C31</f>
        <v>ررءرءؤرؤءرليسليسليسل</v>
      </c>
      <c r="C31" s="552">
        <f>LOOKUP(A31,'Base-D'!A:A,'Base-D'!Q:Q)</f>
        <v>0</v>
      </c>
      <c r="D31" s="960">
        <f>'ETAT-PAY-PERM'!M31</f>
        <v>0</v>
      </c>
      <c r="E31" s="1320">
        <f t="shared" si="0"/>
        <v>0</v>
      </c>
      <c r="F31" s="1318" t="str">
        <f>'ETAT-PAY-PERM'!Z31</f>
        <v>الخزينة الولائية</v>
      </c>
    </row>
    <row r="32" spans="1:6" ht="15.75">
      <c r="A32" s="958">
        <f>'ETAT-PAY-PERM'!A32</f>
        <v>18</v>
      </c>
      <c r="B32" s="959" t="str">
        <f>'ETAT-PAY-PERM'!C32</f>
        <v>صثقصقثصقضشللبيسلبيشل</v>
      </c>
      <c r="C32" s="552">
        <f>LOOKUP(A32,'Base-D'!A:A,'Base-D'!Q:Q)</f>
        <v>0</v>
      </c>
      <c r="D32" s="960">
        <f>'ETAT-PAY-PERM'!M32</f>
        <v>0</v>
      </c>
      <c r="E32" s="1320">
        <f t="shared" si="0"/>
        <v>0</v>
      </c>
      <c r="F32" s="1318" t="str">
        <f>'ETAT-PAY-PERM'!Z32</f>
        <v>الحساب الجاري البريدي</v>
      </c>
    </row>
    <row r="33" spans="1:6" ht="15.75">
      <c r="A33" s="958">
        <f>'ETAT-PAY-PERM'!A33</f>
        <v>19</v>
      </c>
      <c r="B33" s="959" t="str">
        <f>'ETAT-PAY-PERM'!C33</f>
        <v>صثقثصقثصقصثرسيبرشبيسب</v>
      </c>
      <c r="C33" s="552">
        <f>LOOKUP(A33,'Base-D'!A:A,'Base-D'!Q:Q)</f>
        <v>0</v>
      </c>
      <c r="D33" s="960">
        <f>'ETAT-PAY-PERM'!M33</f>
        <v>0</v>
      </c>
      <c r="E33" s="1320">
        <f t="shared" si="0"/>
        <v>0</v>
      </c>
      <c r="F33" s="1318" t="str">
        <f>'ETAT-PAY-PERM'!Z33</f>
        <v>الخزينة الولائية</v>
      </c>
    </row>
    <row r="34" spans="1:6" ht="15.75">
      <c r="A34" s="958">
        <f>'ETAT-PAY-PERM'!A34</f>
        <v>20</v>
      </c>
      <c r="B34" s="959" t="str">
        <f>'ETAT-PAY-PERM'!C34</f>
        <v>للللللللبيسلبيليبسل</v>
      </c>
      <c r="C34" s="552">
        <f>LOOKUP(A34,'Base-D'!A:A,'Base-D'!Q:Q)</f>
        <v>0</v>
      </c>
      <c r="D34" s="960">
        <f>'ETAT-PAY-PERM'!M34</f>
        <v>0</v>
      </c>
      <c r="E34" s="1320">
        <f t="shared" si="0"/>
        <v>0</v>
      </c>
      <c r="F34" s="1318" t="str">
        <f>'ETAT-PAY-PERM'!Z34</f>
        <v>الخزينة الولائية</v>
      </c>
    </row>
    <row r="35" spans="1:6" ht="15.75">
      <c r="A35" s="958">
        <f>'ETAT-PAY-PERM'!A35</f>
        <v>21</v>
      </c>
      <c r="B35" s="959" t="str">
        <f>'ETAT-PAY-PERM'!C35</f>
        <v>ففففففففلللللللللللللل</v>
      </c>
      <c r="C35" s="552">
        <f>LOOKUP(A35,'Base-D'!A:A,'Base-D'!Q:Q)</f>
        <v>0</v>
      </c>
      <c r="D35" s="960">
        <f>'ETAT-PAY-PERM'!M35</f>
        <v>0</v>
      </c>
      <c r="E35" s="1320">
        <f t="shared" si="0"/>
        <v>0</v>
      </c>
      <c r="F35" s="1318" t="str">
        <f>'ETAT-PAY-PERM'!Z35</f>
        <v>الحساب الجاري البريدي</v>
      </c>
    </row>
    <row r="36" spans="1:6" ht="15.75">
      <c r="A36" s="958">
        <f>'ETAT-PAY-PERM'!A36</f>
        <v>22</v>
      </c>
      <c r="B36" s="959" t="str">
        <f>'ETAT-PAY-PERM'!C36</f>
        <v>سييييييييفففففففففففف</v>
      </c>
      <c r="C36" s="552">
        <f>LOOKUP(A36,'Base-D'!A:A,'Base-D'!Q:Q)</f>
        <v>0</v>
      </c>
      <c r="D36" s="960">
        <f>'ETAT-PAY-PERM'!M36</f>
        <v>0</v>
      </c>
      <c r="E36" s="1320">
        <f t="shared" si="0"/>
        <v>0</v>
      </c>
      <c r="F36" s="1318" t="str">
        <f>'ETAT-PAY-PERM'!Z36</f>
        <v>الحساب الجاري البريدي</v>
      </c>
    </row>
    <row r="37" spans="1:6" ht="15.75">
      <c r="A37" s="958">
        <f>'ETAT-PAY-PERM'!A37</f>
        <v>23</v>
      </c>
      <c r="B37" s="959" t="str">
        <f>'ETAT-PAY-PERM'!C37</f>
        <v>ليسليسليسليسللللللل</v>
      </c>
      <c r="C37" s="552">
        <f>LOOKUP(A37,'Base-D'!A:A,'Base-D'!Q:Q)</f>
        <v>0</v>
      </c>
      <c r="D37" s="960">
        <f>'ETAT-PAY-PERM'!M37</f>
        <v>0</v>
      </c>
      <c r="E37" s="1320">
        <f t="shared" si="0"/>
        <v>0</v>
      </c>
      <c r="F37" s="1318" t="str">
        <f>'ETAT-PAY-PERM'!Z37</f>
        <v>الحساب الجاري البريدي</v>
      </c>
    </row>
    <row r="38" spans="1:6" ht="15.75">
      <c r="A38" s="958">
        <f>'ETAT-PAY-PERM'!A38</f>
        <v>24</v>
      </c>
      <c r="B38" s="959" t="str">
        <f>'ETAT-PAY-PERM'!C38</f>
        <v>شللبيسلبيشلررءرءؤرؤءر</v>
      </c>
      <c r="C38" s="552">
        <f>LOOKUP(A38,'Base-D'!A:A,'Base-D'!Q:Q)</f>
        <v>0</v>
      </c>
      <c r="D38" s="960">
        <f>'ETAT-PAY-PERM'!M38</f>
        <v>976.3</v>
      </c>
      <c r="E38" s="1320">
        <f t="shared" si="0"/>
        <v>1</v>
      </c>
      <c r="F38" s="1318" t="str">
        <f>'ETAT-PAY-PERM'!Z38</f>
        <v>الخزينة الولائية</v>
      </c>
    </row>
    <row r="39" spans="1:6" ht="15.75">
      <c r="A39" s="958">
        <f>'ETAT-PAY-PERM'!A39</f>
        <v>25</v>
      </c>
      <c r="B39" s="959" t="str">
        <f>'ETAT-PAY-PERM'!C39</f>
        <v>رسيبرشبيسبصثقصقثصقض</v>
      </c>
      <c r="C39" s="552">
        <f>LOOKUP(A39,'Base-D'!A:A,'Base-D'!Q:Q)</f>
        <v>0</v>
      </c>
      <c r="D39" s="960">
        <f>'ETAT-PAY-PERM'!M39</f>
        <v>0</v>
      </c>
      <c r="E39" s="1320">
        <f t="shared" si="0"/>
        <v>0</v>
      </c>
      <c r="F39" s="1318" t="str">
        <f>'ETAT-PAY-PERM'!Z39</f>
        <v>الحساب الجاري البريدي</v>
      </c>
    </row>
    <row r="40" spans="1:6" ht="15.75">
      <c r="A40" s="958">
        <f>'ETAT-PAY-PERM'!A40</f>
        <v>26</v>
      </c>
      <c r="B40" s="959" t="str">
        <f>'ETAT-PAY-PERM'!C40</f>
        <v>بيسلبيليبسلصثقثصقثصقصث</v>
      </c>
      <c r="C40" s="552">
        <f>LOOKUP(A40,'Base-D'!A:A,'Base-D'!Q:Q)</f>
        <v>0</v>
      </c>
      <c r="D40" s="960">
        <f>'ETAT-PAY-PERM'!M40</f>
        <v>970.19</v>
      </c>
      <c r="E40" s="1320">
        <f t="shared" si="0"/>
        <v>1</v>
      </c>
      <c r="F40" s="1318" t="str">
        <f>'ETAT-PAY-PERM'!Z40</f>
        <v>بنك الفلاحة و التنمية الريفية</v>
      </c>
    </row>
    <row r="41" spans="1:6" ht="15.75">
      <c r="A41" s="958">
        <f>'ETAT-PAY-PERM'!A41</f>
        <v>27</v>
      </c>
      <c r="B41" s="959" t="str">
        <f>'ETAT-PAY-PERM'!C41</f>
        <v>لللللللللللللللللللللل</v>
      </c>
      <c r="C41" s="552">
        <f>LOOKUP(A41,'Base-D'!A:A,'Base-D'!Q:Q)</f>
        <v>0</v>
      </c>
      <c r="D41" s="960">
        <f>'ETAT-PAY-PERM'!M41</f>
        <v>0</v>
      </c>
      <c r="E41" s="1320">
        <f t="shared" si="0"/>
        <v>0</v>
      </c>
      <c r="F41" s="1318" t="str">
        <f>'ETAT-PAY-PERM'!Z41</f>
        <v>بنك التنمية المحلية</v>
      </c>
    </row>
    <row r="42" spans="1:6" ht="15.75">
      <c r="A42" s="958">
        <f>'ETAT-PAY-PERM'!A42</f>
        <v>28</v>
      </c>
      <c r="B42" s="959" t="str">
        <f>'ETAT-PAY-PERM'!C42</f>
        <v>فففففففففففففففففففف</v>
      </c>
      <c r="C42" s="552">
        <f>LOOKUP(A42,'Base-D'!A:A,'Base-D'!Q:Q)</f>
        <v>0</v>
      </c>
      <c r="D42" s="960">
        <f>'ETAT-PAY-PERM'!M42</f>
        <v>0</v>
      </c>
      <c r="E42" s="1320">
        <f t="shared" si="0"/>
        <v>0</v>
      </c>
      <c r="F42" s="1318" t="str">
        <f>'ETAT-PAY-PERM'!Z42</f>
        <v>بنك التنمية المحلية</v>
      </c>
    </row>
    <row r="43" spans="1:6" ht="15.75">
      <c r="A43" s="958">
        <f>'ETAT-PAY-PERM'!A43</f>
        <v>29</v>
      </c>
      <c r="B43" s="959" t="str">
        <f>'ETAT-PAY-PERM'!C43</f>
        <v>يسلللللللسيييييييي</v>
      </c>
      <c r="C43" s="552">
        <f>LOOKUP(A43,'Base-D'!A:A,'Base-D'!Q:Q)</f>
        <v>0</v>
      </c>
      <c r="D43" s="960">
        <f>'ETAT-PAY-PERM'!M43</f>
        <v>0</v>
      </c>
      <c r="E43" s="1320">
        <f t="shared" si="0"/>
        <v>0</v>
      </c>
      <c r="F43" s="1318" t="str">
        <f>'ETAT-PAY-PERM'!Z43</f>
        <v>الخزينة الولائية</v>
      </c>
    </row>
    <row r="44" spans="1:6" ht="15.75">
      <c r="A44" s="958">
        <f>'ETAT-PAY-PERM'!A44</f>
        <v>30</v>
      </c>
      <c r="B44" s="959" t="str">
        <f>'ETAT-PAY-PERM'!C44</f>
        <v>ررءرءؤرؤءرليسليسليسل</v>
      </c>
      <c r="C44" s="552">
        <f>LOOKUP(A44,'Base-D'!A:A,'Base-D'!Q:Q)</f>
        <v>0</v>
      </c>
      <c r="D44" s="960">
        <f>'ETAT-PAY-PERM'!M44</f>
        <v>0</v>
      </c>
      <c r="E44" s="1320">
        <f t="shared" si="0"/>
        <v>0</v>
      </c>
      <c r="F44" s="1318" t="str">
        <f>'ETAT-PAY-PERM'!Z44</f>
        <v>الحساب الجاري البريدي</v>
      </c>
    </row>
    <row r="45" spans="1:6" ht="15.75">
      <c r="A45" s="958">
        <f>'ETAT-PAY-PERM'!A45</f>
        <v>31</v>
      </c>
      <c r="B45" s="959" t="str">
        <f>'ETAT-PAY-PERM'!C45</f>
        <v>صثقصقثصقضشللبيسلبيشل</v>
      </c>
      <c r="C45" s="552">
        <f>LOOKUP(A45,'Base-D'!A:A,'Base-D'!Q:Q)</f>
        <v>0</v>
      </c>
      <c r="D45" s="960">
        <f>'ETAT-PAY-PERM'!M45</f>
        <v>0</v>
      </c>
      <c r="E45" s="1320">
        <f t="shared" si="0"/>
        <v>0</v>
      </c>
      <c r="F45" s="1318" t="str">
        <f>'ETAT-PAY-PERM'!Z45</f>
        <v>الحساب الجاري البريدي</v>
      </c>
    </row>
    <row r="46" spans="1:6" ht="15.75">
      <c r="A46" s="958">
        <f>'ETAT-PAY-PERM'!A46</f>
        <v>32</v>
      </c>
      <c r="B46" s="959" t="str">
        <f>'ETAT-PAY-PERM'!C46</f>
        <v>صثقثصقثصقصثرسيبرشبيسب</v>
      </c>
      <c r="C46" s="552">
        <f>LOOKUP(A46,'Base-D'!A:A,'Base-D'!Q:Q)</f>
        <v>0</v>
      </c>
      <c r="D46" s="960">
        <f>'ETAT-PAY-PERM'!M46</f>
        <v>0</v>
      </c>
      <c r="E46" s="1320">
        <f t="shared" si="0"/>
        <v>0</v>
      </c>
      <c r="F46" s="1318" t="str">
        <f>'ETAT-PAY-PERM'!Z46</f>
        <v>الحساب الجاري البريدي</v>
      </c>
    </row>
    <row r="47" spans="1:6" ht="15.75">
      <c r="A47" s="958">
        <f>'ETAT-PAY-PERM'!A47</f>
        <v>33</v>
      </c>
      <c r="B47" s="959" t="str">
        <f>'ETAT-PAY-PERM'!C47</f>
        <v>للللللللبيسلبيليبسل</v>
      </c>
      <c r="C47" s="552">
        <f>LOOKUP(A47,'Base-D'!A:A,'Base-D'!Q:Q)</f>
        <v>0</v>
      </c>
      <c r="D47" s="960">
        <f>'ETAT-PAY-PERM'!M47</f>
        <v>0</v>
      </c>
      <c r="E47" s="1320">
        <f t="shared" si="0"/>
        <v>0</v>
      </c>
      <c r="F47" s="1318" t="str">
        <f>'ETAT-PAY-PERM'!Z47</f>
        <v>الحساب الجاري البريدي</v>
      </c>
    </row>
    <row r="48" spans="1:6" ht="15.75">
      <c r="A48" s="958">
        <f>'ETAT-PAY-PERM'!A48</f>
        <v>34</v>
      </c>
      <c r="B48" s="959" t="str">
        <f>'ETAT-PAY-PERM'!C48</f>
        <v>ففففففففلللللللللللللل</v>
      </c>
      <c r="C48" s="552">
        <f>LOOKUP(A48,'Base-D'!A:A,'Base-D'!Q:Q)</f>
        <v>0</v>
      </c>
      <c r="D48" s="960">
        <f>'ETAT-PAY-PERM'!M48</f>
        <v>0</v>
      </c>
      <c r="E48" s="1320">
        <f t="shared" si="0"/>
        <v>0</v>
      </c>
      <c r="F48" s="1318" t="str">
        <f>'ETAT-PAY-PERM'!Z48</f>
        <v>الحساب الجاري البريدي</v>
      </c>
    </row>
    <row r="49" spans="1:6" ht="15.75">
      <c r="A49" s="958">
        <f>'ETAT-PAY-PERM'!A49</f>
        <v>35</v>
      </c>
      <c r="B49" s="959" t="str">
        <f>'ETAT-PAY-PERM'!C49</f>
        <v>سييييييييفففففففففففف</v>
      </c>
      <c r="C49" s="552">
        <f>LOOKUP(A49,'Base-D'!A:A,'Base-D'!Q:Q)</f>
        <v>0</v>
      </c>
      <c r="D49" s="960">
        <f>'ETAT-PAY-PERM'!M49</f>
        <v>0</v>
      </c>
      <c r="E49" s="1320">
        <f t="shared" si="0"/>
        <v>0</v>
      </c>
      <c r="F49" s="1318" t="str">
        <f>'ETAT-PAY-PERM'!Z49</f>
        <v>الحساب الجاري البريدي</v>
      </c>
    </row>
    <row r="50" spans="1:6" ht="15.75">
      <c r="A50" s="958">
        <f>'ETAT-PAY-PERM'!A50</f>
        <v>36</v>
      </c>
      <c r="B50" s="959" t="str">
        <f>'ETAT-PAY-PERM'!C50</f>
        <v>ليسليسليسليسللللللل</v>
      </c>
      <c r="C50" s="552">
        <f>LOOKUP(A50,'Base-D'!A:A,'Base-D'!Q:Q)</f>
        <v>0</v>
      </c>
      <c r="D50" s="960">
        <f>'ETAT-PAY-PERM'!M50</f>
        <v>0</v>
      </c>
      <c r="E50" s="1320">
        <f t="shared" si="0"/>
        <v>0</v>
      </c>
      <c r="F50" s="1318" t="str">
        <f>'ETAT-PAY-PERM'!Z50</f>
        <v>الحساب الجاري البريدي</v>
      </c>
    </row>
    <row r="51" spans="1:6" ht="15.75">
      <c r="A51" s="958">
        <f>'ETAT-PAY-PERM'!A51</f>
        <v>37</v>
      </c>
      <c r="B51" s="959" t="str">
        <f>'ETAT-PAY-PERM'!C51</f>
        <v>شللبيسلبيشلررءرءؤرؤءر</v>
      </c>
      <c r="C51" s="552">
        <f>LOOKUP(A51,'Base-D'!A:A,'Base-D'!Q:Q)</f>
        <v>0</v>
      </c>
      <c r="D51" s="960">
        <f>'ETAT-PAY-PERM'!M51</f>
        <v>1237.1500000000001</v>
      </c>
      <c r="E51" s="1320">
        <f t="shared" si="0"/>
        <v>1</v>
      </c>
      <c r="F51" s="1318" t="str">
        <f>'ETAT-PAY-PERM'!Z51</f>
        <v>الخزينة الولائية</v>
      </c>
    </row>
    <row r="52" spans="1:6" ht="15.75">
      <c r="A52" s="958">
        <f>'ETAT-PAY-PERM'!A52</f>
        <v>38</v>
      </c>
      <c r="B52" s="959" t="str">
        <f>'ETAT-PAY-PERM'!C52</f>
        <v>رسيبرشبيسبصثقصقثصقض</v>
      </c>
      <c r="C52" s="552">
        <f>LOOKUP(A52,'Base-D'!A:A,'Base-D'!Q:Q)</f>
        <v>0</v>
      </c>
      <c r="D52" s="960">
        <f>'ETAT-PAY-PERM'!M52</f>
        <v>0</v>
      </c>
      <c r="E52" s="1320">
        <f t="shared" si="0"/>
        <v>0</v>
      </c>
      <c r="F52" s="1318" t="str">
        <f>'ETAT-PAY-PERM'!Z52</f>
        <v>الخزينة الولائية</v>
      </c>
    </row>
    <row r="53" spans="1:6" ht="15.75">
      <c r="A53" s="958">
        <f>'ETAT-PAY-PERM'!A53</f>
        <v>39</v>
      </c>
      <c r="B53" s="959" t="str">
        <f>'ETAT-PAY-PERM'!C53</f>
        <v>بيسلبيليبسلصثقثصقثصقصث</v>
      </c>
      <c r="C53" s="552">
        <f>LOOKUP(A53,'Base-D'!A:A,'Base-D'!Q:Q)</f>
        <v>0</v>
      </c>
      <c r="D53" s="960">
        <f>'ETAT-PAY-PERM'!M53</f>
        <v>0</v>
      </c>
      <c r="E53" s="1320">
        <f t="shared" si="0"/>
        <v>0</v>
      </c>
      <c r="F53" s="1318" t="str">
        <f>'ETAT-PAY-PERM'!Z53</f>
        <v>الحساب الجاري البريدي</v>
      </c>
    </row>
    <row r="54" spans="1:6" ht="15.75">
      <c r="A54" s="958">
        <f>'ETAT-PAY-PERM'!A54</f>
        <v>40</v>
      </c>
      <c r="B54" s="959" t="str">
        <f>'ETAT-PAY-PERM'!C54</f>
        <v>لللللللللللللللللللللل</v>
      </c>
      <c r="C54" s="552">
        <f>LOOKUP(A54,'Base-D'!A:A,'Base-D'!Q:Q)</f>
        <v>0</v>
      </c>
      <c r="D54" s="960">
        <f>'ETAT-PAY-PERM'!M54</f>
        <v>0</v>
      </c>
      <c r="E54" s="1320">
        <f t="shared" si="0"/>
        <v>0</v>
      </c>
      <c r="F54" s="1318" t="str">
        <f>'ETAT-PAY-PERM'!Z54</f>
        <v>الحساب الجاري البريدي</v>
      </c>
    </row>
    <row r="55" spans="1:6" ht="15.75">
      <c r="A55" s="958">
        <f>'ETAT-PAY-PERM'!A55</f>
        <v>41</v>
      </c>
      <c r="B55" s="959" t="str">
        <f>'ETAT-PAY-PERM'!C55</f>
        <v>فففففففففففففففففففف</v>
      </c>
      <c r="C55" s="552">
        <f>LOOKUP(A55,'Base-D'!A:A,'Base-D'!Q:Q)</f>
        <v>0</v>
      </c>
      <c r="D55" s="960">
        <f>'ETAT-PAY-PERM'!M55</f>
        <v>0</v>
      </c>
      <c r="E55" s="1320">
        <f t="shared" si="0"/>
        <v>0</v>
      </c>
      <c r="F55" s="1318" t="str">
        <f>'ETAT-PAY-PERM'!Z55</f>
        <v>الحساب الجاري البريدي</v>
      </c>
    </row>
    <row r="56" spans="1:6" ht="15.75">
      <c r="A56" s="958">
        <f>'ETAT-PAY-PERM'!A56</f>
        <v>42</v>
      </c>
      <c r="B56" s="959" t="str">
        <f>'ETAT-PAY-PERM'!C56</f>
        <v>يسلللللللسيييييييي</v>
      </c>
      <c r="C56" s="552">
        <f>LOOKUP(A56,'Base-D'!A:A,'Base-D'!Q:Q)</f>
        <v>0</v>
      </c>
      <c r="D56" s="960">
        <f>'ETAT-PAY-PERM'!M56</f>
        <v>0</v>
      </c>
      <c r="E56" s="1320">
        <f t="shared" si="0"/>
        <v>0</v>
      </c>
      <c r="F56" s="1318" t="str">
        <f>'ETAT-PAY-PERM'!Z56</f>
        <v>الحساب الجاري البريدي</v>
      </c>
    </row>
    <row r="57" spans="1:6" ht="15.75" customHeight="1">
      <c r="A57" s="958">
        <f>'ETAT-PAY-PERM'!A57</f>
        <v>43</v>
      </c>
      <c r="B57" s="959" t="str">
        <f>'ETAT-PAY-PERM'!C57</f>
        <v>ررءرءؤرؤءرلللللللللللللل</v>
      </c>
      <c r="C57" s="552">
        <f>LOOKUP(A57,'Base-D'!A:A,'Base-D'!Q:Q)</f>
        <v>0</v>
      </c>
      <c r="D57" s="960">
        <f>'ETAT-PAY-PERM'!M57</f>
        <v>824.6</v>
      </c>
      <c r="E57" s="1320">
        <f t="shared" si="0"/>
        <v>1</v>
      </c>
      <c r="F57" s="1318" t="str">
        <f>'ETAT-PAY-PERM'!Z57</f>
        <v>بنك التنمية المحلية</v>
      </c>
    </row>
    <row r="58" spans="1:6" ht="16.5" customHeight="1">
      <c r="A58" s="958">
        <f>'ETAT-PAY-PERM'!A58</f>
        <v>44</v>
      </c>
      <c r="B58" s="959" t="str">
        <f>'ETAT-PAY-PERM'!C58</f>
        <v>صثقصقثصقضفففففففففففف</v>
      </c>
      <c r="C58" s="552">
        <f>LOOKUP(A58,'Base-D'!A:A,'Base-D'!Q:Q)</f>
        <v>0</v>
      </c>
      <c r="D58" s="960">
        <f>'ETAT-PAY-PERM'!M58</f>
        <v>0</v>
      </c>
      <c r="E58" s="1320">
        <f t="shared" si="0"/>
        <v>0</v>
      </c>
      <c r="F58" s="1318" t="str">
        <f>'ETAT-PAY-PERM'!Z58</f>
        <v>الحساب الجاري البريدي</v>
      </c>
    </row>
    <row r="59" spans="1:6" ht="15.75">
      <c r="A59" s="958">
        <f>'ETAT-PAY-PERM'!A59</f>
        <v>45</v>
      </c>
      <c r="B59" s="959" t="str">
        <f>'ETAT-PAY-PERM'!C59</f>
        <v>صثقثصقثصقصثيسللللللل</v>
      </c>
      <c r="C59" s="552">
        <f>LOOKUP(A59,'Base-D'!A:A,'Base-D'!Q:Q)</f>
        <v>0</v>
      </c>
      <c r="D59" s="960">
        <f>'ETAT-PAY-PERM'!M59</f>
        <v>0</v>
      </c>
      <c r="E59" s="1320">
        <f t="shared" si="0"/>
        <v>0</v>
      </c>
      <c r="F59" s="1318" t="str">
        <f>'ETAT-PAY-PERM'!Z59</f>
        <v>الحساب الجاري البريدي</v>
      </c>
    </row>
    <row r="60" spans="1:6" ht="15.75">
      <c r="A60" s="958">
        <f>'ETAT-PAY-PERM'!A60</f>
        <v>46</v>
      </c>
      <c r="B60" s="959" t="str">
        <f>'ETAT-PAY-PERM'!C60</f>
        <v>للللللللررءرءؤرؤءر</v>
      </c>
      <c r="C60" s="552">
        <f>LOOKUP(A60,'Base-D'!A:A,'Base-D'!Q:Q)</f>
        <v>0</v>
      </c>
      <c r="D60" s="960">
        <f>'ETAT-PAY-PERM'!M60</f>
        <v>0</v>
      </c>
      <c r="E60" s="1320">
        <f t="shared" si="0"/>
        <v>0</v>
      </c>
      <c r="F60" s="1318" t="str">
        <f>'ETAT-PAY-PERM'!Z60</f>
        <v>الحساب الجاري البريدي</v>
      </c>
    </row>
    <row r="61" spans="1:6" ht="15.75">
      <c r="A61" s="958">
        <f>'ETAT-PAY-PERM'!A61</f>
        <v>47</v>
      </c>
      <c r="B61" s="959" t="str">
        <f>'ETAT-PAY-PERM'!C61</f>
        <v>ففففففففصثقصقثصقض</v>
      </c>
      <c r="C61" s="552">
        <f>LOOKUP(A61,'Base-D'!A:A,'Base-D'!Q:Q)</f>
        <v>0</v>
      </c>
      <c r="D61" s="960">
        <f>'ETAT-PAY-PERM'!M61</f>
        <v>0</v>
      </c>
      <c r="E61" s="1320">
        <f t="shared" si="0"/>
        <v>0</v>
      </c>
      <c r="F61" s="1318" t="str">
        <f>'ETAT-PAY-PERM'!Z61</f>
        <v>الحساب الجاري البريدي</v>
      </c>
    </row>
    <row r="62" spans="1:6" ht="15.75">
      <c r="A62" s="958">
        <f>'ETAT-PAY-PERM'!A62</f>
        <v>48</v>
      </c>
      <c r="B62" s="959" t="str">
        <f>'ETAT-PAY-PERM'!C62</f>
        <v>سييييييييصثقثصقثصقصث</v>
      </c>
      <c r="C62" s="552">
        <f>LOOKUP(A62,'Base-D'!A:A,'Base-D'!Q:Q)</f>
        <v>0</v>
      </c>
      <c r="D62" s="960">
        <f>'ETAT-PAY-PERM'!M62</f>
        <v>0</v>
      </c>
      <c r="E62" s="1320">
        <f t="shared" si="0"/>
        <v>0</v>
      </c>
      <c r="F62" s="1318" t="str">
        <f>'ETAT-PAY-PERM'!Z62</f>
        <v>الحساب الجاري البريدي</v>
      </c>
    </row>
    <row r="63" spans="1:6" ht="15.75">
      <c r="A63" s="958">
        <f>'ETAT-PAY-PERM'!A63</f>
        <v>49</v>
      </c>
      <c r="B63" s="959" t="str">
        <f>'ETAT-PAY-PERM'!C63</f>
        <v>ليسليسليسللللللللل</v>
      </c>
      <c r="C63" s="552">
        <f>LOOKUP(A63,'Base-D'!A:A,'Base-D'!Q:Q)</f>
        <v>0</v>
      </c>
      <c r="D63" s="960">
        <f>'ETAT-PAY-PERM'!M63</f>
        <v>0</v>
      </c>
      <c r="E63" s="1320">
        <f t="shared" si="0"/>
        <v>0</v>
      </c>
      <c r="F63" s="1318" t="str">
        <f>'ETAT-PAY-PERM'!Z63</f>
        <v>الحساب الجاري البريدي</v>
      </c>
    </row>
    <row r="64" spans="1:6" ht="15.75">
      <c r="A64" s="958">
        <f>'ETAT-PAY-PERM'!A64</f>
        <v>50</v>
      </c>
      <c r="B64" s="959" t="str">
        <f>'ETAT-PAY-PERM'!C64</f>
        <v/>
      </c>
      <c r="C64" s="552">
        <f>LOOKUP(A64,'Base-D'!A:A,'Base-D'!Q:Q)</f>
        <v>0</v>
      </c>
      <c r="D64" s="960">
        <f>'ETAT-PAY-PERM'!M64</f>
        <v>0</v>
      </c>
      <c r="E64" s="1320">
        <f t="shared" si="0"/>
        <v>0</v>
      </c>
      <c r="F64" s="1318">
        <f>'ETAT-PAY-PERM'!Z64</f>
        <v>0</v>
      </c>
    </row>
    <row r="65" spans="1:6" ht="15.75">
      <c r="A65" s="958">
        <f>'ETAT-PAY-PERM'!A65</f>
        <v>51</v>
      </c>
      <c r="B65" s="959" t="str">
        <f>'ETAT-PAY-PERM'!C65</f>
        <v/>
      </c>
      <c r="C65" s="552">
        <f>LOOKUP(A65,'Base-D'!A:A,'Base-D'!Q:Q)</f>
        <v>0</v>
      </c>
      <c r="D65" s="960">
        <f>'ETAT-PAY-PERM'!M65</f>
        <v>0</v>
      </c>
      <c r="E65" s="1320">
        <f t="shared" si="0"/>
        <v>0</v>
      </c>
      <c r="F65" s="1318">
        <f>'ETAT-PAY-PERM'!Z65</f>
        <v>0</v>
      </c>
    </row>
    <row r="66" spans="1:6" ht="15.75">
      <c r="A66" s="958">
        <f>'ETAT-PAY-PERM'!A66</f>
        <v>52</v>
      </c>
      <c r="B66" s="959" t="str">
        <f>'ETAT-PAY-PERM'!C66</f>
        <v/>
      </c>
      <c r="C66" s="552">
        <f>LOOKUP(A66,'Base-D'!A:A,'Base-D'!Q:Q)</f>
        <v>0</v>
      </c>
      <c r="D66" s="960">
        <f>'ETAT-PAY-PERM'!M66</f>
        <v>0</v>
      </c>
      <c r="E66" s="1320">
        <f t="shared" si="0"/>
        <v>0</v>
      </c>
      <c r="F66" s="1318">
        <f>'ETAT-PAY-PERM'!Z66</f>
        <v>0</v>
      </c>
    </row>
    <row r="67" spans="1:6" ht="15.75">
      <c r="A67" s="958">
        <f>'ETAT-PAY-PERM'!A67</f>
        <v>53</v>
      </c>
      <c r="B67" s="959" t="str">
        <f>'ETAT-PAY-PERM'!C67</f>
        <v/>
      </c>
      <c r="C67" s="552">
        <f>LOOKUP(A67,'Base-D'!A:A,'Base-D'!Q:Q)</f>
        <v>0</v>
      </c>
      <c r="D67" s="960">
        <f>'ETAT-PAY-PERM'!M67</f>
        <v>0</v>
      </c>
      <c r="E67" s="1320">
        <f t="shared" si="0"/>
        <v>0</v>
      </c>
      <c r="F67" s="1318">
        <f>'ETAT-PAY-PERM'!Z67</f>
        <v>0</v>
      </c>
    </row>
    <row r="68" spans="1:6" ht="15.75">
      <c r="A68" s="958">
        <f>'ETAT-PAY-PERM'!A68</f>
        <v>54</v>
      </c>
      <c r="B68" s="959" t="str">
        <f>'ETAT-PAY-PERM'!C68</f>
        <v/>
      </c>
      <c r="C68" s="552">
        <f>LOOKUP(A68,'Base-D'!A:A,'Base-D'!Q:Q)</f>
        <v>0</v>
      </c>
      <c r="D68" s="960">
        <f>'ETAT-PAY-PERM'!M68</f>
        <v>0</v>
      </c>
      <c r="E68" s="1320">
        <f t="shared" si="0"/>
        <v>0</v>
      </c>
      <c r="F68" s="1318">
        <f>'ETAT-PAY-PERM'!Z68</f>
        <v>0</v>
      </c>
    </row>
    <row r="69" spans="1:6" ht="15.75">
      <c r="A69" s="958">
        <f>'ETAT-PAY-PERM'!A69</f>
        <v>55</v>
      </c>
      <c r="B69" s="959" t="str">
        <f>'ETAT-PAY-PERM'!C69</f>
        <v/>
      </c>
      <c r="C69" s="552">
        <f>LOOKUP(A69,'Base-D'!A:A,'Base-D'!Q:Q)</f>
        <v>0</v>
      </c>
      <c r="D69" s="960">
        <f>'ETAT-PAY-PERM'!M69</f>
        <v>0</v>
      </c>
      <c r="E69" s="1320">
        <f t="shared" si="0"/>
        <v>0</v>
      </c>
      <c r="F69" s="1318">
        <f>'ETAT-PAY-PERM'!Z69</f>
        <v>0</v>
      </c>
    </row>
    <row r="70" spans="1:6" ht="15.75">
      <c r="A70" s="958">
        <f>'ETAT-PAY-PERM'!A70</f>
        <v>56</v>
      </c>
      <c r="B70" s="959" t="str">
        <f>'ETAT-PAY-PERM'!C70</f>
        <v/>
      </c>
      <c r="C70" s="552">
        <f>LOOKUP(A70,'Base-D'!A:A,'Base-D'!Q:Q)</f>
        <v>0</v>
      </c>
      <c r="D70" s="960">
        <f>'ETAT-PAY-PERM'!M70</f>
        <v>0</v>
      </c>
      <c r="E70" s="1320">
        <f t="shared" si="0"/>
        <v>0</v>
      </c>
      <c r="F70" s="1318">
        <f>'ETAT-PAY-PERM'!Z70</f>
        <v>0</v>
      </c>
    </row>
    <row r="71" spans="1:6" ht="15.75">
      <c r="A71" s="958">
        <f>'ETAT-PAY-PERM'!A71</f>
        <v>57</v>
      </c>
      <c r="B71" s="959" t="str">
        <f>'ETAT-PAY-PERM'!C71</f>
        <v/>
      </c>
      <c r="C71" s="552">
        <f>LOOKUP(A71,'Base-D'!A:A,'Base-D'!Q:Q)</f>
        <v>0</v>
      </c>
      <c r="D71" s="960">
        <f>'ETAT-PAY-PERM'!M71</f>
        <v>0</v>
      </c>
      <c r="E71" s="1320">
        <f t="shared" si="0"/>
        <v>0</v>
      </c>
      <c r="F71" s="1318">
        <f>'ETAT-PAY-PERM'!Z71</f>
        <v>0</v>
      </c>
    </row>
    <row r="72" spans="1:6" ht="15.75">
      <c r="A72" s="958">
        <f>'ETAT-PAY-PERM'!A72</f>
        <v>58</v>
      </c>
      <c r="B72" s="959" t="str">
        <f>'ETAT-PAY-PERM'!C72</f>
        <v/>
      </c>
      <c r="C72" s="552">
        <f>LOOKUP(A72,'Base-D'!A:A,'Base-D'!Q:Q)</f>
        <v>0</v>
      </c>
      <c r="D72" s="960">
        <f>'ETAT-PAY-PERM'!M72</f>
        <v>0</v>
      </c>
      <c r="E72" s="1320">
        <f t="shared" si="0"/>
        <v>0</v>
      </c>
      <c r="F72" s="1318">
        <f>'ETAT-PAY-PERM'!Z72</f>
        <v>0</v>
      </c>
    </row>
    <row r="73" spans="1:6" ht="15.75">
      <c r="A73" s="958">
        <f>'ETAT-PAY-PERM'!A73</f>
        <v>59</v>
      </c>
      <c r="B73" s="959" t="str">
        <f>'ETAT-PAY-PERM'!C73</f>
        <v/>
      </c>
      <c r="C73" s="552">
        <f>LOOKUP(A73,'Base-D'!A:A,'Base-D'!Q:Q)</f>
        <v>0</v>
      </c>
      <c r="D73" s="960">
        <f>'ETAT-PAY-PERM'!M73</f>
        <v>0</v>
      </c>
      <c r="E73" s="1320">
        <f t="shared" si="0"/>
        <v>0</v>
      </c>
      <c r="F73" s="1318">
        <f>'ETAT-PAY-PERM'!Z73</f>
        <v>0</v>
      </c>
    </row>
    <row r="74" spans="1:6" ht="15.75">
      <c r="A74" s="958">
        <f>'ETAT-PAY-PERM'!A74</f>
        <v>60</v>
      </c>
      <c r="B74" s="959" t="str">
        <f>'ETAT-PAY-PERM'!C74</f>
        <v/>
      </c>
      <c r="C74" s="552">
        <f>LOOKUP(A74,'Base-D'!A:A,'Base-D'!Q:Q)</f>
        <v>0</v>
      </c>
      <c r="D74" s="960">
        <f>'ETAT-PAY-PERM'!M74</f>
        <v>0</v>
      </c>
      <c r="E74" s="1320">
        <f t="shared" si="0"/>
        <v>0</v>
      </c>
      <c r="F74" s="1318">
        <f>'ETAT-PAY-PERM'!Z74</f>
        <v>0</v>
      </c>
    </row>
    <row r="75" spans="1:6" ht="15.75">
      <c r="A75" s="958">
        <f>'ETAT-PAY-PERM'!A75</f>
        <v>61</v>
      </c>
      <c r="B75" s="959" t="str">
        <f>'ETAT-PAY-PERM'!C75</f>
        <v/>
      </c>
      <c r="C75" s="552">
        <f>LOOKUP(A75,'Base-D'!A:A,'Base-D'!Q:Q)</f>
        <v>0</v>
      </c>
      <c r="D75" s="960">
        <f>'ETAT-PAY-PERM'!M75</f>
        <v>0</v>
      </c>
      <c r="E75" s="1320">
        <f t="shared" si="0"/>
        <v>0</v>
      </c>
      <c r="F75" s="1318">
        <f>'ETAT-PAY-PERM'!Z75</f>
        <v>0</v>
      </c>
    </row>
    <row r="76" spans="1:6" ht="15.75">
      <c r="A76" s="958">
        <f>'ETAT-PAY-PERM'!A76</f>
        <v>62</v>
      </c>
      <c r="B76" s="959" t="str">
        <f>'ETAT-PAY-PERM'!C76</f>
        <v/>
      </c>
      <c r="C76" s="552">
        <f>LOOKUP(A76,'Base-D'!A:A,'Base-D'!Q:Q)</f>
        <v>0</v>
      </c>
      <c r="D76" s="960">
        <f>'ETAT-PAY-PERM'!M76</f>
        <v>0</v>
      </c>
      <c r="E76" s="1320">
        <f t="shared" si="0"/>
        <v>0</v>
      </c>
      <c r="F76" s="1318">
        <f>'ETAT-PAY-PERM'!Z76</f>
        <v>0</v>
      </c>
    </row>
    <row r="77" spans="1:6" ht="15.75">
      <c r="A77" s="958">
        <f>'ETAT-PAY-PERM'!A77</f>
        <v>63</v>
      </c>
      <c r="B77" s="959" t="str">
        <f>'ETAT-PAY-PERM'!C77</f>
        <v/>
      </c>
      <c r="C77" s="552">
        <f>LOOKUP(A77,'Base-D'!A:A,'Base-D'!Q:Q)</f>
        <v>0</v>
      </c>
      <c r="D77" s="960">
        <f>'ETAT-PAY-PERM'!M77</f>
        <v>0</v>
      </c>
      <c r="E77" s="1320">
        <f t="shared" si="0"/>
        <v>0</v>
      </c>
      <c r="F77" s="1318">
        <f>'ETAT-PAY-PERM'!Z77</f>
        <v>0</v>
      </c>
    </row>
    <row r="78" spans="1:6" ht="15.75">
      <c r="A78" s="958">
        <f>'ETAT-PAY-PERM'!A78</f>
        <v>64</v>
      </c>
      <c r="B78" s="959" t="str">
        <f>'ETAT-PAY-PERM'!C78</f>
        <v/>
      </c>
      <c r="C78" s="552">
        <f>LOOKUP(A78,'Base-D'!A:A,'Base-D'!Q:Q)</f>
        <v>0</v>
      </c>
      <c r="D78" s="960">
        <f>'ETAT-PAY-PERM'!M78</f>
        <v>0</v>
      </c>
      <c r="E78" s="1320">
        <f t="shared" si="0"/>
        <v>0</v>
      </c>
      <c r="F78" s="1318">
        <f>'ETAT-PAY-PERM'!Z78</f>
        <v>0</v>
      </c>
    </row>
    <row r="79" spans="1:6" ht="15.75">
      <c r="A79" s="958">
        <f>'ETAT-PAY-PERM'!A79</f>
        <v>65</v>
      </c>
      <c r="B79" s="959" t="str">
        <f>'ETAT-PAY-PERM'!C79</f>
        <v/>
      </c>
      <c r="C79" s="552">
        <f>LOOKUP(A79,'Base-D'!A:A,'Base-D'!Q:Q)</f>
        <v>0</v>
      </c>
      <c r="D79" s="960">
        <f>'ETAT-PAY-PERM'!M79</f>
        <v>0</v>
      </c>
      <c r="E79" s="1320">
        <f t="shared" si="0"/>
        <v>0</v>
      </c>
      <c r="F79" s="1318">
        <f>'ETAT-PAY-PERM'!Z79</f>
        <v>0</v>
      </c>
    </row>
    <row r="80" spans="1:6" ht="15.75">
      <c r="A80" s="958">
        <f>'ETAT-PAY-PERM'!A80</f>
        <v>66</v>
      </c>
      <c r="B80" s="959" t="str">
        <f>'ETAT-PAY-PERM'!C80</f>
        <v/>
      </c>
      <c r="C80" s="552">
        <f>LOOKUP(A80,'Base-D'!A:A,'Base-D'!Q:Q)</f>
        <v>0</v>
      </c>
      <c r="D80" s="960">
        <f>'ETAT-PAY-PERM'!M80</f>
        <v>0</v>
      </c>
      <c r="E80" s="1320">
        <f t="shared" ref="E80:E92" si="1">IF(D80&gt;0,1,0)</f>
        <v>0</v>
      </c>
      <c r="F80" s="1318">
        <f>'ETAT-PAY-PERM'!Z80</f>
        <v>0</v>
      </c>
    </row>
    <row r="81" spans="1:6" ht="15.75">
      <c r="A81" s="958">
        <f>'ETAT-PAY-PERM'!A81</f>
        <v>67</v>
      </c>
      <c r="B81" s="959" t="str">
        <f>'ETAT-PAY-PERM'!C81</f>
        <v/>
      </c>
      <c r="C81" s="552">
        <f>LOOKUP(A81,'Base-D'!A:A,'Base-D'!Q:Q)</f>
        <v>0</v>
      </c>
      <c r="D81" s="960">
        <f>'ETAT-PAY-PERM'!M81</f>
        <v>0</v>
      </c>
      <c r="E81" s="1320">
        <f t="shared" si="1"/>
        <v>0</v>
      </c>
      <c r="F81" s="1318">
        <f>'ETAT-PAY-PERM'!Z81</f>
        <v>0</v>
      </c>
    </row>
    <row r="82" spans="1:6" ht="15.75">
      <c r="A82" s="958">
        <f>'ETAT-PAY-PERM'!A82</f>
        <v>68</v>
      </c>
      <c r="B82" s="959" t="str">
        <f>'ETAT-PAY-PERM'!C82</f>
        <v/>
      </c>
      <c r="C82" s="552">
        <f>LOOKUP(A82,'Base-D'!A:A,'Base-D'!Q:Q)</f>
        <v>0</v>
      </c>
      <c r="D82" s="960">
        <f>'ETAT-PAY-PERM'!M82</f>
        <v>0</v>
      </c>
      <c r="E82" s="1320">
        <f t="shared" si="1"/>
        <v>0</v>
      </c>
      <c r="F82" s="1318">
        <f>'ETAT-PAY-PERM'!Z82</f>
        <v>0</v>
      </c>
    </row>
    <row r="83" spans="1:6" ht="15.75">
      <c r="A83" s="958">
        <f>'ETAT-PAY-PERM'!A83</f>
        <v>69</v>
      </c>
      <c r="B83" s="959" t="str">
        <f>'ETAT-PAY-PERM'!C83</f>
        <v/>
      </c>
      <c r="C83" s="552">
        <f>LOOKUP(A83,'Base-D'!A:A,'Base-D'!Q:Q)</f>
        <v>0</v>
      </c>
      <c r="D83" s="960">
        <f>'ETAT-PAY-PERM'!M83</f>
        <v>0</v>
      </c>
      <c r="E83" s="1320">
        <f t="shared" si="1"/>
        <v>0</v>
      </c>
      <c r="F83" s="1318">
        <f>'ETAT-PAY-PERM'!Z83</f>
        <v>0</v>
      </c>
    </row>
    <row r="84" spans="1:6" ht="15.75">
      <c r="A84" s="958">
        <f>'ETAT-PAY-PERM'!A84</f>
        <v>70</v>
      </c>
      <c r="B84" s="959" t="str">
        <f>'ETAT-PAY-PERM'!C84</f>
        <v/>
      </c>
      <c r="C84" s="552">
        <f>LOOKUP(A84,'Base-D'!A:A,'Base-D'!Q:Q)</f>
        <v>0</v>
      </c>
      <c r="D84" s="960">
        <f>'ETAT-PAY-PERM'!M84</f>
        <v>0</v>
      </c>
      <c r="E84" s="1320">
        <f t="shared" si="1"/>
        <v>0</v>
      </c>
      <c r="F84" s="1318">
        <f>'ETAT-PAY-PERM'!Z84</f>
        <v>0</v>
      </c>
    </row>
    <row r="85" spans="1:6" ht="15.75">
      <c r="A85" s="958">
        <f>'ETAT-PAY-PERM'!A85</f>
        <v>71</v>
      </c>
      <c r="B85" s="959" t="str">
        <f>'ETAT-PAY-PERM'!C85</f>
        <v/>
      </c>
      <c r="C85" s="552">
        <f>LOOKUP(A85,'Base-D'!A:A,'Base-D'!Q:Q)</f>
        <v>0</v>
      </c>
      <c r="D85" s="960">
        <f>'ETAT-PAY-PERM'!M85</f>
        <v>0</v>
      </c>
      <c r="E85" s="1320">
        <f t="shared" si="1"/>
        <v>0</v>
      </c>
      <c r="F85" s="1318">
        <f>'ETAT-PAY-PERM'!Z85</f>
        <v>0</v>
      </c>
    </row>
    <row r="86" spans="1:6" ht="15.75">
      <c r="A86" s="958">
        <f>'ETAT-PAY-PERM'!A86</f>
        <v>72</v>
      </c>
      <c r="B86" s="959" t="str">
        <f>'ETAT-PAY-PERM'!C86</f>
        <v/>
      </c>
      <c r="C86" s="552">
        <f>LOOKUP(A86,'Base-D'!A:A,'Base-D'!Q:Q)</f>
        <v>0</v>
      </c>
      <c r="D86" s="960">
        <f>'ETAT-PAY-PERM'!M86</f>
        <v>0</v>
      </c>
      <c r="E86" s="1320">
        <f t="shared" si="1"/>
        <v>0</v>
      </c>
      <c r="F86" s="1318">
        <f>'ETAT-PAY-PERM'!Z86</f>
        <v>0</v>
      </c>
    </row>
    <row r="87" spans="1:6" ht="15.75">
      <c r="A87" s="958">
        <f>'ETAT-PAY-PERM'!A87</f>
        <v>73</v>
      </c>
      <c r="B87" s="959" t="str">
        <f>'ETAT-PAY-PERM'!C87</f>
        <v/>
      </c>
      <c r="C87" s="552">
        <f>LOOKUP(A87,'Base-D'!A:A,'Base-D'!Q:Q)</f>
        <v>0</v>
      </c>
      <c r="D87" s="960">
        <f>'ETAT-PAY-PERM'!M87</f>
        <v>0</v>
      </c>
      <c r="E87" s="1320">
        <f t="shared" si="1"/>
        <v>0</v>
      </c>
      <c r="F87" s="1318">
        <f>'ETAT-PAY-PERM'!Z87</f>
        <v>0</v>
      </c>
    </row>
    <row r="88" spans="1:6" ht="15.75">
      <c r="A88" s="958">
        <f>'ETAT-PAY-PERM'!A88</f>
        <v>74</v>
      </c>
      <c r="B88" s="959" t="str">
        <f>'ETAT-PAY-PERM'!C88</f>
        <v/>
      </c>
      <c r="C88" s="552">
        <f>LOOKUP(A88,'Base-D'!A:A,'Base-D'!Q:Q)</f>
        <v>0</v>
      </c>
      <c r="D88" s="960">
        <f>'ETAT-PAY-PERM'!M88</f>
        <v>0</v>
      </c>
      <c r="E88" s="1320">
        <f t="shared" si="1"/>
        <v>0</v>
      </c>
      <c r="F88" s="1318">
        <f>'ETAT-PAY-PERM'!Z88</f>
        <v>0</v>
      </c>
    </row>
    <row r="89" spans="1:6" ht="15.75">
      <c r="A89" s="958">
        <f>'ETAT-PAY-PERM'!A89</f>
        <v>75</v>
      </c>
      <c r="B89" s="959" t="str">
        <f>'ETAT-PAY-PERM'!C89</f>
        <v/>
      </c>
      <c r="C89" s="552">
        <f>LOOKUP(A89,'Base-D'!A:A,'Base-D'!Q:Q)</f>
        <v>0</v>
      </c>
      <c r="D89" s="960">
        <f>'ETAT-PAY-PERM'!M89</f>
        <v>0</v>
      </c>
      <c r="E89" s="1320">
        <f t="shared" si="1"/>
        <v>0</v>
      </c>
      <c r="F89" s="1318">
        <f>'ETAT-PAY-PERM'!Z89</f>
        <v>0</v>
      </c>
    </row>
    <row r="90" spans="1:6" ht="15.75">
      <c r="A90" s="958">
        <f>'ETAT-PAY-PERM'!A90</f>
        <v>76</v>
      </c>
      <c r="B90" s="959" t="str">
        <f>'ETAT-PAY-PERM'!C90</f>
        <v/>
      </c>
      <c r="C90" s="552">
        <f>LOOKUP(A90,'Base-D'!A:A,'Base-D'!Q:Q)</f>
        <v>0</v>
      </c>
      <c r="D90" s="960">
        <f>'ETAT-PAY-PERM'!M90</f>
        <v>0</v>
      </c>
      <c r="E90" s="1320">
        <f t="shared" si="1"/>
        <v>0</v>
      </c>
      <c r="F90" s="1318">
        <f>'ETAT-PAY-PERM'!Z90</f>
        <v>0</v>
      </c>
    </row>
    <row r="91" spans="1:6" ht="15.75">
      <c r="A91" s="958">
        <f>'ETAT-PAY-PERM'!A91</f>
        <v>77</v>
      </c>
      <c r="B91" s="959" t="str">
        <f>'ETAT-PAY-PERM'!C91</f>
        <v/>
      </c>
      <c r="C91" s="552">
        <f>LOOKUP(A91,'Base-D'!A:A,'Base-D'!Q:Q)</f>
        <v>0</v>
      </c>
      <c r="D91" s="960">
        <f>'ETAT-PAY-PERM'!M91</f>
        <v>0</v>
      </c>
      <c r="E91" s="1320">
        <f t="shared" si="1"/>
        <v>0</v>
      </c>
      <c r="F91" s="1318">
        <f>'ETAT-PAY-PERM'!Z91</f>
        <v>0</v>
      </c>
    </row>
    <row r="92" spans="1:6" ht="15.75">
      <c r="A92" s="958">
        <f>'ETAT-PAY-PERM'!A92</f>
        <v>78</v>
      </c>
      <c r="B92" s="959" t="str">
        <f>'ETAT-PAY-PERM'!C92</f>
        <v/>
      </c>
      <c r="C92" s="552">
        <f>LOOKUP(A92,'Base-D'!A:A,'Base-D'!Q:Q)</f>
        <v>0</v>
      </c>
      <c r="D92" s="960">
        <f>'ETAT-PAY-PERM'!M92</f>
        <v>0</v>
      </c>
      <c r="E92" s="1320">
        <f t="shared" si="1"/>
        <v>0</v>
      </c>
      <c r="F92" s="1318">
        <f>'ETAT-PAY-PERM'!Z92</f>
        <v>0</v>
      </c>
    </row>
    <row r="93" spans="1:6" ht="36.75" customHeight="1">
      <c r="A93" s="1467" t="str">
        <f>CONCATENATE("أوقف هذا الكشف بمبلغ :"," ",[1]!Arreta(D93))</f>
        <v>أوقف هذا الكشف بمبلغ : ثلاثة آلاف وثمانمائة وتسعون دينار جزائري وسبعة وستون سنتيما</v>
      </c>
      <c r="B93" s="1468"/>
      <c r="C93" s="1469"/>
      <c r="D93" s="550">
        <f>SUMIF(F15:F92,F93,D15:D92)</f>
        <v>3890.67</v>
      </c>
      <c r="E93" s="1321">
        <v>1</v>
      </c>
      <c r="F93" s="1319" t="s">
        <v>550</v>
      </c>
    </row>
    <row r="94" spans="1:6" ht="36.75" customHeight="1">
      <c r="A94" s="1467" t="str">
        <f>CONCATENATE("أوقف هذا الكشف بمبلغ :"," ",[1]!Arreta(D94))</f>
        <v>أوقف هذا الكشف بمبلغ : أربعة آلاف وخمسة وخمسون دينار جزائري وستة وتسعون سنتيما</v>
      </c>
      <c r="B94" s="1468"/>
      <c r="C94" s="1469"/>
      <c r="D94" s="550">
        <f>SUMIF(F15:F92,F94,D15:D92)</f>
        <v>4055.96</v>
      </c>
      <c r="E94" s="1321">
        <v>1</v>
      </c>
      <c r="F94" s="1319" t="s">
        <v>549</v>
      </c>
    </row>
    <row r="95" spans="1:6" ht="36.75" customHeight="1">
      <c r="A95" s="1467" t="str">
        <f>CONCATENATE("أوقف هذا الكشف بمبلغ :"," ",[1]!Arreta(D95))</f>
        <v>أوقف هذا الكشف بمبلغ : ثلاثة آلاف وأربعمائة وخمسة وثمانون دينار جزائري وخمسة وخمسون سنتيما</v>
      </c>
      <c r="B95" s="1468"/>
      <c r="C95" s="1469"/>
      <c r="D95" s="550">
        <f>SUMIF(F15:F92,F95,D15:D92)</f>
        <v>3485.55</v>
      </c>
      <c r="E95" s="1321">
        <v>1</v>
      </c>
      <c r="F95" s="1319" t="s">
        <v>548</v>
      </c>
    </row>
    <row r="96" spans="1:6" ht="36.75" customHeight="1">
      <c r="A96" s="1467" t="str">
        <f>CONCATENATE("أوقف هذا الكشف بمبلغ :"," ",[1]!Arreta(D96))</f>
        <v>أوقف هذا الكشف بمبلغ : ثمانمائة وأربعة وعشرون دينار جزائري وستون سنتيما</v>
      </c>
      <c r="B96" s="1468"/>
      <c r="C96" s="1469"/>
      <c r="D96" s="550">
        <f>SUMIF(F15:F92,F96,D15:D92)</f>
        <v>824.6</v>
      </c>
      <c r="E96" s="1321">
        <v>1</v>
      </c>
      <c r="F96" s="1319" t="s">
        <v>561</v>
      </c>
    </row>
    <row r="97" spans="1:6" ht="36.75" customHeight="1">
      <c r="A97" s="1467" t="str">
        <f>CONCATENATE("أوقف هذا الكشف بمبلغ :"," ",[1]!Arreta(D97))</f>
        <v>أوقف هذا الكشف بمبلغ : أربعة آلاف وخمسمائة وستة وعشرون دينار جزائري وتسعة وتسعون سنتيما</v>
      </c>
      <c r="B97" s="1468"/>
      <c r="C97" s="1469"/>
      <c r="D97" s="550">
        <f>SUMIF(F15:F92,F97,D15:D92)</f>
        <v>4526.99</v>
      </c>
      <c r="E97" s="1321">
        <v>1</v>
      </c>
      <c r="F97" s="1319" t="s">
        <v>562</v>
      </c>
    </row>
  </sheetData>
  <autoFilter ref="E14:F97"/>
  <mergeCells count="12">
    <mergeCell ref="A93:C93"/>
    <mergeCell ref="A94:C94"/>
    <mergeCell ref="A97:C97"/>
    <mergeCell ref="A12:B12"/>
    <mergeCell ref="A96:C96"/>
    <mergeCell ref="A95:C95"/>
    <mergeCell ref="A10:B10"/>
    <mergeCell ref="A1:D1"/>
    <mergeCell ref="A6:D6"/>
    <mergeCell ref="C10:C11"/>
    <mergeCell ref="A5:D5"/>
    <mergeCell ref="A7:D7"/>
  </mergeCells>
  <phoneticPr fontId="2" type="noConversion"/>
  <dataValidations count="1">
    <dataValidation type="list" allowBlank="1" showInputMessage="1" showErrorMessage="1" sqref="D12">
      <formula1>'ورقة العمل'!Y2:Y6</formula1>
    </dataValidation>
  </dataValidations>
  <printOptions horizontalCentered="1"/>
  <pageMargins left="0.19685039370078741" right="0.19685039370078741" top="0.39370078740157483" bottom="0.59055118110236227" header="0" footer="0"/>
  <pageSetup paperSize="134" orientation="portrait" horizontalDpi="180" verticalDpi="18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tabColor rgb="FF00B050"/>
  </sheetPr>
  <dimension ref="A1:BU50"/>
  <sheetViews>
    <sheetView view="pageBreakPreview" topLeftCell="J1" workbookViewId="0">
      <selection activeCell="BU4" sqref="BU4"/>
    </sheetView>
  </sheetViews>
  <sheetFormatPr baseColWidth="10" defaultRowHeight="12.75"/>
  <cols>
    <col min="1" max="1" width="3.42578125" style="319" bestFit="1" customWidth="1"/>
    <col min="2" max="16" width="2" style="319" bestFit="1" customWidth="1"/>
    <col min="17" max="17" width="2.7109375" style="319" customWidth="1"/>
    <col min="18" max="20" width="2" style="319" bestFit="1" customWidth="1"/>
    <col min="21" max="21" width="3.140625" style="319" customWidth="1"/>
    <col min="22" max="32" width="2" style="319" bestFit="1" customWidth="1"/>
    <col min="33" max="34" width="2" style="319" customWidth="1"/>
    <col min="35" max="36" width="2" style="319" bestFit="1" customWidth="1"/>
    <col min="37" max="37" width="1.28515625" style="319" customWidth="1"/>
    <col min="38" max="45" width="2" style="319" bestFit="1" customWidth="1"/>
    <col min="46" max="46" width="1.140625" style="319" customWidth="1"/>
    <col min="47" max="55" width="2" style="319" bestFit="1" customWidth="1"/>
    <col min="56" max="56" width="3.140625" style="319" customWidth="1"/>
    <col min="57" max="57" width="6.140625" style="319" customWidth="1"/>
    <col min="58" max="58" width="3.28515625" style="319" customWidth="1"/>
    <col min="59" max="68" width="2" style="319" bestFit="1" customWidth="1"/>
    <col min="69" max="69" width="3.42578125" style="319" bestFit="1" customWidth="1"/>
  </cols>
  <sheetData>
    <row r="1" spans="1:73" ht="13.5" thickBot="1">
      <c r="A1" s="1600" t="s">
        <v>136</v>
      </c>
      <c r="B1" s="1600"/>
      <c r="C1" s="1600"/>
      <c r="D1" s="1600"/>
      <c r="E1" s="1600"/>
      <c r="F1" s="1600"/>
      <c r="G1" s="1600"/>
      <c r="H1" s="1600"/>
      <c r="I1" s="1600"/>
      <c r="J1" s="1600"/>
      <c r="K1" s="1600"/>
      <c r="L1" s="1600"/>
      <c r="M1" s="1600"/>
      <c r="N1" s="1600"/>
    </row>
    <row r="2" spans="1:73" ht="15.75">
      <c r="A2" s="1576" t="s">
        <v>137</v>
      </c>
      <c r="B2" s="1577"/>
      <c r="C2" s="1577"/>
      <c r="D2" s="1577"/>
      <c r="E2" s="1577"/>
      <c r="F2" s="1577"/>
      <c r="G2" s="1577"/>
      <c r="H2" s="1577"/>
      <c r="I2" s="1577"/>
      <c r="J2" s="1577"/>
      <c r="K2" s="1577"/>
      <c r="L2" s="1577"/>
      <c r="M2" s="1577"/>
      <c r="N2" s="1577"/>
      <c r="O2" s="1577"/>
      <c r="Q2" s="1601">
        <f ca="1">YEAR(TODAY())</f>
        <v>2019</v>
      </c>
      <c r="R2" s="1602"/>
      <c r="S2" s="1602"/>
      <c r="T2" s="1602"/>
      <c r="U2" s="1602"/>
      <c r="V2" s="1602" t="s">
        <v>138</v>
      </c>
      <c r="W2" s="1602"/>
      <c r="X2" s="1602"/>
      <c r="Y2" s="1603"/>
      <c r="AA2" s="1605" t="s">
        <v>139</v>
      </c>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c r="AY2" s="1606"/>
      <c r="AZ2" s="1606"/>
      <c r="BA2" s="1606"/>
      <c r="BB2" s="1606"/>
      <c r="BC2" s="1606"/>
      <c r="BD2" s="1606"/>
      <c r="BE2" s="1606"/>
      <c r="BF2" s="1607"/>
      <c r="BH2" s="1604" t="s">
        <v>140</v>
      </c>
      <c r="BI2" s="1604"/>
      <c r="BJ2" s="1604"/>
      <c r="BK2" s="1604"/>
      <c r="BL2" s="1604"/>
      <c r="BM2" s="1604"/>
      <c r="BN2" s="1604"/>
      <c r="BO2" s="1604"/>
      <c r="BP2" s="1604"/>
      <c r="BQ2" s="1604"/>
      <c r="BR2" s="1598">
        <v>69</v>
      </c>
      <c r="BT2" s="182"/>
      <c r="BU2" s="182"/>
    </row>
    <row r="3" spans="1:73" ht="21" customHeight="1" thickBot="1">
      <c r="A3" s="1608" t="s">
        <v>141</v>
      </c>
      <c r="B3" s="1608"/>
      <c r="C3" s="1608"/>
      <c r="D3" s="1608"/>
      <c r="E3" s="1608"/>
      <c r="F3" s="1608"/>
      <c r="G3" s="1608"/>
      <c r="H3" s="1608"/>
      <c r="I3" s="1608"/>
      <c r="J3" s="1608"/>
      <c r="K3" s="1608"/>
      <c r="L3" s="1608"/>
      <c r="M3" s="1608"/>
      <c r="N3" s="1608"/>
      <c r="Q3" s="320" t="s">
        <v>142</v>
      </c>
      <c r="R3" s="321"/>
      <c r="S3" s="321"/>
      <c r="T3" s="1588" t="str">
        <f>الرئيسية!N8</f>
        <v>جوان</v>
      </c>
      <c r="U3" s="1588"/>
      <c r="V3" s="1588"/>
      <c r="W3" s="1609">
        <f ca="1">Q2</f>
        <v>2019</v>
      </c>
      <c r="X3" s="1610"/>
      <c r="Y3" s="1611"/>
      <c r="AA3" s="1612" t="s">
        <v>143</v>
      </c>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613"/>
      <c r="AZ3" s="1613"/>
      <c r="BA3" s="1613"/>
      <c r="BB3" s="1613"/>
      <c r="BC3" s="1613"/>
      <c r="BD3" s="1613"/>
      <c r="BE3" s="1613"/>
      <c r="BF3" s="1614"/>
      <c r="BH3" s="1615" t="s">
        <v>144</v>
      </c>
      <c r="BI3" s="1615"/>
      <c r="BJ3" s="1615"/>
      <c r="BK3" s="1615"/>
      <c r="BL3" s="1615"/>
      <c r="BM3" s="1615"/>
      <c r="BN3" s="1615"/>
      <c r="BO3" s="1615"/>
      <c r="BP3" s="1615"/>
      <c r="BQ3" s="1615"/>
      <c r="BR3" s="1599"/>
      <c r="BT3" s="302"/>
    </row>
    <row r="4" spans="1:73" ht="18">
      <c r="A4" s="1559" t="s">
        <v>145</v>
      </c>
      <c r="B4" s="1559"/>
      <c r="C4" s="1559"/>
      <c r="D4" s="1559"/>
      <c r="E4" s="1559"/>
      <c r="F4" s="1559"/>
      <c r="G4" s="1559"/>
      <c r="H4" s="1559"/>
      <c r="I4" s="1559"/>
      <c r="J4" s="1559"/>
      <c r="K4" s="1559"/>
      <c r="L4" s="1559"/>
      <c r="M4" s="1559"/>
      <c r="N4" s="1559"/>
      <c r="O4" s="1559"/>
      <c r="Q4" s="1590" t="s">
        <v>146</v>
      </c>
      <c r="R4" s="1591"/>
      <c r="S4" s="1591"/>
      <c r="T4" s="1591"/>
      <c r="U4" s="1591"/>
      <c r="V4" s="1596" t="str">
        <f>IF(OR(T3="جانفي",T3="فيفري",T3="مارس"),"ثلاثي الأول",IF(OR(T3="أفريل",T3="ماي",T3="جوان"),"ثلاثي الثاني",IF(OR(T3="جويلية",T3="أوت",T3="سبتمبر"),"ثلاثي الثالث",IF(OR(T3="ديسمبر",T3="أكتوبر",T3="نوفمبر"),"ثلاثي الرابع"))))</f>
        <v>ثلاثي الثاني</v>
      </c>
      <c r="W4" s="1596"/>
      <c r="X4" s="1596"/>
      <c r="Y4" s="1596"/>
      <c r="Z4" s="1597"/>
      <c r="AA4" s="322"/>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4"/>
      <c r="BT4" s="533"/>
      <c r="BU4" s="304"/>
    </row>
    <row r="5" spans="1:73" ht="15.75">
      <c r="A5" s="1592" t="s">
        <v>147</v>
      </c>
      <c r="B5" s="1592"/>
      <c r="C5" s="1592"/>
      <c r="D5" s="1592"/>
      <c r="E5" s="1592"/>
      <c r="F5" s="1592"/>
      <c r="G5" s="1592"/>
      <c r="H5" s="1592"/>
      <c r="I5" s="1592"/>
      <c r="J5" s="1592"/>
      <c r="K5" s="1592"/>
      <c r="L5" s="1592"/>
      <c r="M5" s="1592"/>
      <c r="N5" s="1592"/>
      <c r="O5" s="325"/>
      <c r="Q5" s="1593">
        <v>110</v>
      </c>
      <c r="R5" s="1594"/>
      <c r="S5" s="1594"/>
      <c r="T5" s="1594"/>
      <c r="U5" s="1594"/>
      <c r="V5" s="1594"/>
      <c r="W5" s="1594"/>
      <c r="X5" s="1594"/>
      <c r="Y5" s="1595"/>
      <c r="AA5" s="1556" t="s">
        <v>148</v>
      </c>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8"/>
      <c r="BH5" s="1563" t="s">
        <v>149</v>
      </c>
      <c r="BI5" s="1564"/>
      <c r="BJ5" s="1564"/>
      <c r="BK5" s="1564"/>
      <c r="BL5" s="1564"/>
      <c r="BM5" s="1564"/>
      <c r="BN5" s="1564"/>
      <c r="BO5" s="1564"/>
      <c r="BP5" s="1564"/>
      <c r="BQ5" s="1565"/>
    </row>
    <row r="6" spans="1:73">
      <c r="A6" s="1559" t="s">
        <v>150</v>
      </c>
      <c r="B6" s="1559"/>
      <c r="C6" s="1559"/>
      <c r="D6" s="1559"/>
      <c r="E6" s="1559"/>
      <c r="F6" s="1559"/>
      <c r="G6" s="1559"/>
      <c r="H6" s="1559"/>
      <c r="I6" s="1559"/>
      <c r="J6" s="1559"/>
      <c r="K6" s="1559"/>
      <c r="L6" s="1559"/>
      <c r="M6" s="1559"/>
      <c r="N6" s="1559"/>
      <c r="O6" s="1559"/>
      <c r="AA6" s="1560" t="s">
        <v>151</v>
      </c>
      <c r="AB6" s="1561"/>
      <c r="AC6" s="1561"/>
      <c r="AD6" s="1561"/>
      <c r="AE6" s="1561"/>
      <c r="AF6" s="1561"/>
      <c r="AG6" s="1561"/>
      <c r="AH6" s="1561"/>
      <c r="AI6" s="1561"/>
      <c r="AJ6" s="1561"/>
      <c r="AK6" s="1561"/>
      <c r="AL6" s="1561"/>
      <c r="AM6" s="1561"/>
      <c r="AN6" s="1561"/>
      <c r="AO6" s="1561"/>
      <c r="AP6" s="1561"/>
      <c r="AQ6" s="1561"/>
      <c r="AR6" s="1561"/>
      <c r="AS6" s="1561"/>
      <c r="AT6" s="1561"/>
      <c r="AU6" s="1561"/>
      <c r="AV6" s="1561"/>
      <c r="AW6" s="1561"/>
      <c r="AX6" s="1561"/>
      <c r="AY6" s="1561"/>
      <c r="AZ6" s="1561"/>
      <c r="BA6" s="1561"/>
      <c r="BB6" s="1561"/>
      <c r="BC6" s="1561"/>
      <c r="BD6" s="1561"/>
      <c r="BE6" s="1561"/>
      <c r="BF6" s="1562"/>
      <c r="BH6" s="1566"/>
      <c r="BI6" s="1567"/>
      <c r="BJ6" s="1567"/>
      <c r="BK6" s="1567"/>
      <c r="BL6" s="1567"/>
      <c r="BM6" s="1567"/>
      <c r="BN6" s="1567"/>
      <c r="BO6" s="1567"/>
      <c r="BP6" s="1567"/>
      <c r="BQ6" s="1568"/>
    </row>
    <row r="7" spans="1:73">
      <c r="A7" s="1572" t="s">
        <v>152</v>
      </c>
      <c r="B7" s="1572"/>
      <c r="C7" s="1572"/>
      <c r="D7" s="1572"/>
      <c r="E7" s="1572"/>
      <c r="F7" s="1572"/>
      <c r="G7" s="1572"/>
      <c r="H7" s="1572"/>
      <c r="I7" s="1572"/>
      <c r="J7" s="1572"/>
      <c r="K7" s="1572"/>
      <c r="L7" s="1572"/>
      <c r="M7" s="1572"/>
      <c r="N7" s="1572"/>
      <c r="Q7" s="1573" t="s">
        <v>153</v>
      </c>
      <c r="R7" s="1574"/>
      <c r="S7" s="1574"/>
      <c r="T7" s="1574"/>
      <c r="U7" s="1574"/>
      <c r="V7" s="1574"/>
      <c r="W7" s="1574"/>
      <c r="X7" s="1574"/>
      <c r="Y7" s="1575"/>
      <c r="BH7" s="1566"/>
      <c r="BI7" s="1567"/>
      <c r="BJ7" s="1567"/>
      <c r="BK7" s="1567"/>
      <c r="BL7" s="1567"/>
      <c r="BM7" s="1567"/>
      <c r="BN7" s="1567"/>
      <c r="BO7" s="1567"/>
      <c r="BP7" s="1567"/>
      <c r="BQ7" s="1568"/>
    </row>
    <row r="8" spans="1:73" ht="15.75">
      <c r="A8" s="1576" t="s">
        <v>154</v>
      </c>
      <c r="B8" s="1577"/>
      <c r="C8" s="1577"/>
      <c r="D8" s="1577"/>
      <c r="E8" s="1577"/>
      <c r="F8" s="1577"/>
      <c r="G8" s="1577"/>
      <c r="H8" s="1577"/>
      <c r="I8" s="1577"/>
      <c r="J8" s="1577"/>
      <c r="K8" s="1577"/>
      <c r="L8" s="1577"/>
      <c r="M8" s="1577"/>
      <c r="N8" s="1577"/>
      <c r="O8" s="1577"/>
      <c r="Q8" s="1578" t="s">
        <v>155</v>
      </c>
      <c r="R8" s="1579"/>
      <c r="S8" s="1579"/>
      <c r="T8" s="1579"/>
      <c r="U8" s="1579"/>
      <c r="V8" s="1579"/>
      <c r="W8" s="1579"/>
      <c r="X8" s="1579"/>
      <c r="Y8" s="1580"/>
      <c r="AA8" s="327" t="s">
        <v>156</v>
      </c>
      <c r="AB8" s="328"/>
      <c r="AC8" s="1581" t="s">
        <v>901</v>
      </c>
      <c r="AD8" s="1581"/>
      <c r="AE8" s="1581"/>
      <c r="AF8" s="1581"/>
      <c r="AG8" s="1581"/>
      <c r="AH8" s="1581"/>
      <c r="AI8" s="1581"/>
      <c r="AJ8" s="1581"/>
      <c r="AK8" s="1581"/>
      <c r="AL8" s="1581"/>
      <c r="AM8" s="1581"/>
      <c r="AN8" s="1581"/>
      <c r="AO8" s="1581"/>
      <c r="AP8" s="1581"/>
      <c r="AQ8" s="1581"/>
      <c r="AR8" s="1581"/>
      <c r="AS8" s="1581"/>
      <c r="AT8" s="1581"/>
      <c r="AU8" s="1581"/>
      <c r="AV8" s="1581"/>
      <c r="AW8" s="1581"/>
      <c r="AX8" s="1581"/>
      <c r="AY8" s="1581"/>
      <c r="AZ8" s="1581"/>
      <c r="BA8" s="1581"/>
      <c r="BB8" s="1581"/>
      <c r="BC8" s="1581"/>
      <c r="BD8" s="1581"/>
      <c r="BE8" s="329"/>
      <c r="BF8" s="330" t="s">
        <v>157</v>
      </c>
      <c r="BH8" s="1566"/>
      <c r="BI8" s="1567"/>
      <c r="BJ8" s="1567"/>
      <c r="BK8" s="1567"/>
      <c r="BL8" s="1567"/>
      <c r="BM8" s="1567"/>
      <c r="BN8" s="1567"/>
      <c r="BO8" s="1567"/>
      <c r="BP8" s="1567"/>
      <c r="BQ8" s="1568"/>
    </row>
    <row r="9" spans="1:73" ht="15.75">
      <c r="A9" s="1582" t="s">
        <v>158</v>
      </c>
      <c r="B9" s="1583"/>
      <c r="C9" s="1583"/>
      <c r="D9" s="1583"/>
      <c r="E9" s="1583"/>
      <c r="F9" s="1583"/>
      <c r="G9" s="1583"/>
      <c r="H9" s="1583"/>
      <c r="I9" s="1583"/>
      <c r="J9" s="1583"/>
      <c r="K9" s="1583"/>
      <c r="L9" s="1583"/>
      <c r="M9" s="1583"/>
      <c r="N9" s="1583"/>
      <c r="O9" s="1583"/>
      <c r="Q9" s="1584" t="s">
        <v>159</v>
      </c>
      <c r="R9" s="1585"/>
      <c r="S9" s="1585"/>
      <c r="T9" s="1585"/>
      <c r="U9" s="1585"/>
      <c r="V9" s="1585"/>
      <c r="W9" s="1585"/>
      <c r="X9" s="1585"/>
      <c r="Y9" s="1586"/>
      <c r="AA9" s="1587" t="s">
        <v>160</v>
      </c>
      <c r="AB9" s="1588"/>
      <c r="AC9" s="1588"/>
      <c r="AD9" s="1588"/>
      <c r="AE9" s="1588"/>
      <c r="AF9" s="1588"/>
      <c r="AG9" s="1588"/>
      <c r="AH9" s="1588"/>
      <c r="AI9" s="1588"/>
      <c r="AJ9" s="1588"/>
      <c r="AK9" s="1588"/>
      <c r="AL9" s="1588"/>
      <c r="AM9" s="1588"/>
      <c r="AN9" s="1588"/>
      <c r="AO9" s="1588"/>
      <c r="AP9" s="1588"/>
      <c r="AQ9" s="1588"/>
      <c r="AR9" s="1588"/>
      <c r="AS9" s="1588"/>
      <c r="AT9" s="1588"/>
      <c r="AU9" s="1588"/>
      <c r="AV9" s="1588"/>
      <c r="AW9" s="1588"/>
      <c r="AX9" s="1588"/>
      <c r="AY9" s="1588"/>
      <c r="AZ9" s="1588"/>
      <c r="BA9" s="1588"/>
      <c r="BB9" s="1588"/>
      <c r="BC9" s="1588"/>
      <c r="BD9" s="1588"/>
      <c r="BE9" s="1588"/>
      <c r="BF9" s="1589"/>
      <c r="BH9" s="1566"/>
      <c r="BI9" s="1567"/>
      <c r="BJ9" s="1567"/>
      <c r="BK9" s="1567"/>
      <c r="BL9" s="1567"/>
      <c r="BM9" s="1567"/>
      <c r="BN9" s="1567"/>
      <c r="BO9" s="1567"/>
      <c r="BP9" s="1567"/>
      <c r="BQ9" s="1568"/>
    </row>
    <row r="10" spans="1:73">
      <c r="AA10" s="322"/>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4"/>
      <c r="BH10" s="1566"/>
      <c r="BI10" s="1567"/>
      <c r="BJ10" s="1567"/>
      <c r="BK10" s="1567"/>
      <c r="BL10" s="1567"/>
      <c r="BM10" s="1567"/>
      <c r="BN10" s="1567"/>
      <c r="BO10" s="1567"/>
      <c r="BP10" s="1567"/>
      <c r="BQ10" s="1568"/>
    </row>
    <row r="11" spans="1:73">
      <c r="A11" s="319" t="s">
        <v>161</v>
      </c>
      <c r="D11" s="1553"/>
      <c r="E11" s="1554"/>
      <c r="F11" s="1554"/>
      <c r="G11" s="1554"/>
      <c r="H11" s="1554"/>
      <c r="I11" s="1554"/>
      <c r="J11" s="1554"/>
      <c r="K11" s="1554"/>
      <c r="L11" s="1554"/>
      <c r="M11" s="1554"/>
      <c r="N11" s="1554"/>
      <c r="O11" s="1554"/>
      <c r="P11" s="1554"/>
      <c r="Q11" s="1554"/>
      <c r="R11" s="1554"/>
      <c r="S11" s="1554"/>
      <c r="T11" s="1554"/>
      <c r="U11" s="1554"/>
      <c r="V11" s="1555"/>
      <c r="AA11" s="331" t="s">
        <v>162</v>
      </c>
      <c r="AB11" s="323"/>
      <c r="AC11" s="323"/>
      <c r="AD11" s="323"/>
      <c r="AE11" s="323"/>
      <c r="AF11" s="323"/>
      <c r="AG11" s="323"/>
      <c r="AH11" s="323"/>
      <c r="AI11" s="323"/>
      <c r="AJ11" s="323"/>
      <c r="AK11" s="323"/>
      <c r="AL11" s="323"/>
      <c r="AM11" s="323"/>
      <c r="AO11" s="323"/>
      <c r="AP11" s="323"/>
      <c r="AQ11" s="323"/>
      <c r="AR11" s="323"/>
      <c r="AS11" s="323"/>
      <c r="AT11" s="323"/>
      <c r="AU11" s="323"/>
      <c r="AV11" s="323"/>
      <c r="AW11" s="323"/>
      <c r="AX11" s="323"/>
      <c r="AY11" s="323"/>
      <c r="AZ11" s="323"/>
      <c r="BA11" s="323"/>
      <c r="BB11" s="323"/>
      <c r="BC11" s="323"/>
      <c r="BD11" s="323"/>
      <c r="BE11" s="323"/>
      <c r="BF11" s="332" t="s">
        <v>163</v>
      </c>
      <c r="BH11" s="1569"/>
      <c r="BI11" s="1570"/>
      <c r="BJ11" s="1570"/>
      <c r="BK11" s="1570"/>
      <c r="BL11" s="1570"/>
      <c r="BM11" s="1570"/>
      <c r="BN11" s="1570"/>
      <c r="BO11" s="1570"/>
      <c r="BP11" s="1570"/>
      <c r="BQ11" s="1571"/>
    </row>
    <row r="12" spans="1:73">
      <c r="AA12" s="331" t="s">
        <v>164</v>
      </c>
      <c r="AB12" s="323"/>
      <c r="AC12" s="323"/>
      <c r="AD12" s="323"/>
      <c r="AE12" s="323"/>
      <c r="AF12" s="1551" t="s">
        <v>902</v>
      </c>
      <c r="AG12" s="1551"/>
      <c r="AH12" s="1551"/>
      <c r="AI12" s="1551"/>
      <c r="AJ12" s="1551"/>
      <c r="AK12" s="1551"/>
      <c r="AL12" s="1551"/>
      <c r="AM12" s="1551"/>
      <c r="AN12" s="1551"/>
      <c r="AO12" s="1551"/>
      <c r="AP12" s="1551"/>
      <c r="AQ12" s="1551"/>
      <c r="AR12" s="1551"/>
      <c r="AS12" s="1551"/>
      <c r="AT12" s="1551"/>
      <c r="AU12" s="1551"/>
      <c r="AV12" s="1551"/>
      <c r="AW12" s="1551"/>
      <c r="AX12" s="1551"/>
      <c r="AY12" s="1551"/>
      <c r="AZ12" s="1551"/>
      <c r="BA12" s="1551"/>
      <c r="BB12" s="1551"/>
      <c r="BC12" s="1551"/>
      <c r="BD12" s="1551"/>
      <c r="BE12" s="323"/>
      <c r="BF12" s="333" t="s">
        <v>165</v>
      </c>
    </row>
    <row r="13" spans="1:73">
      <c r="A13" s="319" t="s">
        <v>166</v>
      </c>
      <c r="D13" s="1553"/>
      <c r="E13" s="1554"/>
      <c r="F13" s="1554"/>
      <c r="G13" s="1554"/>
      <c r="H13" s="1554"/>
      <c r="I13" s="1554"/>
      <c r="J13" s="1554"/>
      <c r="K13" s="1554"/>
      <c r="L13" s="1554"/>
      <c r="M13" s="1554"/>
      <c r="N13" s="1554"/>
      <c r="O13" s="1554"/>
      <c r="P13" s="1554"/>
      <c r="Q13" s="1554"/>
      <c r="R13" s="1554"/>
      <c r="S13" s="1554"/>
      <c r="T13" s="1554"/>
      <c r="U13" s="1554"/>
      <c r="V13" s="1555"/>
      <c r="AA13" s="334"/>
      <c r="AB13" s="335"/>
      <c r="AC13" s="335"/>
      <c r="AD13" s="335"/>
      <c r="AE13" s="335"/>
      <c r="AF13" s="1552"/>
      <c r="AG13" s="1552"/>
      <c r="AH13" s="1552"/>
      <c r="AI13" s="1552"/>
      <c r="AJ13" s="1552"/>
      <c r="AK13" s="1552"/>
      <c r="AL13" s="1552"/>
      <c r="AM13" s="1552"/>
      <c r="AN13" s="1552"/>
      <c r="AO13" s="1552"/>
      <c r="AP13" s="1552"/>
      <c r="AQ13" s="1552"/>
      <c r="AR13" s="1552"/>
      <c r="AS13" s="1552"/>
      <c r="AT13" s="1552"/>
      <c r="AU13" s="1552"/>
      <c r="AV13" s="1552"/>
      <c r="AW13" s="1552"/>
      <c r="AX13" s="1552"/>
      <c r="AY13" s="1552"/>
      <c r="AZ13" s="1552"/>
      <c r="BA13" s="1552"/>
      <c r="BB13" s="1552"/>
      <c r="BC13" s="1552"/>
      <c r="BD13" s="1552"/>
      <c r="BE13" s="335"/>
      <c r="BF13" s="336"/>
      <c r="BH13" s="1559" t="s">
        <v>167</v>
      </c>
      <c r="BI13" s="1559"/>
      <c r="BJ13" s="1559"/>
      <c r="BK13" s="1559"/>
      <c r="BL13" s="1559"/>
      <c r="BM13" s="1559"/>
      <c r="BN13" s="1559"/>
      <c r="BO13" s="1559"/>
      <c r="BP13" s="1559"/>
      <c r="BQ13" s="1559"/>
    </row>
    <row r="15" spans="1:73">
      <c r="A15" s="337" t="s">
        <v>168</v>
      </c>
      <c r="I15" s="1560"/>
      <c r="J15" s="1561"/>
      <c r="K15" s="1561"/>
      <c r="L15" s="1561"/>
      <c r="M15" s="1561"/>
      <c r="N15" s="1561"/>
      <c r="O15" s="1561"/>
      <c r="P15" s="1561"/>
      <c r="Q15" s="1561"/>
      <c r="R15" s="1561"/>
      <c r="S15" s="1562"/>
      <c r="BK15" s="337"/>
    </row>
    <row r="17" spans="1:69">
      <c r="A17" s="1528" t="s">
        <v>169</v>
      </c>
      <c r="B17" s="1529"/>
      <c r="C17" s="1529"/>
      <c r="D17" s="1529"/>
      <c r="E17" s="1529"/>
      <c r="F17" s="1529"/>
      <c r="G17" s="1529"/>
      <c r="H17" s="1530"/>
      <c r="I17" s="1497" t="s">
        <v>170</v>
      </c>
      <c r="J17" s="1498"/>
      <c r="K17" s="1499"/>
      <c r="L17" s="1497" t="s">
        <v>171</v>
      </c>
      <c r="M17" s="1498"/>
      <c r="N17" s="1498"/>
      <c r="O17" s="1498"/>
      <c r="P17" s="1498"/>
      <c r="Q17" s="1498"/>
      <c r="R17" s="1498"/>
      <c r="S17" s="1498"/>
      <c r="T17" s="1498"/>
      <c r="U17" s="1498"/>
      <c r="V17" s="1498"/>
      <c r="W17" s="1498"/>
      <c r="X17" s="1498"/>
      <c r="Y17" s="1498"/>
      <c r="Z17" s="1498"/>
      <c r="AA17" s="1498"/>
      <c r="AB17" s="1498"/>
      <c r="AC17" s="1498"/>
      <c r="AD17" s="1498"/>
      <c r="AE17" s="1498"/>
      <c r="AF17" s="1498"/>
      <c r="AG17" s="1498"/>
      <c r="AH17" s="1498"/>
      <c r="AI17" s="1498"/>
      <c r="AJ17" s="1499"/>
      <c r="AK17" s="1497" t="s">
        <v>172</v>
      </c>
      <c r="AL17" s="1498"/>
      <c r="AM17" s="1498"/>
      <c r="AN17" s="1498"/>
      <c r="AO17" s="1498"/>
      <c r="AP17" s="1498"/>
      <c r="AQ17" s="1498"/>
      <c r="AR17" s="1498"/>
      <c r="AS17" s="1498"/>
      <c r="AT17" s="1499"/>
      <c r="AU17" s="1548" t="s">
        <v>173</v>
      </c>
      <c r="AV17" s="1549"/>
      <c r="AW17" s="1549"/>
      <c r="AX17" s="1549"/>
      <c r="AY17" s="1549"/>
      <c r="AZ17" s="1549"/>
      <c r="BA17" s="1549"/>
      <c r="BB17" s="1549"/>
      <c r="BC17" s="1549"/>
      <c r="BD17" s="1550"/>
      <c r="BE17" s="338" t="s">
        <v>174</v>
      </c>
      <c r="BF17" s="1497" t="s">
        <v>175</v>
      </c>
      <c r="BG17" s="1498"/>
      <c r="BH17" s="1498"/>
      <c r="BI17" s="1498"/>
      <c r="BJ17" s="1498"/>
      <c r="BK17" s="1498"/>
      <c r="BL17" s="1498"/>
      <c r="BM17" s="1498"/>
      <c r="BN17" s="1498"/>
      <c r="BO17" s="1498"/>
      <c r="BP17" s="1499"/>
      <c r="BQ17" s="339"/>
    </row>
    <row r="18" spans="1:69">
      <c r="A18" s="340"/>
      <c r="B18" s="329"/>
      <c r="C18" s="329"/>
      <c r="D18" s="329"/>
      <c r="E18" s="329"/>
      <c r="F18" s="329"/>
      <c r="G18" s="329"/>
      <c r="H18" s="341"/>
      <c r="I18" s="342" t="s">
        <v>176</v>
      </c>
      <c r="J18" s="329"/>
      <c r="K18" s="341"/>
      <c r="L18" s="343" t="s">
        <v>177</v>
      </c>
      <c r="M18" s="329"/>
      <c r="N18" s="329"/>
      <c r="O18" s="329"/>
      <c r="P18" s="329"/>
      <c r="Q18" s="329"/>
      <c r="R18" s="341"/>
      <c r="S18" s="329"/>
      <c r="T18" s="329"/>
      <c r="U18" s="329"/>
      <c r="V18" s="329"/>
      <c r="W18" s="329"/>
      <c r="X18" s="329"/>
      <c r="Y18" s="329"/>
      <c r="Z18" s="329"/>
      <c r="AA18" s="329"/>
      <c r="AB18" s="329"/>
      <c r="AC18" s="329"/>
      <c r="AD18" s="329"/>
      <c r="AE18" s="329"/>
      <c r="AF18" s="329"/>
      <c r="AG18" s="329"/>
      <c r="AH18" s="329"/>
      <c r="AI18" s="329"/>
      <c r="AJ18" s="341"/>
      <c r="AK18" s="322"/>
      <c r="AL18" s="344"/>
      <c r="AM18" s="344"/>
      <c r="AN18" s="344"/>
      <c r="AO18" s="344"/>
      <c r="AP18" s="344"/>
      <c r="AQ18" s="344"/>
      <c r="AR18" s="344"/>
      <c r="AS18" s="344"/>
      <c r="AT18" s="324"/>
      <c r="AU18" s="322"/>
      <c r="AV18" s="323"/>
      <c r="AW18" s="323"/>
      <c r="AX18" s="323"/>
      <c r="AY18" s="323"/>
      <c r="AZ18" s="323"/>
      <c r="BA18" s="323"/>
      <c r="BB18" s="323"/>
      <c r="BC18" s="323"/>
      <c r="BD18" s="324"/>
      <c r="BE18" s="345">
        <v>0.02</v>
      </c>
      <c r="BF18" s="340"/>
      <c r="BG18" s="329"/>
      <c r="BH18" s="329"/>
      <c r="BI18" s="329"/>
      <c r="BJ18" s="329"/>
      <c r="BK18" s="329"/>
      <c r="BL18" s="329"/>
      <c r="BM18" s="329"/>
      <c r="BN18" s="329"/>
      <c r="BO18" s="329"/>
      <c r="BP18" s="341"/>
      <c r="BQ18" s="346"/>
    </row>
    <row r="19" spans="1:69">
      <c r="A19" s="1534" t="s">
        <v>178</v>
      </c>
      <c r="B19" s="1535"/>
      <c r="C19" s="1535"/>
      <c r="D19" s="1535"/>
      <c r="E19" s="1535"/>
      <c r="F19" s="1535"/>
      <c r="G19" s="1535"/>
      <c r="H19" s="1536"/>
      <c r="I19" s="342" t="s">
        <v>179</v>
      </c>
      <c r="J19" s="323"/>
      <c r="K19" s="324"/>
      <c r="L19" s="342" t="s">
        <v>180</v>
      </c>
      <c r="M19" s="323"/>
      <c r="N19" s="323"/>
      <c r="O19" s="323"/>
      <c r="P19" s="323"/>
      <c r="Q19" s="323"/>
      <c r="R19" s="324"/>
      <c r="S19" s="323"/>
      <c r="T19" s="323"/>
      <c r="U19" s="323"/>
      <c r="V19" s="323"/>
      <c r="W19" s="323"/>
      <c r="X19" s="323"/>
      <c r="Y19" s="323"/>
      <c r="Z19" s="323"/>
      <c r="AA19" s="323"/>
      <c r="AB19" s="323"/>
      <c r="AC19" s="323"/>
      <c r="AD19" s="323"/>
      <c r="AE19" s="323"/>
      <c r="AF19" s="323"/>
      <c r="AG19" s="323"/>
      <c r="AH19" s="323"/>
      <c r="AI19" s="323"/>
      <c r="AJ19" s="324"/>
      <c r="AK19" s="322"/>
      <c r="AL19" s="348"/>
      <c r="AM19" s="348"/>
      <c r="AN19" s="348"/>
      <c r="AO19" s="348"/>
      <c r="AP19" s="348"/>
      <c r="AQ19" s="348"/>
      <c r="AR19" s="348"/>
      <c r="AS19" s="348"/>
      <c r="AT19" s="349"/>
      <c r="AU19" s="350"/>
      <c r="AV19" s="1545"/>
      <c r="AW19" s="1545"/>
      <c r="AX19" s="1545"/>
      <c r="AY19" s="1545"/>
      <c r="AZ19" s="1545"/>
      <c r="BA19" s="1545"/>
      <c r="BB19" s="1545"/>
      <c r="BC19" s="1545"/>
      <c r="BD19" s="324"/>
      <c r="BF19" s="322"/>
      <c r="BG19" s="351"/>
      <c r="BH19" s="1546"/>
      <c r="BI19" s="1546"/>
      <c r="BJ19" s="1546"/>
      <c r="BK19" s="1546"/>
      <c r="BL19" s="1546"/>
      <c r="BM19" s="1546"/>
      <c r="BN19" s="1546"/>
      <c r="BO19" s="1546"/>
      <c r="BP19" s="324"/>
      <c r="BQ19" s="346"/>
    </row>
    <row r="20" spans="1:69">
      <c r="A20" s="1534"/>
      <c r="B20" s="1535"/>
      <c r="C20" s="1535"/>
      <c r="D20" s="1535"/>
      <c r="E20" s="1535"/>
      <c r="F20" s="1535"/>
      <c r="G20" s="1535"/>
      <c r="H20" s="1536"/>
      <c r="I20" s="342" t="s">
        <v>181</v>
      </c>
      <c r="J20" s="323"/>
      <c r="K20" s="324"/>
      <c r="L20" s="342" t="s">
        <v>182</v>
      </c>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4"/>
      <c r="AK20" s="322"/>
      <c r="AL20" s="348"/>
      <c r="AM20" s="348"/>
      <c r="AN20" s="348"/>
      <c r="AO20" s="348"/>
      <c r="AP20" s="348"/>
      <c r="AQ20" s="348"/>
      <c r="AR20" s="348"/>
      <c r="AS20" s="348"/>
      <c r="AT20" s="349"/>
      <c r="AU20" s="350"/>
      <c r="AV20" s="351"/>
      <c r="AW20" s="351"/>
      <c r="AX20" s="351"/>
      <c r="AY20" s="351"/>
      <c r="AZ20" s="351"/>
      <c r="BA20" s="351"/>
      <c r="BB20" s="351"/>
      <c r="BC20" s="351"/>
      <c r="BD20" s="324"/>
      <c r="BE20" s="346"/>
      <c r="BF20" s="322"/>
      <c r="BG20" s="351"/>
      <c r="BH20" s="351"/>
      <c r="BI20" s="351"/>
      <c r="BJ20" s="351"/>
      <c r="BK20" s="351"/>
      <c r="BL20" s="351"/>
      <c r="BM20" s="351"/>
      <c r="BN20" s="351"/>
      <c r="BO20" s="351"/>
      <c r="BP20" s="324"/>
      <c r="BQ20" s="346"/>
    </row>
    <row r="21" spans="1:69">
      <c r="A21" s="322"/>
      <c r="B21" s="323"/>
      <c r="C21" s="323"/>
      <c r="D21" s="323"/>
      <c r="E21" s="323"/>
      <c r="F21" s="323"/>
      <c r="G21" s="323"/>
      <c r="H21" s="324"/>
      <c r="I21" s="342" t="s">
        <v>183</v>
      </c>
      <c r="J21" s="323"/>
      <c r="K21" s="324"/>
      <c r="L21" s="342" t="s">
        <v>184</v>
      </c>
      <c r="M21" s="323"/>
      <c r="N21" s="323"/>
      <c r="O21" s="323"/>
      <c r="P21" s="323"/>
      <c r="Q21" s="323"/>
      <c r="R21" s="324"/>
      <c r="S21" s="323"/>
      <c r="T21" s="323"/>
      <c r="U21" s="323"/>
      <c r="V21" s="323"/>
      <c r="W21" s="323"/>
      <c r="X21" s="323"/>
      <c r="Y21" s="323"/>
      <c r="Z21" s="323"/>
      <c r="AA21" s="323"/>
      <c r="AB21" s="323"/>
      <c r="AC21" s="323"/>
      <c r="AD21" s="323"/>
      <c r="AE21" s="323"/>
      <c r="AF21" s="323"/>
      <c r="AG21" s="323"/>
      <c r="AH21" s="323"/>
      <c r="AI21" s="323"/>
      <c r="AJ21" s="324"/>
      <c r="AK21" s="322"/>
      <c r="AL21" s="348"/>
      <c r="AM21" s="348"/>
      <c r="AN21" s="348"/>
      <c r="AO21" s="348"/>
      <c r="AP21" s="348"/>
      <c r="AQ21" s="348"/>
      <c r="AR21" s="348"/>
      <c r="AS21" s="348"/>
      <c r="AT21" s="349"/>
      <c r="AU21" s="350"/>
      <c r="AV21" s="1547"/>
      <c r="AW21" s="1547"/>
      <c r="AX21" s="1547"/>
      <c r="AY21" s="1547"/>
      <c r="AZ21" s="1547"/>
      <c r="BA21" s="1547"/>
      <c r="BB21" s="1547"/>
      <c r="BC21" s="1547"/>
      <c r="BD21" s="324"/>
      <c r="BE21" s="346"/>
      <c r="BF21" s="322"/>
      <c r="BG21" s="351"/>
      <c r="BH21" s="1547"/>
      <c r="BI21" s="1547"/>
      <c r="BJ21" s="1547"/>
      <c r="BK21" s="1547"/>
      <c r="BL21" s="1547"/>
      <c r="BM21" s="1547"/>
      <c r="BN21" s="1547"/>
      <c r="BO21" s="1547"/>
      <c r="BP21" s="324"/>
      <c r="BQ21" s="346"/>
    </row>
    <row r="22" spans="1:69">
      <c r="A22" s="322"/>
      <c r="B22" s="323"/>
      <c r="C22" s="323"/>
      <c r="D22" s="323"/>
      <c r="E22" s="323"/>
      <c r="F22" s="323"/>
      <c r="G22" s="323"/>
      <c r="H22" s="324"/>
      <c r="I22" s="342"/>
      <c r="J22" s="323"/>
      <c r="K22" s="324"/>
      <c r="L22" s="342"/>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4"/>
      <c r="AK22" s="322"/>
      <c r="AL22" s="352"/>
      <c r="AM22" s="352"/>
      <c r="AN22" s="352"/>
      <c r="AO22" s="352"/>
      <c r="AP22" s="352"/>
      <c r="AQ22" s="352"/>
      <c r="AR22" s="352"/>
      <c r="AS22" s="352"/>
      <c r="AT22" s="349"/>
      <c r="AU22" s="350"/>
      <c r="AV22" s="351"/>
      <c r="AW22" s="351"/>
      <c r="AX22" s="351"/>
      <c r="AY22" s="351"/>
      <c r="AZ22" s="351"/>
      <c r="BA22" s="351"/>
      <c r="BB22" s="351"/>
      <c r="BC22" s="351"/>
      <c r="BD22" s="324"/>
      <c r="BE22" s="346"/>
      <c r="BF22" s="322"/>
      <c r="BG22" s="351"/>
      <c r="BH22" s="351"/>
      <c r="BI22" s="351"/>
      <c r="BJ22" s="351"/>
      <c r="BK22" s="351"/>
      <c r="BL22" s="351"/>
      <c r="BM22" s="351"/>
      <c r="BN22" s="351"/>
      <c r="BO22" s="351"/>
      <c r="BP22" s="323"/>
      <c r="BQ22" s="346"/>
    </row>
    <row r="23" spans="1:69">
      <c r="A23" s="353">
        <v>1</v>
      </c>
      <c r="B23" s="335"/>
      <c r="C23" s="335"/>
      <c r="D23" s="335"/>
      <c r="E23" s="335"/>
      <c r="F23" s="335"/>
      <c r="G23" s="335"/>
      <c r="H23" s="336"/>
      <c r="I23" s="334"/>
      <c r="J23" s="335"/>
      <c r="K23" s="336"/>
      <c r="L23" s="354" t="s">
        <v>185</v>
      </c>
      <c r="M23" s="335"/>
      <c r="N23" s="335"/>
      <c r="O23" s="335"/>
      <c r="P23" s="335"/>
      <c r="Q23" s="335"/>
      <c r="R23" s="335"/>
      <c r="S23" s="335"/>
      <c r="T23" s="335"/>
      <c r="U23" s="335"/>
      <c r="V23" s="335"/>
      <c r="W23" s="335"/>
      <c r="X23" s="335"/>
      <c r="Y23" s="335"/>
      <c r="Z23" s="335"/>
      <c r="AA23" s="335"/>
      <c r="AB23" s="335"/>
      <c r="AC23" s="335"/>
      <c r="AD23" s="335"/>
      <c r="AE23" s="335"/>
      <c r="AF23" s="335"/>
      <c r="AG23" s="335"/>
      <c r="AH23" s="355" t="s">
        <v>186</v>
      </c>
      <c r="AI23" s="335"/>
      <c r="AJ23" s="356"/>
      <c r="AK23" s="357"/>
      <c r="AL23" s="1544"/>
      <c r="AM23" s="1544"/>
      <c r="AN23" s="1544"/>
      <c r="AO23" s="1544"/>
      <c r="AP23" s="1544"/>
      <c r="AQ23" s="1544"/>
      <c r="AR23" s="1544"/>
      <c r="AS23" s="1544"/>
      <c r="AT23" s="358"/>
      <c r="AU23" s="359"/>
      <c r="AV23" s="1544"/>
      <c r="AW23" s="1544"/>
      <c r="AX23" s="1544"/>
      <c r="AY23" s="1544"/>
      <c r="AZ23" s="1544"/>
      <c r="BA23" s="1544"/>
      <c r="BB23" s="1544"/>
      <c r="BC23" s="1544"/>
      <c r="BD23" s="360"/>
      <c r="BE23" s="361"/>
      <c r="BF23" s="357"/>
      <c r="BG23" s="362"/>
      <c r="BH23" s="1526"/>
      <c r="BI23" s="1526"/>
      <c r="BJ23" s="1526"/>
      <c r="BK23" s="1526"/>
      <c r="BL23" s="1526"/>
      <c r="BM23" s="1526"/>
      <c r="BN23" s="1526"/>
      <c r="BO23" s="364"/>
      <c r="BP23" s="365"/>
      <c r="BQ23" s="353">
        <v>1</v>
      </c>
    </row>
    <row r="25" spans="1:69">
      <c r="A25" s="366"/>
      <c r="B25" s="367"/>
      <c r="C25" s="367"/>
      <c r="D25" s="367"/>
      <c r="E25" s="367"/>
      <c r="F25" s="367"/>
      <c r="G25" s="367"/>
      <c r="H25" s="368"/>
      <c r="I25" s="1497" t="s">
        <v>170</v>
      </c>
      <c r="J25" s="1498"/>
      <c r="K25" s="1499"/>
      <c r="L25" s="1497" t="s">
        <v>187</v>
      </c>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c r="AI25" s="1498"/>
      <c r="AJ25" s="1498"/>
      <c r="AK25" s="1498"/>
      <c r="AL25" s="1498"/>
      <c r="AM25" s="1498"/>
      <c r="AN25" s="1498"/>
      <c r="AO25" s="1498"/>
      <c r="AP25" s="1498"/>
      <c r="AQ25" s="1498"/>
      <c r="AR25" s="1498"/>
      <c r="AS25" s="1498"/>
      <c r="AT25" s="1499"/>
      <c r="AU25" s="1497" t="s">
        <v>188</v>
      </c>
      <c r="AV25" s="1498"/>
      <c r="AW25" s="1498"/>
      <c r="AX25" s="1498"/>
      <c r="AY25" s="1498"/>
      <c r="AZ25" s="1498"/>
      <c r="BA25" s="1498"/>
      <c r="BB25" s="1498"/>
      <c r="BC25" s="1498"/>
      <c r="BD25" s="1499"/>
      <c r="BE25" s="338" t="s">
        <v>174</v>
      </c>
      <c r="BF25" s="1497" t="s">
        <v>175</v>
      </c>
      <c r="BG25" s="1498"/>
      <c r="BH25" s="1498"/>
      <c r="BI25" s="1498"/>
      <c r="BJ25" s="1498"/>
      <c r="BK25" s="1498"/>
      <c r="BL25" s="1498"/>
      <c r="BM25" s="1498"/>
      <c r="BN25" s="1498"/>
      <c r="BO25" s="1498"/>
      <c r="BP25" s="1498"/>
      <c r="BQ25" s="339"/>
    </row>
    <row r="26" spans="1:69">
      <c r="A26" s="1534" t="s">
        <v>189</v>
      </c>
      <c r="B26" s="1535"/>
      <c r="C26" s="1535"/>
      <c r="D26" s="1535"/>
      <c r="E26" s="1535"/>
      <c r="F26" s="1535"/>
      <c r="G26" s="1535"/>
      <c r="H26" s="1536"/>
      <c r="I26" s="342" t="s">
        <v>190</v>
      </c>
      <c r="J26" s="323"/>
      <c r="K26" s="324"/>
      <c r="L26" s="369" t="s">
        <v>191</v>
      </c>
      <c r="M26" s="370"/>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41"/>
      <c r="AU26" s="340"/>
      <c r="AV26" s="371"/>
      <c r="AW26" s="371"/>
      <c r="AX26" s="371"/>
      <c r="AY26" s="371"/>
      <c r="AZ26" s="371"/>
      <c r="BA26" s="371"/>
      <c r="BB26" s="371"/>
      <c r="BC26" s="371"/>
      <c r="BD26" s="341"/>
      <c r="BE26" s="345">
        <v>0.06</v>
      </c>
      <c r="BF26" s="340"/>
      <c r="BG26" s="372"/>
      <c r="BH26" s="372"/>
      <c r="BI26" s="1537"/>
      <c r="BJ26" s="1538"/>
      <c r="BK26" s="1538"/>
      <c r="BL26" s="1538"/>
      <c r="BM26" s="1538"/>
      <c r="BN26" s="1539"/>
      <c r="BO26" s="372"/>
      <c r="BP26" s="329"/>
      <c r="BQ26" s="346"/>
    </row>
    <row r="27" spans="1:69">
      <c r="A27" s="1540" t="s">
        <v>192</v>
      </c>
      <c r="B27" s="1541"/>
      <c r="C27" s="1541"/>
      <c r="D27" s="1541"/>
      <c r="E27" s="1541"/>
      <c r="F27" s="1541"/>
      <c r="G27" s="1541"/>
      <c r="H27" s="1542"/>
      <c r="I27" s="342" t="s">
        <v>193</v>
      </c>
      <c r="J27" s="323"/>
      <c r="K27" s="324"/>
      <c r="L27" s="369" t="s">
        <v>194</v>
      </c>
      <c r="M27" s="37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4"/>
      <c r="AU27" s="322"/>
      <c r="AV27" s="371"/>
      <c r="AW27" s="371"/>
      <c r="AX27" s="371"/>
      <c r="AY27" s="371"/>
      <c r="AZ27" s="371"/>
      <c r="BA27" s="371"/>
      <c r="BB27" s="371"/>
      <c r="BC27" s="371"/>
      <c r="BD27" s="324"/>
      <c r="BE27" s="345">
        <v>0.01</v>
      </c>
      <c r="BF27" s="322"/>
      <c r="BG27" s="374"/>
      <c r="BH27" s="374"/>
      <c r="BI27" s="374"/>
      <c r="BJ27" s="374"/>
      <c r="BK27" s="374"/>
      <c r="BL27" s="374"/>
      <c r="BM27" s="374"/>
      <c r="BN27" s="374"/>
      <c r="BO27" s="374"/>
      <c r="BP27" s="323"/>
      <c r="BQ27" s="346"/>
    </row>
    <row r="28" spans="1:69">
      <c r="A28" s="1540"/>
      <c r="B28" s="1541"/>
      <c r="C28" s="1541"/>
      <c r="D28" s="1541"/>
      <c r="E28" s="1541"/>
      <c r="F28" s="1541"/>
      <c r="G28" s="1541"/>
      <c r="H28" s="1542"/>
      <c r="I28" s="342"/>
      <c r="J28" s="323"/>
      <c r="K28" s="324"/>
      <c r="L28" s="342"/>
      <c r="M28" s="37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4"/>
      <c r="AU28" s="334"/>
      <c r="AV28" s="375"/>
      <c r="AW28" s="376"/>
      <c r="AX28" s="376"/>
      <c r="AY28" s="376"/>
      <c r="AZ28" s="376"/>
      <c r="BA28" s="376"/>
      <c r="BB28" s="376"/>
      <c r="BC28" s="375"/>
      <c r="BD28" s="336"/>
      <c r="BE28" s="377"/>
      <c r="BF28" s="322"/>
      <c r="BG28" s="335"/>
      <c r="BH28" s="335"/>
      <c r="BI28" s="1543"/>
      <c r="BJ28" s="1543"/>
      <c r="BK28" s="1543"/>
      <c r="BL28" s="1543"/>
      <c r="BM28" s="1543"/>
      <c r="BN28" s="1543"/>
      <c r="BO28" s="335"/>
      <c r="BP28" s="323"/>
      <c r="BQ28" s="346"/>
    </row>
    <row r="29" spans="1:69">
      <c r="A29" s="353">
        <v>3</v>
      </c>
      <c r="B29" s="335"/>
      <c r="C29" s="335"/>
      <c r="D29" s="335"/>
      <c r="E29" s="335"/>
      <c r="F29" s="335"/>
      <c r="G29" s="335"/>
      <c r="H29" s="336"/>
      <c r="I29" s="334"/>
      <c r="J29" s="335"/>
      <c r="K29" s="336"/>
      <c r="L29" s="334"/>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78"/>
      <c r="AS29" s="378"/>
      <c r="AT29" s="379" t="s">
        <v>186</v>
      </c>
      <c r="AU29" s="357"/>
      <c r="AV29" s="365"/>
      <c r="AW29" s="365"/>
      <c r="AX29" s="365"/>
      <c r="AY29" s="365"/>
      <c r="AZ29" s="365"/>
      <c r="BA29" s="365"/>
      <c r="BB29" s="365"/>
      <c r="BC29" s="365"/>
      <c r="BD29" s="360"/>
      <c r="BE29" s="361"/>
      <c r="BF29" s="357"/>
      <c r="BG29" s="365"/>
      <c r="BH29" s="1526"/>
      <c r="BI29" s="1527"/>
      <c r="BJ29" s="1527"/>
      <c r="BK29" s="1527"/>
      <c r="BL29" s="1527"/>
      <c r="BM29" s="1527"/>
      <c r="BN29" s="1527"/>
      <c r="BO29" s="1527"/>
      <c r="BP29" s="365"/>
      <c r="BQ29" s="353">
        <v>3</v>
      </c>
    </row>
    <row r="30" spans="1:69">
      <c r="A30" s="365"/>
      <c r="B30" s="365"/>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81"/>
      <c r="AU30" s="365"/>
      <c r="AV30" s="365"/>
      <c r="AW30" s="365"/>
      <c r="AX30" s="365"/>
      <c r="AY30" s="365"/>
      <c r="AZ30" s="365"/>
      <c r="BA30" s="365"/>
      <c r="BB30" s="365"/>
      <c r="BC30" s="365"/>
      <c r="BD30" s="365"/>
      <c r="BE30" s="365"/>
      <c r="BF30" s="365"/>
      <c r="BG30" s="365"/>
      <c r="BH30" s="363"/>
      <c r="BI30" s="380"/>
      <c r="BJ30" s="380"/>
      <c r="BK30" s="380"/>
      <c r="BL30" s="380"/>
      <c r="BM30" s="380"/>
      <c r="BN30" s="380"/>
      <c r="BO30" s="380"/>
      <c r="BP30" s="365"/>
      <c r="BQ30" s="365"/>
    </row>
    <row r="31" spans="1:69">
      <c r="A31" s="1528"/>
      <c r="B31" s="1529"/>
      <c r="C31" s="1529"/>
      <c r="D31" s="1529"/>
      <c r="E31" s="1529"/>
      <c r="F31" s="1529"/>
      <c r="G31" s="1529"/>
      <c r="H31" s="1530"/>
      <c r="I31" s="1497" t="s">
        <v>170</v>
      </c>
      <c r="J31" s="1498"/>
      <c r="K31" s="1499"/>
      <c r="L31" s="1497" t="s">
        <v>171</v>
      </c>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9"/>
      <c r="AU31" s="1531" t="s">
        <v>195</v>
      </c>
      <c r="AV31" s="1532"/>
      <c r="AW31" s="1532"/>
      <c r="AX31" s="1532"/>
      <c r="AY31" s="1532"/>
      <c r="AZ31" s="1532"/>
      <c r="BA31" s="1532"/>
      <c r="BB31" s="1532"/>
      <c r="BC31" s="1532"/>
      <c r="BD31" s="1533"/>
      <c r="BE31" s="338" t="s">
        <v>174</v>
      </c>
      <c r="BF31" s="1497" t="s">
        <v>175</v>
      </c>
      <c r="BG31" s="1498"/>
      <c r="BH31" s="1498"/>
      <c r="BI31" s="1498"/>
      <c r="BJ31" s="1498"/>
      <c r="BK31" s="1498"/>
      <c r="BL31" s="1498"/>
      <c r="BM31" s="1498"/>
      <c r="BN31" s="1498"/>
      <c r="BO31" s="1498"/>
      <c r="BP31" s="1498"/>
      <c r="BQ31" s="339"/>
    </row>
    <row r="32" spans="1:69">
      <c r="A32" s="1503" t="s">
        <v>196</v>
      </c>
      <c r="B32" s="1504"/>
      <c r="C32" s="1504"/>
      <c r="D32" s="1504"/>
      <c r="E32" s="1504"/>
      <c r="F32" s="1504"/>
      <c r="G32" s="1504"/>
      <c r="H32" s="1505"/>
      <c r="I32" s="382"/>
      <c r="J32" s="383"/>
      <c r="K32" s="384"/>
      <c r="L32" s="385"/>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7"/>
      <c r="AU32" s="388"/>
      <c r="AV32" s="389"/>
      <c r="AW32" s="389"/>
      <c r="AX32" s="389"/>
      <c r="AY32" s="389"/>
      <c r="AZ32" s="389"/>
      <c r="BA32" s="389"/>
      <c r="BB32" s="389"/>
      <c r="BC32" s="389"/>
      <c r="BD32" s="390"/>
      <c r="BE32" s="391"/>
      <c r="BF32" s="385"/>
      <c r="BG32" s="386"/>
      <c r="BH32" s="386"/>
      <c r="BI32" s="386"/>
      <c r="BJ32" s="386"/>
      <c r="BK32" s="386"/>
      <c r="BL32" s="386"/>
      <c r="BM32" s="386"/>
      <c r="BN32" s="386"/>
      <c r="BO32" s="386"/>
      <c r="BP32" s="387"/>
      <c r="BQ32" s="392"/>
    </row>
    <row r="33" spans="1:69" ht="15.75">
      <c r="A33" s="1506"/>
      <c r="B33" s="1507"/>
      <c r="C33" s="1507"/>
      <c r="D33" s="1507"/>
      <c r="E33" s="1507"/>
      <c r="F33" s="1507"/>
      <c r="G33" s="1507"/>
      <c r="H33" s="1508"/>
      <c r="I33" s="1509" t="s">
        <v>197</v>
      </c>
      <c r="J33" s="1510"/>
      <c r="K33" s="1511"/>
      <c r="L33" s="369" t="s">
        <v>198</v>
      </c>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4"/>
      <c r="AU33" s="322"/>
      <c r="AV33" s="323"/>
      <c r="AW33" s="323"/>
      <c r="AX33" s="323"/>
      <c r="AY33" s="323"/>
      <c r="AZ33" s="323"/>
      <c r="BA33" s="323"/>
      <c r="BB33" s="323"/>
      <c r="BC33" s="323"/>
      <c r="BD33" s="324"/>
      <c r="BE33" s="1516" t="s">
        <v>199</v>
      </c>
      <c r="BF33" s="322"/>
      <c r="BG33" s="1518">
        <f>VLOOKUP(BR2,TABMAND,U2+7,FALSE)</f>
        <v>97911.71</v>
      </c>
      <c r="BH33" s="1519"/>
      <c r="BI33" s="1519"/>
      <c r="BJ33" s="1519"/>
      <c r="BK33" s="1519"/>
      <c r="BL33" s="1519"/>
      <c r="BM33" s="1519"/>
      <c r="BN33" s="1519"/>
      <c r="BO33" s="1520"/>
      <c r="BP33" s="393"/>
      <c r="BQ33" s="346"/>
    </row>
    <row r="34" spans="1:69">
      <c r="A34" s="1506"/>
      <c r="B34" s="1507"/>
      <c r="C34" s="1507"/>
      <c r="D34" s="1507"/>
      <c r="E34" s="1507"/>
      <c r="F34" s="1507"/>
      <c r="G34" s="1507"/>
      <c r="H34" s="1508"/>
      <c r="I34" s="1512"/>
      <c r="J34" s="1510"/>
      <c r="K34" s="1511"/>
      <c r="L34" s="369" t="s">
        <v>200</v>
      </c>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5"/>
      <c r="AU34" s="396"/>
      <c r="AV34" s="1521"/>
      <c r="AW34" s="1521"/>
      <c r="AX34" s="1521"/>
      <c r="AY34" s="1521"/>
      <c r="AZ34" s="1521"/>
      <c r="BA34" s="1521"/>
      <c r="BB34" s="1521"/>
      <c r="BC34" s="1521"/>
      <c r="BD34" s="395"/>
      <c r="BE34" s="1517"/>
      <c r="BF34" s="322"/>
      <c r="BG34" s="397"/>
      <c r="BH34" s="397"/>
      <c r="BI34" s="397"/>
      <c r="BJ34" s="397"/>
      <c r="BK34" s="397"/>
      <c r="BL34" s="397"/>
      <c r="BM34" s="397"/>
      <c r="BN34" s="397"/>
      <c r="BO34" s="397"/>
      <c r="BP34" s="398"/>
      <c r="BQ34" s="346"/>
    </row>
    <row r="35" spans="1:69">
      <c r="A35" s="1506"/>
      <c r="B35" s="1507"/>
      <c r="C35" s="1507"/>
      <c r="D35" s="1507"/>
      <c r="E35" s="1507"/>
      <c r="F35" s="1507"/>
      <c r="G35" s="1507"/>
      <c r="H35" s="1508"/>
      <c r="I35" s="1512"/>
      <c r="J35" s="1510"/>
      <c r="K35" s="1511"/>
      <c r="L35" s="399"/>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5"/>
      <c r="AU35" s="400"/>
      <c r="AV35" s="401"/>
      <c r="AW35" s="401"/>
      <c r="AX35" s="401"/>
      <c r="AY35" s="401"/>
      <c r="AZ35" s="401"/>
      <c r="BA35" s="401"/>
      <c r="BB35" s="401"/>
      <c r="BC35" s="401"/>
      <c r="BD35" s="402"/>
      <c r="BE35" s="1517"/>
      <c r="BF35" s="322"/>
      <c r="BQ35" s="346"/>
    </row>
    <row r="36" spans="1:69">
      <c r="A36" s="1506"/>
      <c r="B36" s="1507"/>
      <c r="C36" s="1507"/>
      <c r="D36" s="1507"/>
      <c r="E36" s="1507"/>
      <c r="F36" s="1507"/>
      <c r="G36" s="1507"/>
      <c r="H36" s="1508"/>
      <c r="I36" s="1512"/>
      <c r="J36" s="1510"/>
      <c r="K36" s="1511"/>
      <c r="L36" s="369" t="s">
        <v>201</v>
      </c>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5"/>
      <c r="AU36" s="400"/>
      <c r="AV36" s="401"/>
      <c r="AW36" s="401"/>
      <c r="AX36" s="401"/>
      <c r="AY36" s="401"/>
      <c r="AZ36" s="401"/>
      <c r="BA36" s="401"/>
      <c r="BB36" s="401"/>
      <c r="BC36" s="401"/>
      <c r="BD36" s="402"/>
      <c r="BE36" s="1517"/>
      <c r="BF36" s="322"/>
      <c r="BG36" s="403"/>
      <c r="BH36" s="403"/>
      <c r="BI36" s="403"/>
      <c r="BJ36" s="403"/>
      <c r="BK36" s="403"/>
      <c r="BL36" s="403"/>
      <c r="BM36" s="403"/>
      <c r="BN36" s="403"/>
      <c r="BO36" s="403"/>
      <c r="BP36" s="398"/>
      <c r="BQ36" s="346"/>
    </row>
    <row r="37" spans="1:69">
      <c r="A37" s="1506"/>
      <c r="B37" s="1507"/>
      <c r="C37" s="1507"/>
      <c r="D37" s="1507"/>
      <c r="E37" s="1507"/>
      <c r="F37" s="1507"/>
      <c r="G37" s="1507"/>
      <c r="H37" s="1508"/>
      <c r="I37" s="1512"/>
      <c r="J37" s="1510"/>
      <c r="K37" s="1511"/>
      <c r="L37" s="369" t="s">
        <v>202</v>
      </c>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4"/>
      <c r="AU37" s="404"/>
      <c r="AV37" s="405"/>
      <c r="AW37" s="405"/>
      <c r="AX37" s="405"/>
      <c r="AY37" s="405"/>
      <c r="AZ37" s="405"/>
      <c r="BA37" s="405"/>
      <c r="BB37" s="405"/>
      <c r="BC37" s="405"/>
      <c r="BD37" s="406"/>
      <c r="BE37" s="1517"/>
      <c r="BF37" s="322"/>
      <c r="BG37" s="403"/>
      <c r="BH37" s="403"/>
      <c r="BI37" s="403"/>
      <c r="BJ37" s="403"/>
      <c r="BK37" s="403"/>
      <c r="BL37" s="403"/>
      <c r="BM37" s="403"/>
      <c r="BN37" s="403"/>
      <c r="BO37" s="403"/>
      <c r="BP37" s="398"/>
      <c r="BQ37" s="346"/>
    </row>
    <row r="38" spans="1:69">
      <c r="A38" s="1506"/>
      <c r="B38" s="1507"/>
      <c r="C38" s="1507"/>
      <c r="D38" s="1507"/>
      <c r="E38" s="1507"/>
      <c r="F38" s="1507"/>
      <c r="G38" s="1507"/>
      <c r="H38" s="1508"/>
      <c r="I38" s="1512"/>
      <c r="J38" s="1510"/>
      <c r="K38" s="1511"/>
      <c r="L38" s="342"/>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4"/>
      <c r="AU38" s="322"/>
      <c r="AV38" s="323"/>
      <c r="AW38" s="323"/>
      <c r="AX38" s="323"/>
      <c r="AY38" s="323"/>
      <c r="AZ38" s="323"/>
      <c r="BA38" s="323"/>
      <c r="BB38" s="323"/>
      <c r="BC38" s="323"/>
      <c r="BD38" s="324"/>
      <c r="BE38" s="346"/>
      <c r="BF38" s="322"/>
      <c r="BG38" s="323"/>
      <c r="BH38" s="323"/>
      <c r="BI38" s="323"/>
      <c r="BJ38" s="323"/>
      <c r="BK38" s="323"/>
      <c r="BL38" s="323"/>
      <c r="BM38" s="323"/>
      <c r="BN38" s="323"/>
      <c r="BO38" s="323"/>
      <c r="BP38" s="324"/>
      <c r="BQ38" s="361"/>
    </row>
    <row r="39" spans="1:69" ht="15.75">
      <c r="A39" s="353">
        <v>4</v>
      </c>
      <c r="B39" s="335"/>
      <c r="C39" s="335"/>
      <c r="D39" s="335"/>
      <c r="E39" s="335"/>
      <c r="F39" s="335"/>
      <c r="G39" s="335"/>
      <c r="H39" s="336"/>
      <c r="I39" s="1513"/>
      <c r="J39" s="1514"/>
      <c r="K39" s="1515"/>
      <c r="L39" s="407"/>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408"/>
      <c r="AK39" s="335"/>
      <c r="AL39" s="335"/>
      <c r="AM39" s="335"/>
      <c r="AN39" s="335"/>
      <c r="AO39" s="335"/>
      <c r="AP39" s="335"/>
      <c r="AQ39" s="335"/>
      <c r="AR39" s="335"/>
      <c r="AS39" s="335"/>
      <c r="AT39" s="379" t="s">
        <v>186</v>
      </c>
      <c r="AU39" s="357"/>
      <c r="AV39" s="1522"/>
      <c r="AW39" s="1522"/>
      <c r="AX39" s="1522"/>
      <c r="AY39" s="1522"/>
      <c r="AZ39" s="1522"/>
      <c r="BA39" s="1522"/>
      <c r="BB39" s="1522"/>
      <c r="BC39" s="1522"/>
      <c r="BD39" s="360"/>
      <c r="BE39" s="409"/>
      <c r="BF39" s="1523">
        <f>BG33</f>
        <v>97911.71</v>
      </c>
      <c r="BG39" s="1524"/>
      <c r="BH39" s="1524"/>
      <c r="BI39" s="1524"/>
      <c r="BJ39" s="1524"/>
      <c r="BK39" s="1524"/>
      <c r="BL39" s="1524"/>
      <c r="BM39" s="1524"/>
      <c r="BN39" s="1524"/>
      <c r="BO39" s="1524"/>
      <c r="BP39" s="1525"/>
      <c r="BQ39" s="410">
        <v>4</v>
      </c>
    </row>
    <row r="41" spans="1:69">
      <c r="A41" s="1494" t="s">
        <v>203</v>
      </c>
      <c r="B41" s="1495"/>
      <c r="C41" s="1495"/>
      <c r="D41" s="1495"/>
      <c r="E41" s="1495"/>
      <c r="F41" s="1495"/>
      <c r="G41" s="1495"/>
      <c r="H41" s="1495"/>
      <c r="I41" s="1495"/>
      <c r="J41" s="1495"/>
      <c r="K41" s="1495"/>
      <c r="L41" s="1495"/>
      <c r="M41" s="1495"/>
      <c r="N41" s="1495"/>
      <c r="O41" s="1495"/>
      <c r="P41" s="1495"/>
      <c r="Q41" s="1495"/>
      <c r="R41" s="1495"/>
      <c r="S41" s="1495"/>
      <c r="T41" s="1495"/>
      <c r="U41" s="1495"/>
      <c r="V41" s="1495"/>
      <c r="W41" s="1495"/>
      <c r="X41" s="1495"/>
      <c r="Y41" s="1495"/>
      <c r="Z41" s="1495"/>
      <c r="AA41" s="1496"/>
      <c r="AB41" s="1497" t="s">
        <v>204</v>
      </c>
      <c r="AC41" s="1498"/>
      <c r="AD41" s="1498"/>
      <c r="AE41" s="1498"/>
      <c r="AF41" s="1498"/>
      <c r="AG41" s="1498"/>
      <c r="AH41" s="1498"/>
      <c r="AI41" s="1498"/>
      <c r="AJ41" s="1498"/>
      <c r="AK41" s="1498"/>
      <c r="AL41" s="1498"/>
      <c r="AM41" s="1498"/>
      <c r="AN41" s="1498"/>
      <c r="AO41" s="1499"/>
      <c r="AP41" s="1500" t="s">
        <v>205</v>
      </c>
      <c r="AQ41" s="1501"/>
      <c r="AR41" s="1501"/>
      <c r="AS41" s="1501"/>
      <c r="AT41" s="1501"/>
      <c r="AU41" s="1501"/>
      <c r="AV41" s="1501"/>
      <c r="AW41" s="1501"/>
      <c r="AX41" s="1501"/>
      <c r="AY41" s="1501"/>
      <c r="AZ41" s="1501"/>
      <c r="BA41" s="1501"/>
      <c r="BB41" s="1501"/>
      <c r="BC41" s="1501"/>
      <c r="BD41" s="1502"/>
      <c r="BE41" s="1497" t="s">
        <v>206</v>
      </c>
      <c r="BF41" s="1498"/>
      <c r="BG41" s="1498"/>
      <c r="BH41" s="1498"/>
      <c r="BI41" s="1498"/>
      <c r="BJ41" s="1498"/>
      <c r="BK41" s="1498"/>
      <c r="BL41" s="1498"/>
      <c r="BM41" s="1498"/>
      <c r="BN41" s="1498"/>
      <c r="BO41" s="1498"/>
      <c r="BP41" s="1498"/>
      <c r="BQ41" s="1499"/>
    </row>
    <row r="42" spans="1:69">
      <c r="A42" s="411"/>
      <c r="B42" s="412"/>
      <c r="C42" s="412"/>
      <c r="D42" s="412"/>
      <c r="E42" s="412"/>
      <c r="F42" s="412"/>
      <c r="G42" s="412"/>
      <c r="H42" s="412"/>
      <c r="I42" s="370"/>
      <c r="J42" s="329"/>
      <c r="K42" s="329"/>
      <c r="L42" s="370"/>
      <c r="M42" s="370"/>
      <c r="N42" s="329"/>
      <c r="O42" s="329"/>
      <c r="P42" s="329"/>
      <c r="Q42" s="329"/>
      <c r="R42" s="329"/>
      <c r="S42" s="341"/>
      <c r="T42" s="329"/>
      <c r="U42" s="329"/>
      <c r="V42" s="329"/>
      <c r="W42" s="329"/>
      <c r="X42" s="329"/>
      <c r="Y42" s="329"/>
      <c r="Z42" s="329"/>
      <c r="AA42" s="341"/>
      <c r="AB42" s="340"/>
      <c r="AC42" s="329"/>
      <c r="AD42" s="329"/>
      <c r="AE42" s="329"/>
      <c r="AF42" s="329"/>
      <c r="AG42" s="329"/>
      <c r="AH42" s="329"/>
      <c r="AI42" s="329"/>
      <c r="AJ42" s="329"/>
      <c r="AK42" s="329"/>
      <c r="AL42" s="329"/>
      <c r="AM42" s="329"/>
      <c r="AN42" s="329"/>
      <c r="AO42" s="413" t="s">
        <v>207</v>
      </c>
      <c r="AP42" s="1479" t="s">
        <v>208</v>
      </c>
      <c r="AQ42" s="1480"/>
      <c r="AR42" s="1480"/>
      <c r="AS42" s="1480"/>
      <c r="AT42" s="1480"/>
      <c r="AU42" s="1480"/>
      <c r="AV42" s="1480"/>
      <c r="AW42" s="1480"/>
      <c r="AX42" s="1480"/>
      <c r="AY42" s="1480"/>
      <c r="AZ42" s="1480"/>
      <c r="BA42" s="1480"/>
      <c r="BB42" s="1480"/>
      <c r="BC42" s="1480"/>
      <c r="BD42" s="1481"/>
      <c r="BE42" s="414" t="s">
        <v>209</v>
      </c>
      <c r="BF42" s="329"/>
      <c r="BG42" s="329"/>
      <c r="BH42" s="329"/>
      <c r="BI42" s="329"/>
      <c r="BJ42" s="329"/>
      <c r="BK42" s="329"/>
      <c r="BL42" s="329"/>
      <c r="BM42" s="329"/>
      <c r="BN42" s="329"/>
      <c r="BO42" s="329"/>
      <c r="BP42" s="329"/>
      <c r="BQ42" s="341"/>
    </row>
    <row r="43" spans="1:69">
      <c r="A43" s="322"/>
      <c r="B43" s="415" t="s">
        <v>210</v>
      </c>
      <c r="C43" s="416"/>
      <c r="D43" s="416"/>
      <c r="E43" s="417"/>
      <c r="F43" s="417"/>
      <c r="G43" s="417"/>
      <c r="H43" s="417"/>
      <c r="I43" s="373"/>
      <c r="J43" s="323"/>
      <c r="K43" s="323"/>
      <c r="L43" s="373"/>
      <c r="M43" s="418" t="s">
        <v>211</v>
      </c>
      <c r="N43" s="418"/>
      <c r="O43" s="323"/>
      <c r="P43" s="323"/>
      <c r="Q43" s="323"/>
      <c r="R43" s="323"/>
      <c r="S43" s="324"/>
      <c r="T43" s="394"/>
      <c r="U43" s="1488"/>
      <c r="V43" s="1488"/>
      <c r="W43" s="1488"/>
      <c r="X43" s="1488"/>
      <c r="Y43" s="1488"/>
      <c r="Z43" s="1488"/>
      <c r="AA43" s="395"/>
      <c r="AB43" s="322"/>
      <c r="AC43" s="323"/>
      <c r="AD43" s="323"/>
      <c r="AE43" s="323"/>
      <c r="AF43" s="323"/>
      <c r="AG43" s="323"/>
      <c r="AH43" s="323"/>
      <c r="AI43" s="323"/>
      <c r="AJ43" s="419"/>
      <c r="AK43" s="419"/>
      <c r="AL43" s="419"/>
      <c r="AM43" s="419"/>
      <c r="AN43" s="419"/>
      <c r="AO43" s="420" t="s">
        <v>212</v>
      </c>
      <c r="AP43" s="1482"/>
      <c r="AQ43" s="1483"/>
      <c r="AR43" s="1483"/>
      <c r="AS43" s="1483"/>
      <c r="AT43" s="1483"/>
      <c r="AU43" s="1483"/>
      <c r="AV43" s="1483"/>
      <c r="AW43" s="1483"/>
      <c r="AX43" s="1483"/>
      <c r="AY43" s="1483"/>
      <c r="AZ43" s="1483"/>
      <c r="BA43" s="1483"/>
      <c r="BB43" s="1483"/>
      <c r="BC43" s="1483"/>
      <c r="BD43" s="1484"/>
      <c r="BE43" s="342"/>
      <c r="BF43" s="373"/>
      <c r="BG43" s="373"/>
      <c r="BH43" s="373"/>
      <c r="BI43" s="373"/>
      <c r="BJ43" s="373"/>
      <c r="BK43" s="373"/>
      <c r="BL43" s="373"/>
      <c r="BM43" s="373"/>
      <c r="BN43" s="373"/>
      <c r="BO43" s="373"/>
      <c r="BP43" s="421" t="s">
        <v>213</v>
      </c>
      <c r="BQ43" s="420"/>
    </row>
    <row r="44" spans="1:69">
      <c r="A44" s="322"/>
      <c r="B44" s="415" t="s">
        <v>214</v>
      </c>
      <c r="C44" s="416"/>
      <c r="D44" s="416"/>
      <c r="E44" s="417"/>
      <c r="F44" s="417"/>
      <c r="G44" s="417"/>
      <c r="H44" s="417"/>
      <c r="I44" s="373"/>
      <c r="J44" s="323"/>
      <c r="K44" s="323"/>
      <c r="L44" s="373"/>
      <c r="M44" s="418" t="s">
        <v>215</v>
      </c>
      <c r="N44" s="418"/>
      <c r="O44" s="323"/>
      <c r="P44" s="323"/>
      <c r="Q44" s="323"/>
      <c r="R44" s="323"/>
      <c r="S44" s="324"/>
      <c r="T44" s="401"/>
      <c r="U44" s="1473"/>
      <c r="V44" s="1473"/>
      <c r="W44" s="1473"/>
      <c r="X44" s="1473"/>
      <c r="Y44" s="1473"/>
      <c r="Z44" s="1473"/>
      <c r="AA44" s="402"/>
      <c r="AB44" s="414" t="s">
        <v>216</v>
      </c>
      <c r="AC44" s="323"/>
      <c r="AD44" s="323"/>
      <c r="AE44" s="323"/>
      <c r="AF44" s="323"/>
      <c r="AG44" s="323"/>
      <c r="AH44" s="323"/>
      <c r="AI44" s="323"/>
      <c r="AJ44" s="419"/>
      <c r="AK44" s="419"/>
      <c r="AL44" s="419"/>
      <c r="AM44" s="419"/>
      <c r="AN44" s="419"/>
      <c r="AP44" s="1482"/>
      <c r="AQ44" s="1483"/>
      <c r="AR44" s="1483"/>
      <c r="AS44" s="1483"/>
      <c r="AT44" s="1483"/>
      <c r="AU44" s="1483"/>
      <c r="AV44" s="1483"/>
      <c r="AW44" s="1483"/>
      <c r="AX44" s="1483"/>
      <c r="AY44" s="1483"/>
      <c r="AZ44" s="1483"/>
      <c r="BA44" s="1483"/>
      <c r="BB44" s="1483"/>
      <c r="BC44" s="1483"/>
      <c r="BD44" s="1484"/>
      <c r="BE44" s="414" t="s">
        <v>217</v>
      </c>
      <c r="BF44" s="373"/>
      <c r="BG44" s="373"/>
      <c r="BH44" s="373"/>
      <c r="BI44" s="373"/>
      <c r="BJ44" s="373"/>
      <c r="BK44" s="373"/>
      <c r="BL44" s="373"/>
      <c r="BM44" s="373"/>
      <c r="BN44" s="373"/>
      <c r="BO44" s="373"/>
      <c r="BP44" s="373"/>
      <c r="BQ44" s="420"/>
    </row>
    <row r="45" spans="1:69" ht="15.75">
      <c r="A45" s="322"/>
      <c r="B45" s="422" t="s">
        <v>218</v>
      </c>
      <c r="C45" s="326"/>
      <c r="D45" s="326"/>
      <c r="E45" s="347"/>
      <c r="F45" s="347"/>
      <c r="G45" s="347"/>
      <c r="H45" s="347"/>
      <c r="I45" s="373"/>
      <c r="J45" s="323"/>
      <c r="K45" s="323"/>
      <c r="L45" s="373"/>
      <c r="M45" s="418" t="s">
        <v>219</v>
      </c>
      <c r="N45" s="418"/>
      <c r="O45" s="323"/>
      <c r="P45" s="323"/>
      <c r="Q45" s="323"/>
      <c r="R45" s="323"/>
      <c r="S45" s="324"/>
      <c r="T45" s="1489">
        <f>BG33</f>
        <v>97911.71</v>
      </c>
      <c r="U45" s="1490"/>
      <c r="V45" s="1490"/>
      <c r="W45" s="1490"/>
      <c r="X45" s="1490"/>
      <c r="Y45" s="1490"/>
      <c r="Z45" s="1490"/>
      <c r="AA45" s="1491"/>
      <c r="AB45" s="414" t="s">
        <v>220</v>
      </c>
      <c r="AC45" s="418"/>
      <c r="AD45" s="418"/>
      <c r="AE45" s="418"/>
      <c r="AF45" s="418"/>
      <c r="AG45" s="418"/>
      <c r="AH45" s="418"/>
      <c r="AI45" s="418"/>
      <c r="AJ45" s="418"/>
      <c r="AK45" s="418"/>
      <c r="AL45" s="418"/>
      <c r="AM45" s="418"/>
      <c r="AN45" s="418"/>
      <c r="AO45" s="423"/>
      <c r="AP45" s="1482"/>
      <c r="AQ45" s="1483"/>
      <c r="AR45" s="1483"/>
      <c r="AS45" s="1483"/>
      <c r="AT45" s="1483"/>
      <c r="AU45" s="1483"/>
      <c r="AV45" s="1483"/>
      <c r="AW45" s="1483"/>
      <c r="AX45" s="1483"/>
      <c r="AY45" s="1483"/>
      <c r="AZ45" s="1483"/>
      <c r="BA45" s="1483"/>
      <c r="BB45" s="1483"/>
      <c r="BC45" s="1483"/>
      <c r="BD45" s="1484"/>
      <c r="BE45" s="342"/>
      <c r="BF45" s="373"/>
      <c r="BG45" s="373"/>
      <c r="BH45" s="373"/>
      <c r="BI45" s="373"/>
      <c r="BJ45" s="373"/>
      <c r="BK45" s="373"/>
      <c r="BL45" s="373"/>
      <c r="BM45" s="373"/>
      <c r="BN45" s="373"/>
      <c r="BO45" s="373"/>
      <c r="BP45" s="421" t="s">
        <v>221</v>
      </c>
      <c r="BQ45" s="420"/>
    </row>
    <row r="46" spans="1:69">
      <c r="A46" s="322"/>
      <c r="B46" s="415" t="s">
        <v>222</v>
      </c>
      <c r="C46" s="416"/>
      <c r="D46" s="416"/>
      <c r="E46" s="417"/>
      <c r="F46" s="417"/>
      <c r="G46" s="417"/>
      <c r="H46" s="417"/>
      <c r="I46" s="373"/>
      <c r="J46" s="323"/>
      <c r="K46" s="323"/>
      <c r="L46" s="373"/>
      <c r="M46" s="418" t="s">
        <v>223</v>
      </c>
      <c r="N46" s="418"/>
      <c r="O46" s="323"/>
      <c r="P46" s="323"/>
      <c r="Q46" s="323"/>
      <c r="R46" s="323"/>
      <c r="S46" s="324"/>
      <c r="T46" s="401"/>
      <c r="U46" s="1473"/>
      <c r="V46" s="1473"/>
      <c r="W46" s="1473"/>
      <c r="X46" s="1473"/>
      <c r="Y46" s="1473"/>
      <c r="Z46" s="1473"/>
      <c r="AA46" s="402"/>
      <c r="AB46" s="414" t="s">
        <v>224</v>
      </c>
      <c r="AC46" s="414"/>
      <c r="AD46" s="414"/>
      <c r="AE46" s="414"/>
      <c r="AF46" s="414"/>
      <c r="AG46" s="414"/>
      <c r="AH46" s="414"/>
      <c r="AI46" s="414"/>
      <c r="AJ46" s="414"/>
      <c r="AK46" s="418"/>
      <c r="AL46" s="418"/>
      <c r="AM46" s="418"/>
      <c r="AN46" s="418"/>
      <c r="AO46" s="423"/>
      <c r="AP46" s="1482"/>
      <c r="AQ46" s="1483"/>
      <c r="AR46" s="1483"/>
      <c r="AS46" s="1483"/>
      <c r="AT46" s="1483"/>
      <c r="AU46" s="1483"/>
      <c r="AV46" s="1483"/>
      <c r="AW46" s="1483"/>
      <c r="AX46" s="1483"/>
      <c r="AY46" s="1483"/>
      <c r="AZ46" s="1483"/>
      <c r="BA46" s="1483"/>
      <c r="BB46" s="1483"/>
      <c r="BC46" s="1483"/>
      <c r="BD46" s="1484"/>
      <c r="BE46" s="322"/>
      <c r="BF46" s="424" t="s">
        <v>225</v>
      </c>
      <c r="BG46" s="373"/>
      <c r="BH46" s="373"/>
      <c r="BI46" s="373"/>
      <c r="BJ46" s="373"/>
      <c r="BK46" s="373"/>
      <c r="BL46" s="373"/>
      <c r="BM46" s="373"/>
      <c r="BO46" s="373"/>
      <c r="BP46" s="425"/>
      <c r="BQ46" s="420"/>
    </row>
    <row r="47" spans="1:69" ht="18">
      <c r="A47" s="322"/>
      <c r="B47" s="415" t="s">
        <v>226</v>
      </c>
      <c r="C47" s="416"/>
      <c r="D47" s="416"/>
      <c r="E47" s="417"/>
      <c r="F47" s="417"/>
      <c r="G47" s="417"/>
      <c r="H47" s="417"/>
      <c r="I47" s="373"/>
      <c r="J47" s="323"/>
      <c r="K47" s="323"/>
      <c r="L47" s="373"/>
      <c r="M47" s="418" t="s">
        <v>227</v>
      </c>
      <c r="N47" s="418"/>
      <c r="O47" s="323"/>
      <c r="P47" s="323"/>
      <c r="Q47" s="323"/>
      <c r="R47" s="323"/>
      <c r="S47" s="324"/>
      <c r="T47" s="401"/>
      <c r="U47" s="1473"/>
      <c r="V47" s="1473"/>
      <c r="W47" s="1473"/>
      <c r="X47" s="1473"/>
      <c r="Y47" s="1473"/>
      <c r="Z47" s="1473"/>
      <c r="AA47" s="402"/>
      <c r="AB47" s="1492">
        <f>الرئيسية!N10</f>
        <v>43617</v>
      </c>
      <c r="AC47" s="1493"/>
      <c r="AD47" s="1493"/>
      <c r="AE47" s="1493"/>
      <c r="AF47" s="1493"/>
      <c r="AG47" s="1493"/>
      <c r="AH47" s="418"/>
      <c r="AI47" s="418"/>
      <c r="AJ47" s="418"/>
      <c r="AK47" s="418"/>
      <c r="AL47" s="418"/>
      <c r="AM47" s="418"/>
      <c r="AN47" s="418"/>
      <c r="AO47" s="426" t="s">
        <v>228</v>
      </c>
      <c r="AP47" s="1482"/>
      <c r="AQ47" s="1483"/>
      <c r="AR47" s="1483"/>
      <c r="AS47" s="1483"/>
      <c r="AT47" s="1483"/>
      <c r="AU47" s="1483"/>
      <c r="AV47" s="1483"/>
      <c r="AW47" s="1483"/>
      <c r="AX47" s="1483"/>
      <c r="AY47" s="1483"/>
      <c r="AZ47" s="1483"/>
      <c r="BA47" s="1483"/>
      <c r="BB47" s="1483"/>
      <c r="BC47" s="1483"/>
      <c r="BD47" s="1484"/>
      <c r="BE47" s="427"/>
      <c r="BF47" s="1472">
        <f>BR2</f>
        <v>69</v>
      </c>
      <c r="BG47" s="1472"/>
      <c r="BH47" s="1472"/>
      <c r="BI47" s="373"/>
      <c r="BJ47" s="373"/>
      <c r="BK47" s="373"/>
      <c r="BL47" s="373"/>
      <c r="BM47" s="373"/>
      <c r="BN47" s="373"/>
      <c r="BO47" s="373"/>
      <c r="BP47" s="425"/>
      <c r="BQ47" s="420"/>
    </row>
    <row r="48" spans="1:69">
      <c r="A48" s="322"/>
      <c r="B48" s="422"/>
      <c r="C48" s="416"/>
      <c r="D48" s="416"/>
      <c r="E48" s="417"/>
      <c r="F48" s="417"/>
      <c r="G48" s="417"/>
      <c r="H48" s="417"/>
      <c r="I48" s="323"/>
      <c r="J48" s="323"/>
      <c r="K48" s="323"/>
      <c r="L48" s="323"/>
      <c r="M48" s="428"/>
      <c r="N48" s="418"/>
      <c r="O48" s="323"/>
      <c r="P48" s="323"/>
      <c r="Q48" s="323"/>
      <c r="R48" s="323"/>
      <c r="S48" s="324"/>
      <c r="T48" s="401"/>
      <c r="U48" s="1473"/>
      <c r="V48" s="1473"/>
      <c r="W48" s="1473"/>
      <c r="X48" s="1473"/>
      <c r="Y48" s="1473"/>
      <c r="Z48" s="1473"/>
      <c r="AA48" s="402"/>
      <c r="AB48" s="414" t="s">
        <v>229</v>
      </c>
      <c r="AC48" s="323"/>
      <c r="AD48" s="323"/>
      <c r="AE48" s="323"/>
      <c r="AF48" s="323"/>
      <c r="AG48" s="323"/>
      <c r="AH48" s="323"/>
      <c r="AI48" s="323"/>
      <c r="AJ48" s="323"/>
      <c r="AK48" s="323"/>
      <c r="AL48" s="323"/>
      <c r="AM48" s="323"/>
      <c r="AN48" s="323"/>
      <c r="AO48" s="324"/>
      <c r="AP48" s="1482"/>
      <c r="AQ48" s="1483"/>
      <c r="AR48" s="1483"/>
      <c r="AS48" s="1483"/>
      <c r="AT48" s="1483"/>
      <c r="AU48" s="1483"/>
      <c r="AV48" s="1483"/>
      <c r="AW48" s="1483"/>
      <c r="AX48" s="1483"/>
      <c r="AY48" s="1483"/>
      <c r="AZ48" s="1483"/>
      <c r="BA48" s="1483"/>
      <c r="BB48" s="1483"/>
      <c r="BC48" s="1483"/>
      <c r="BD48" s="1484"/>
      <c r="BE48" s="342"/>
      <c r="BF48" s="424" t="s">
        <v>225</v>
      </c>
      <c r="BG48" s="373"/>
      <c r="BH48" s="373"/>
      <c r="BI48" s="373"/>
      <c r="BJ48" s="373"/>
      <c r="BK48" s="373"/>
      <c r="BL48" s="373"/>
      <c r="BM48" s="373"/>
      <c r="BN48" s="373"/>
      <c r="BO48" s="373"/>
      <c r="BP48" s="425"/>
      <c r="BQ48" s="420"/>
    </row>
    <row r="49" spans="1:69" ht="13.5" thickBot="1">
      <c r="A49" s="322"/>
      <c r="B49" s="323"/>
      <c r="C49" s="323"/>
      <c r="D49" s="323"/>
      <c r="E49" s="323"/>
      <c r="F49" s="323"/>
      <c r="G49" s="323"/>
      <c r="H49" s="323"/>
      <c r="I49" s="323"/>
      <c r="J49" s="323"/>
      <c r="K49" s="323"/>
      <c r="L49" s="323"/>
      <c r="M49" s="323"/>
      <c r="N49" s="323"/>
      <c r="O49" s="323"/>
      <c r="P49" s="323"/>
      <c r="Q49" s="323"/>
      <c r="R49" s="323"/>
      <c r="S49" s="324"/>
      <c r="T49" s="401"/>
      <c r="U49" s="429"/>
      <c r="V49" s="429"/>
      <c r="W49" s="429"/>
      <c r="X49" s="429"/>
      <c r="Y49" s="429"/>
      <c r="Z49" s="429"/>
      <c r="AA49" s="402"/>
      <c r="AC49" s="323"/>
      <c r="AD49" s="323"/>
      <c r="AE49" s="323"/>
      <c r="AF49" s="323"/>
      <c r="AG49" s="323"/>
      <c r="AH49" s="323"/>
      <c r="AI49" s="323"/>
      <c r="AJ49" s="323"/>
      <c r="AK49" s="323"/>
      <c r="AL49" s="323"/>
      <c r="AM49" s="323"/>
      <c r="AN49" s="323"/>
      <c r="AO49" s="324"/>
      <c r="AP49" s="1482"/>
      <c r="AQ49" s="1483"/>
      <c r="AR49" s="1483"/>
      <c r="AS49" s="1483"/>
      <c r="AT49" s="1483"/>
      <c r="AU49" s="1483"/>
      <c r="AV49" s="1483"/>
      <c r="AW49" s="1483"/>
      <c r="AX49" s="1483"/>
      <c r="AY49" s="1483"/>
      <c r="AZ49" s="1483"/>
      <c r="BA49" s="1483"/>
      <c r="BB49" s="1483"/>
      <c r="BC49" s="1483"/>
      <c r="BD49" s="1484"/>
      <c r="BE49" s="342"/>
      <c r="BF49" s="373"/>
      <c r="BG49" s="373"/>
      <c r="BH49" s="373"/>
      <c r="BI49" s="373"/>
      <c r="BJ49" s="373"/>
      <c r="BK49" s="373"/>
      <c r="BL49" s="373"/>
      <c r="BM49" s="373"/>
      <c r="BN49" s="373"/>
      <c r="BO49" s="373"/>
      <c r="BP49" s="425"/>
      <c r="BQ49" s="420"/>
    </row>
    <row r="50" spans="1:69" ht="15.75">
      <c r="A50" s="334"/>
      <c r="B50" s="335"/>
      <c r="C50" s="335"/>
      <c r="D50" s="335"/>
      <c r="E50" s="335"/>
      <c r="F50" s="335"/>
      <c r="G50" s="335"/>
      <c r="H50" s="335"/>
      <c r="I50" s="1474" t="s">
        <v>230</v>
      </c>
      <c r="J50" s="1474"/>
      <c r="K50" s="1474"/>
      <c r="L50" s="1474"/>
      <c r="M50" s="1474"/>
      <c r="N50" s="1474"/>
      <c r="O50" s="1474"/>
      <c r="P50" s="1474"/>
      <c r="Q50" s="1474"/>
      <c r="R50" s="1474"/>
      <c r="S50" s="1475"/>
      <c r="T50" s="1476">
        <f>BG33</f>
        <v>97911.71</v>
      </c>
      <c r="U50" s="1477"/>
      <c r="V50" s="1477"/>
      <c r="W50" s="1477"/>
      <c r="X50" s="1477"/>
      <c r="Y50" s="1477"/>
      <c r="Z50" s="1477"/>
      <c r="AA50" s="1478"/>
      <c r="AB50" s="334"/>
      <c r="AC50" s="335"/>
      <c r="AD50" s="335"/>
      <c r="AE50" s="335"/>
      <c r="AF50" s="335"/>
      <c r="AG50" s="335"/>
      <c r="AH50" s="335"/>
      <c r="AI50" s="335"/>
      <c r="AJ50" s="335"/>
      <c r="AK50" s="335"/>
      <c r="AL50" s="335"/>
      <c r="AM50" s="335"/>
      <c r="AN50" s="335"/>
      <c r="AO50" s="336"/>
      <c r="AP50" s="1485"/>
      <c r="AQ50" s="1486"/>
      <c r="AR50" s="1486"/>
      <c r="AS50" s="1486"/>
      <c r="AT50" s="1486"/>
      <c r="AU50" s="1486"/>
      <c r="AV50" s="1486"/>
      <c r="AW50" s="1486"/>
      <c r="AX50" s="1486"/>
      <c r="AY50" s="1486"/>
      <c r="AZ50" s="1486"/>
      <c r="BA50" s="1486"/>
      <c r="BB50" s="1486"/>
      <c r="BC50" s="1486"/>
      <c r="BD50" s="1487"/>
      <c r="BE50" s="334"/>
      <c r="BF50" s="335"/>
      <c r="BG50" s="335"/>
      <c r="BH50" s="335"/>
      <c r="BI50" s="335"/>
      <c r="BJ50" s="335"/>
      <c r="BK50" s="335"/>
      <c r="BL50" s="335"/>
      <c r="BM50" s="335"/>
      <c r="BN50" s="335"/>
      <c r="BO50" s="335"/>
      <c r="BP50" s="335"/>
      <c r="BQ50" s="336"/>
    </row>
  </sheetData>
  <mergeCells count="84">
    <mergeCell ref="BR2:BR3"/>
    <mergeCell ref="A1:N1"/>
    <mergeCell ref="A2:O2"/>
    <mergeCell ref="Q2:U2"/>
    <mergeCell ref="V2:Y2"/>
    <mergeCell ref="BH2:BQ2"/>
    <mergeCell ref="AA2:BF2"/>
    <mergeCell ref="A3:N3"/>
    <mergeCell ref="T3:V3"/>
    <mergeCell ref="W3:Y3"/>
    <mergeCell ref="AA3:BF3"/>
    <mergeCell ref="BH3:BQ3"/>
    <mergeCell ref="D11:V11"/>
    <mergeCell ref="A4:O4"/>
    <mergeCell ref="Q4:U4"/>
    <mergeCell ref="A5:N5"/>
    <mergeCell ref="Q5:Y5"/>
    <mergeCell ref="V4:Z4"/>
    <mergeCell ref="AF12:BD13"/>
    <mergeCell ref="D13:V13"/>
    <mergeCell ref="AA5:BF5"/>
    <mergeCell ref="BH13:BQ13"/>
    <mergeCell ref="I15:S15"/>
    <mergeCell ref="BH5:BQ11"/>
    <mergeCell ref="A6:O6"/>
    <mergeCell ref="AA6:BF6"/>
    <mergeCell ref="A7:N7"/>
    <mergeCell ref="Q7:Y7"/>
    <mergeCell ref="A8:O8"/>
    <mergeCell ref="Q8:Y8"/>
    <mergeCell ref="AC8:BD8"/>
    <mergeCell ref="A9:O9"/>
    <mergeCell ref="Q9:Y9"/>
    <mergeCell ref="AA9:BF9"/>
    <mergeCell ref="BF17:BP17"/>
    <mergeCell ref="BF25:BP25"/>
    <mergeCell ref="A19:H20"/>
    <mergeCell ref="AV19:BC19"/>
    <mergeCell ref="BH19:BO19"/>
    <mergeCell ref="AV21:BC21"/>
    <mergeCell ref="BH21:BO21"/>
    <mergeCell ref="A17:H17"/>
    <mergeCell ref="I17:K17"/>
    <mergeCell ref="L17:AJ17"/>
    <mergeCell ref="AK17:AT17"/>
    <mergeCell ref="AU17:BD17"/>
    <mergeCell ref="A26:H26"/>
    <mergeCell ref="BI26:BN26"/>
    <mergeCell ref="A27:H28"/>
    <mergeCell ref="BI28:BN28"/>
    <mergeCell ref="AL23:AS23"/>
    <mergeCell ref="AV23:BC23"/>
    <mergeCell ref="BH23:BN23"/>
    <mergeCell ref="I25:K25"/>
    <mergeCell ref="L25:AT25"/>
    <mergeCell ref="AU25:BD25"/>
    <mergeCell ref="BH29:BO29"/>
    <mergeCell ref="A31:H31"/>
    <mergeCell ref="I31:K31"/>
    <mergeCell ref="L31:AT31"/>
    <mergeCell ref="AU31:BD31"/>
    <mergeCell ref="BF31:BP31"/>
    <mergeCell ref="A41:AA41"/>
    <mergeCell ref="AB41:AO41"/>
    <mergeCell ref="AP41:BD41"/>
    <mergeCell ref="BE41:BQ41"/>
    <mergeCell ref="A32:H38"/>
    <mergeCell ref="I33:K39"/>
    <mergeCell ref="BE33:BE37"/>
    <mergeCell ref="BG33:BO33"/>
    <mergeCell ref="AV34:BC34"/>
    <mergeCell ref="AV39:BC39"/>
    <mergeCell ref="BF39:BP39"/>
    <mergeCell ref="BF47:BH47"/>
    <mergeCell ref="U48:Z48"/>
    <mergeCell ref="I50:S50"/>
    <mergeCell ref="T50:AA50"/>
    <mergeCell ref="AP42:BD50"/>
    <mergeCell ref="U43:Z43"/>
    <mergeCell ref="U44:Z44"/>
    <mergeCell ref="T45:AA45"/>
    <mergeCell ref="U46:Z46"/>
    <mergeCell ref="U47:Z47"/>
    <mergeCell ref="AB47:AG47"/>
  </mergeCells>
  <phoneticPr fontId="2" type="noConversion"/>
  <dataValidations count="1">
    <dataValidation type="list" allowBlank="1" showInputMessage="1" showErrorMessage="1" sqref="BR2">
      <formula1>'ورقة العمل'!Y2:Y12</formula1>
    </dataValidation>
  </dataValidations>
  <printOptions horizontalCentered="1"/>
  <pageMargins left="0.19685039370078741" right="0.19685039370078741" top="0.19685039370078741" bottom="0.19685039370078741" header="0" footer="0"/>
  <pageSetup paperSize="9" scale="85" orientation="landscape" horizontalDpi="180" verticalDpi="180" r:id="rId1"/>
  <headerFooter alignWithMargins="0"/>
  <rowBreaks count="1" manualBreakCount="1">
    <brk id="50" max="68" man="1"/>
  </rowBreaks>
  <drawing r:id="rId2"/>
  <legacyDrawing r:id="rId3"/>
</worksheet>
</file>

<file path=xl/worksheets/sheet12.xml><?xml version="1.0" encoding="utf-8"?>
<worksheet xmlns="http://schemas.openxmlformats.org/spreadsheetml/2006/main" xmlns:r="http://schemas.openxmlformats.org/officeDocument/2006/relationships">
  <sheetPr>
    <tabColor rgb="FF00B050"/>
  </sheetPr>
  <dimension ref="A2:BQ48"/>
  <sheetViews>
    <sheetView rightToLeft="1" view="pageBreakPreview" zoomScale="85" zoomScaleSheetLayoutView="85" workbookViewId="0">
      <selection activeCell="B10" sqref="B10:G10"/>
    </sheetView>
  </sheetViews>
  <sheetFormatPr baseColWidth="10" defaultRowHeight="12.75"/>
  <cols>
    <col min="1" max="1" width="4.5703125" customWidth="1"/>
    <col min="2" max="2" width="14.140625" customWidth="1"/>
    <col min="3" max="3" width="23.42578125" customWidth="1"/>
    <col min="6" max="6" width="11.5703125" bestFit="1" customWidth="1"/>
    <col min="7" max="7" width="14.42578125" bestFit="1" customWidth="1"/>
    <col min="8" max="8" width="16.140625" bestFit="1" customWidth="1"/>
  </cols>
  <sheetData>
    <row r="2" spans="1:69" s="3" customFormat="1" ht="26.25">
      <c r="B2" s="1630" t="s">
        <v>295</v>
      </c>
      <c r="C2" s="1630"/>
      <c r="D2" s="1630"/>
      <c r="E2" s="1630"/>
      <c r="F2" s="1630"/>
      <c r="G2" s="1630"/>
      <c r="W2" s="272"/>
      <c r="Z2" s="273"/>
      <c r="AL2" s="52"/>
      <c r="AN2" s="272"/>
      <c r="BC2" s="272"/>
      <c r="BH2"/>
      <c r="BI2"/>
      <c r="BJ2"/>
      <c r="BK2"/>
      <c r="BL2"/>
      <c r="BM2"/>
      <c r="BN2"/>
      <c r="BO2"/>
      <c r="BP2"/>
      <c r="BQ2" s="447"/>
    </row>
    <row r="3" spans="1:69" s="3" customFormat="1" ht="23.25">
      <c r="B3" s="277"/>
      <c r="C3" s="277"/>
      <c r="D3" s="277"/>
      <c r="E3" s="277"/>
      <c r="F3" s="277"/>
      <c r="G3" s="488"/>
      <c r="W3" s="272"/>
      <c r="Z3" s="273"/>
      <c r="AL3" s="52"/>
      <c r="AN3" s="272"/>
      <c r="BC3" s="272"/>
      <c r="BH3"/>
      <c r="BI3"/>
      <c r="BJ3"/>
      <c r="BK3"/>
      <c r="BL3"/>
      <c r="BM3"/>
      <c r="BN3"/>
      <c r="BO3"/>
      <c r="BP3"/>
      <c r="BQ3" s="447"/>
    </row>
    <row r="4" spans="1:69" s="3" customFormat="1" ht="28.5">
      <c r="B4" s="489" t="s">
        <v>296</v>
      </c>
      <c r="C4" s="490" t="s">
        <v>297</v>
      </c>
      <c r="D4" s="277"/>
      <c r="E4" s="277"/>
      <c r="F4" s="277"/>
      <c r="G4" s="157"/>
      <c r="W4" s="272"/>
      <c r="Z4" s="273"/>
      <c r="AL4" s="52"/>
      <c r="AN4" s="272"/>
      <c r="BC4" s="272"/>
      <c r="BH4"/>
      <c r="BI4"/>
      <c r="BJ4"/>
      <c r="BK4"/>
      <c r="BL4"/>
      <c r="BM4"/>
      <c r="BN4"/>
      <c r="BO4"/>
      <c r="BP4"/>
      <c r="BQ4" s="447"/>
    </row>
    <row r="5" spans="1:69" s="3" customFormat="1" ht="27.75">
      <c r="B5" s="1631" t="s">
        <v>899</v>
      </c>
      <c r="C5" s="1631"/>
      <c r="D5" s="277"/>
      <c r="E5" s="277"/>
      <c r="F5" s="277"/>
      <c r="G5" s="157"/>
      <c r="W5" s="272"/>
      <c r="Z5" s="273"/>
      <c r="AL5" s="52"/>
      <c r="AN5" s="272"/>
      <c r="BC5" s="272"/>
      <c r="BH5"/>
      <c r="BI5"/>
      <c r="BJ5"/>
      <c r="BK5"/>
      <c r="BL5"/>
      <c r="BM5"/>
      <c r="BN5"/>
      <c r="BO5"/>
      <c r="BP5"/>
      <c r="BQ5" s="447"/>
    </row>
    <row r="6" spans="1:69" s="3" customFormat="1" ht="27.75">
      <c r="B6" s="1632" t="s">
        <v>900</v>
      </c>
      <c r="C6" s="1632"/>
      <c r="D6" s="277"/>
      <c r="E6" s="277"/>
      <c r="F6" s="277"/>
      <c r="G6" s="157"/>
      <c r="W6" s="272"/>
      <c r="Z6" s="273"/>
      <c r="AL6" s="52"/>
      <c r="AN6" s="272"/>
      <c r="BC6" s="272"/>
      <c r="BH6"/>
      <c r="BI6"/>
      <c r="BJ6"/>
      <c r="BK6"/>
      <c r="BL6"/>
      <c r="BM6"/>
      <c r="BN6"/>
      <c r="BO6"/>
      <c r="BP6"/>
      <c r="BQ6" s="447"/>
    </row>
    <row r="7" spans="1:69" s="3" customFormat="1" ht="28.5">
      <c r="B7" s="491" t="s">
        <v>298</v>
      </c>
      <c r="C7" s="492">
        <f>'ورقة العمل'!Y3</f>
        <v>70</v>
      </c>
      <c r="D7" s="277"/>
      <c r="E7" s="277"/>
      <c r="F7" s="277"/>
      <c r="G7" s="157"/>
      <c r="W7" s="272"/>
      <c r="Z7" s="273"/>
      <c r="AL7" s="52"/>
      <c r="AN7" s="272"/>
      <c r="BC7" s="272"/>
      <c r="BH7"/>
      <c r="BI7"/>
      <c r="BJ7"/>
      <c r="BK7"/>
      <c r="BL7"/>
      <c r="BM7"/>
      <c r="BN7"/>
      <c r="BO7"/>
      <c r="BP7"/>
      <c r="BQ7" s="447"/>
    </row>
    <row r="8" spans="1:69" s="3" customFormat="1" ht="23.25">
      <c r="B8" s="1626" t="s">
        <v>299</v>
      </c>
      <c r="C8" s="1626"/>
      <c r="D8" s="1626"/>
      <c r="E8" s="1626"/>
      <c r="F8" s="1626"/>
      <c r="G8" s="1626"/>
      <c r="W8" s="272"/>
      <c r="Z8" s="273"/>
      <c r="AL8" s="52"/>
      <c r="AN8" s="272"/>
      <c r="BC8" s="272"/>
      <c r="BH8"/>
      <c r="BI8"/>
      <c r="BJ8"/>
      <c r="BK8"/>
      <c r="BL8"/>
      <c r="BM8"/>
      <c r="BN8"/>
      <c r="BO8"/>
      <c r="BP8"/>
      <c r="BQ8" s="447"/>
    </row>
    <row r="9" spans="1:69" s="3" customFormat="1" ht="23.25">
      <c r="B9" s="1627" t="s">
        <v>300</v>
      </c>
      <c r="C9" s="1627"/>
      <c r="D9" s="1627"/>
      <c r="E9" s="1627"/>
      <c r="F9" s="1627"/>
      <c r="G9" s="1627"/>
      <c r="W9" s="272"/>
      <c r="Z9" s="273"/>
      <c r="AL9" s="52"/>
      <c r="AN9" s="272"/>
      <c r="BC9" s="272"/>
      <c r="BH9"/>
      <c r="BI9"/>
      <c r="BJ9"/>
      <c r="BK9"/>
      <c r="BL9"/>
      <c r="BM9"/>
      <c r="BN9"/>
      <c r="BO9"/>
      <c r="BP9"/>
      <c r="BQ9" s="447"/>
    </row>
    <row r="10" spans="1:69" s="3" customFormat="1" ht="24" customHeight="1">
      <c r="B10" s="1628" t="s">
        <v>301</v>
      </c>
      <c r="C10" s="1628"/>
      <c r="D10" s="1628"/>
      <c r="E10" s="1628"/>
      <c r="F10" s="1628"/>
      <c r="G10" s="1628"/>
      <c r="W10" s="272"/>
      <c r="Z10" s="273"/>
      <c r="AL10" s="52"/>
      <c r="AN10" s="272"/>
      <c r="BC10" s="272"/>
      <c r="BH10"/>
      <c r="BI10"/>
      <c r="BJ10"/>
      <c r="BK10"/>
      <c r="BL10"/>
      <c r="BM10"/>
      <c r="BN10"/>
      <c r="BO10"/>
      <c r="BP10"/>
      <c r="BQ10" s="447"/>
    </row>
    <row r="11" spans="1:69" s="3" customFormat="1" ht="24.75" customHeight="1">
      <c r="B11" s="1628" t="s">
        <v>302</v>
      </c>
      <c r="C11" s="1628"/>
      <c r="D11" s="1628"/>
      <c r="E11" s="1628"/>
      <c r="F11" s="1628"/>
      <c r="G11" s="1628"/>
      <c r="W11" s="272"/>
      <c r="Z11" s="273"/>
      <c r="AL11" s="52"/>
      <c r="AN11" s="272"/>
      <c r="BC11" s="272"/>
      <c r="BH11"/>
      <c r="BI11"/>
      <c r="BJ11"/>
      <c r="BK11"/>
      <c r="BL11"/>
      <c r="BM11"/>
      <c r="BN11"/>
      <c r="BO11"/>
      <c r="BP11"/>
      <c r="BQ11" s="447"/>
    </row>
    <row r="12" spans="1:69" s="3" customFormat="1" ht="23.25">
      <c r="B12" s="281"/>
      <c r="C12" s="281"/>
      <c r="D12" s="493"/>
      <c r="E12" s="493"/>
      <c r="F12" s="493"/>
      <c r="G12" s="157"/>
      <c r="W12" s="272"/>
      <c r="Z12" s="273"/>
      <c r="AL12" s="52"/>
      <c r="AN12" s="272"/>
      <c r="BC12" s="272"/>
      <c r="BH12"/>
      <c r="BI12"/>
      <c r="BJ12"/>
      <c r="BK12"/>
      <c r="BL12"/>
      <c r="BM12"/>
      <c r="BN12"/>
      <c r="BO12"/>
      <c r="BP12"/>
      <c r="BQ12" s="447"/>
    </row>
    <row r="13" spans="1:69" s="3" customFormat="1" ht="23.25">
      <c r="B13" s="451" t="s">
        <v>19</v>
      </c>
      <c r="C13" s="494" t="s">
        <v>303</v>
      </c>
      <c r="D13" s="1629" t="s">
        <v>304</v>
      </c>
      <c r="E13" s="1629"/>
      <c r="F13" s="1629"/>
      <c r="G13" s="1629"/>
      <c r="W13" s="272"/>
      <c r="Z13" s="273"/>
      <c r="AL13" s="52"/>
      <c r="AN13" s="272"/>
      <c r="BC13" s="272"/>
      <c r="BH13"/>
      <c r="BI13"/>
      <c r="BJ13"/>
      <c r="BK13"/>
      <c r="BL13"/>
      <c r="BM13"/>
      <c r="BN13"/>
      <c r="BO13"/>
      <c r="BP13"/>
      <c r="BQ13" s="447"/>
    </row>
    <row r="14" spans="1:69" s="3" customFormat="1" ht="120.75" customHeight="1">
      <c r="A14" s="495"/>
      <c r="B14" s="572">
        <f>'ETAT-PAY-PERM'!B16</f>
        <v>1</v>
      </c>
      <c r="C14" s="496" t="str">
        <f>'ETAT-PAY-PERM'!C16</f>
        <v>فففففففففففففففففففف</v>
      </c>
      <c r="D14" s="1619" t="str">
        <f ca="1">'ETAT-PAY-PERM'!F10</f>
        <v>أجـــرة شهـــر جوان 2019</v>
      </c>
      <c r="E14" s="1620"/>
      <c r="F14" s="1621"/>
      <c r="G14" s="497">
        <f>'ETAT-PAY-PERM'!L16</f>
        <v>2057.1799999999998</v>
      </c>
      <c r="W14" s="272"/>
      <c r="Z14" s="273"/>
      <c r="AL14" s="52"/>
      <c r="AN14" s="272"/>
      <c r="BC14" s="272"/>
      <c r="BH14"/>
      <c r="BI14"/>
      <c r="BJ14"/>
      <c r="BK14"/>
      <c r="BL14"/>
      <c r="BM14"/>
      <c r="BN14"/>
      <c r="BO14"/>
      <c r="BP14"/>
      <c r="BQ14" s="447"/>
    </row>
    <row r="15" spans="1:69" s="3" customFormat="1" ht="34.5" customHeight="1">
      <c r="B15" s="1622" t="s">
        <v>305</v>
      </c>
      <c r="C15" s="1622"/>
      <c r="D15" s="1623">
        <f>'ETAT-PAY-PERM'!L99</f>
        <v>2057.1799999999998</v>
      </c>
      <c r="E15" s="1624"/>
      <c r="F15" s="1624"/>
      <c r="G15" s="1625"/>
      <c r="H15" s="498">
        <f>SUM(G14:G14)</f>
        <v>2057.1799999999998</v>
      </c>
      <c r="I15" s="444"/>
      <c r="J15"/>
      <c r="K15"/>
      <c r="L15"/>
      <c r="W15" s="272"/>
      <c r="Z15" s="273"/>
      <c r="AL15" s="52"/>
      <c r="AN15" s="272"/>
      <c r="BC15" s="272"/>
      <c r="BH15"/>
      <c r="BI15"/>
      <c r="BJ15"/>
      <c r="BK15"/>
      <c r="BL15"/>
      <c r="BM15"/>
      <c r="BN15"/>
      <c r="BO15"/>
      <c r="BP15"/>
      <c r="BQ15" s="447"/>
    </row>
    <row r="16" spans="1:69" s="3" customFormat="1" ht="34.5" customHeight="1">
      <c r="B16" s="574"/>
      <c r="C16" s="574"/>
      <c r="D16" s="575"/>
      <c r="E16" s="575"/>
      <c r="F16" s="575"/>
      <c r="G16" s="575"/>
      <c r="H16" s="498"/>
      <c r="I16" s="444"/>
      <c r="J16"/>
      <c r="K16"/>
      <c r="L16"/>
      <c r="W16" s="272"/>
      <c r="Z16" s="273"/>
      <c r="AL16" s="52"/>
      <c r="AN16" s="272"/>
      <c r="BC16" s="272"/>
      <c r="BH16"/>
      <c r="BI16"/>
      <c r="BJ16"/>
      <c r="BK16"/>
      <c r="BL16"/>
      <c r="BM16"/>
      <c r="BN16"/>
      <c r="BO16"/>
      <c r="BP16"/>
      <c r="BQ16" s="447"/>
    </row>
    <row r="17" spans="1:69" s="3" customFormat="1" ht="24.75" customHeight="1">
      <c r="A17" s="499"/>
      <c r="B17" s="500" t="s">
        <v>135</v>
      </c>
      <c r="C17" s="501" t="str">
        <f>[1]!Arreta(D15)</f>
        <v>ألفين وسبعة وخمسون دينار جزائري وثمانية عشر سنتيما</v>
      </c>
      <c r="D17" s="277"/>
      <c r="E17" s="502"/>
      <c r="F17" s="502"/>
      <c r="G17" s="502"/>
      <c r="H17" s="573">
        <f>D15-H15</f>
        <v>0</v>
      </c>
      <c r="W17" s="272"/>
      <c r="Z17" s="273"/>
      <c r="AL17" s="52"/>
      <c r="AN17" s="272"/>
      <c r="BC17" s="272"/>
      <c r="BH17"/>
      <c r="BI17"/>
      <c r="BJ17"/>
      <c r="BK17"/>
      <c r="BL17"/>
      <c r="BM17"/>
      <c r="BN17"/>
      <c r="BO17"/>
      <c r="BP17"/>
      <c r="BQ17" s="447"/>
    </row>
    <row r="20" spans="1:69" ht="18">
      <c r="F20" s="1633">
        <f>الرئيسية!N10</f>
        <v>43617</v>
      </c>
      <c r="G20" s="1633"/>
    </row>
    <row r="30" spans="1:69" s="3" customFormat="1" ht="26.25">
      <c r="B30" s="1630" t="s">
        <v>295</v>
      </c>
      <c r="C30" s="1630"/>
      <c r="D30" s="1630"/>
      <c r="E30" s="1630"/>
      <c r="F30" s="1630"/>
      <c r="G30" s="1630"/>
      <c r="W30" s="272"/>
      <c r="Z30" s="273"/>
      <c r="AL30" s="52"/>
      <c r="AN30" s="272"/>
      <c r="BC30" s="272"/>
      <c r="BH30"/>
      <c r="BI30"/>
      <c r="BJ30"/>
      <c r="BK30"/>
      <c r="BL30"/>
      <c r="BM30"/>
      <c r="BN30"/>
      <c r="BO30"/>
      <c r="BP30"/>
      <c r="BQ30" s="447"/>
    </row>
    <row r="31" spans="1:69" s="3" customFormat="1" ht="23.25">
      <c r="B31" s="277"/>
      <c r="C31" s="277"/>
      <c r="D31" s="277"/>
      <c r="E31" s="277"/>
      <c r="F31" s="277"/>
      <c r="G31" s="488"/>
      <c r="W31" s="272"/>
      <c r="Z31" s="273"/>
      <c r="AL31" s="52"/>
      <c r="AN31" s="272"/>
      <c r="BC31" s="272"/>
      <c r="BH31"/>
      <c r="BI31"/>
      <c r="BJ31"/>
      <c r="BK31"/>
      <c r="BL31"/>
      <c r="BM31"/>
      <c r="BN31"/>
      <c r="BO31"/>
      <c r="BP31"/>
      <c r="BQ31" s="447"/>
    </row>
    <row r="32" spans="1:69" s="3" customFormat="1" ht="28.5">
      <c r="B32" s="489" t="s">
        <v>296</v>
      </c>
      <c r="C32" s="490" t="s">
        <v>297</v>
      </c>
      <c r="D32" s="277"/>
      <c r="E32" s="277"/>
      <c r="F32" s="277"/>
      <c r="G32" s="157"/>
      <c r="W32" s="272"/>
      <c r="Z32" s="273"/>
      <c r="AL32" s="52"/>
      <c r="AN32" s="272"/>
      <c r="BC32" s="272"/>
      <c r="BH32"/>
      <c r="BI32"/>
      <c r="BJ32"/>
      <c r="BK32"/>
      <c r="BL32"/>
      <c r="BM32"/>
      <c r="BN32"/>
      <c r="BO32"/>
      <c r="BP32"/>
      <c r="BQ32" s="447"/>
    </row>
    <row r="33" spans="1:69" s="3" customFormat="1" ht="27.75">
      <c r="B33" s="1618" t="str">
        <f>B5</f>
        <v xml:space="preserve">المديرية ,,,,,,,,,,,,,,,,,,,,,, </v>
      </c>
      <c r="C33" s="1618"/>
      <c r="D33" s="277"/>
      <c r="E33" s="277"/>
      <c r="F33" s="277"/>
      <c r="G33" s="157"/>
      <c r="W33" s="272"/>
      <c r="Z33" s="273"/>
      <c r="AL33" s="52"/>
      <c r="AN33" s="272"/>
      <c r="BC33" s="272"/>
      <c r="BH33"/>
      <c r="BI33"/>
      <c r="BJ33"/>
      <c r="BK33"/>
      <c r="BL33"/>
      <c r="BM33"/>
      <c r="BN33"/>
      <c r="BO33"/>
      <c r="BP33"/>
      <c r="BQ33" s="447"/>
    </row>
    <row r="34" spans="1:69" s="3" customFormat="1" ht="27.75">
      <c r="B34" s="1618" t="str">
        <f>B6</f>
        <v>مديرية ,,,,,,,,,,,,,,,,,,,, ,,,,,,,,,,,,,,</v>
      </c>
      <c r="C34" s="1618"/>
      <c r="D34" s="277"/>
      <c r="E34" s="277"/>
      <c r="F34" s="277"/>
      <c r="G34" s="157"/>
      <c r="W34" s="272"/>
      <c r="Z34" s="273"/>
      <c r="AL34" s="52"/>
      <c r="AN34" s="272"/>
      <c r="BC34" s="272"/>
      <c r="BH34"/>
      <c r="BI34"/>
      <c r="BJ34"/>
      <c r="BK34"/>
      <c r="BL34"/>
      <c r="BM34"/>
      <c r="BN34"/>
      <c r="BO34"/>
      <c r="BP34"/>
      <c r="BQ34" s="447"/>
    </row>
    <row r="35" spans="1:69" s="3" customFormat="1" ht="28.5">
      <c r="B35" s="491" t="s">
        <v>298</v>
      </c>
      <c r="C35" s="492">
        <f>'ورقة العمل'!Y4</f>
        <v>71</v>
      </c>
      <c r="D35" s="277"/>
      <c r="E35" s="277"/>
      <c r="F35" s="277"/>
      <c r="G35" s="157"/>
      <c r="W35" s="272"/>
      <c r="Z35" s="273"/>
      <c r="AL35" s="52"/>
      <c r="AN35" s="272"/>
      <c r="BC35" s="272"/>
      <c r="BH35"/>
      <c r="BI35"/>
      <c r="BJ35"/>
      <c r="BK35"/>
      <c r="BL35"/>
      <c r="BM35"/>
      <c r="BN35"/>
      <c r="BO35"/>
      <c r="BP35"/>
      <c r="BQ35" s="447"/>
    </row>
    <row r="36" spans="1:69" s="3" customFormat="1" ht="23.25">
      <c r="B36" s="1626" t="s">
        <v>299</v>
      </c>
      <c r="C36" s="1626"/>
      <c r="D36" s="1626"/>
      <c r="E36" s="1626"/>
      <c r="F36" s="1626"/>
      <c r="G36" s="1626"/>
      <c r="W36" s="272"/>
      <c r="Z36" s="273"/>
      <c r="AL36" s="52"/>
      <c r="AN36" s="272"/>
      <c r="BC36" s="272"/>
      <c r="BH36"/>
      <c r="BI36"/>
      <c r="BJ36"/>
      <c r="BK36"/>
      <c r="BL36"/>
      <c r="BM36"/>
      <c r="BN36"/>
      <c r="BO36"/>
      <c r="BP36"/>
      <c r="BQ36" s="447"/>
    </row>
    <row r="37" spans="1:69" s="3" customFormat="1" ht="23.25">
      <c r="B37" s="1627" t="s">
        <v>300</v>
      </c>
      <c r="C37" s="1627"/>
      <c r="D37" s="1627"/>
      <c r="E37" s="1627"/>
      <c r="F37" s="1627"/>
      <c r="G37" s="1627"/>
      <c r="W37" s="272"/>
      <c r="Z37" s="273"/>
      <c r="AL37" s="52"/>
      <c r="AN37" s="272"/>
      <c r="BC37" s="272"/>
      <c r="BH37"/>
      <c r="BI37"/>
      <c r="BJ37"/>
      <c r="BK37"/>
      <c r="BL37"/>
      <c r="BM37"/>
      <c r="BN37"/>
      <c r="BO37"/>
      <c r="BP37"/>
      <c r="BQ37" s="447"/>
    </row>
    <row r="38" spans="1:69" s="3" customFormat="1" ht="24" customHeight="1">
      <c r="B38" s="1628" t="s">
        <v>301</v>
      </c>
      <c r="C38" s="1628"/>
      <c r="D38" s="1628"/>
      <c r="E38" s="1628"/>
      <c r="F38" s="1628"/>
      <c r="G38" s="1628"/>
      <c r="W38" s="272"/>
      <c r="Z38" s="273"/>
      <c r="AL38" s="52"/>
      <c r="AN38" s="272"/>
      <c r="BC38" s="272"/>
      <c r="BH38"/>
      <c r="BI38"/>
      <c r="BJ38"/>
      <c r="BK38"/>
      <c r="BL38"/>
      <c r="BM38"/>
      <c r="BN38"/>
      <c r="BO38"/>
      <c r="BP38"/>
      <c r="BQ38" s="447"/>
    </row>
    <row r="39" spans="1:69" s="3" customFormat="1" ht="24.75" customHeight="1">
      <c r="B39" s="1628" t="s">
        <v>302</v>
      </c>
      <c r="C39" s="1628"/>
      <c r="D39" s="1628"/>
      <c r="E39" s="1628"/>
      <c r="F39" s="1628"/>
      <c r="G39" s="1628"/>
      <c r="W39" s="272"/>
      <c r="Z39" s="273"/>
      <c r="AL39" s="52"/>
      <c r="AN39" s="272"/>
      <c r="BC39" s="272"/>
      <c r="BH39"/>
      <c r="BI39"/>
      <c r="BJ39"/>
      <c r="BK39"/>
      <c r="BL39"/>
      <c r="BM39"/>
      <c r="BN39"/>
      <c r="BO39"/>
      <c r="BP39"/>
      <c r="BQ39" s="447"/>
    </row>
    <row r="40" spans="1:69" s="3" customFormat="1" ht="23.25">
      <c r="B40" s="281"/>
      <c r="C40" s="281"/>
      <c r="D40" s="493"/>
      <c r="E40" s="493"/>
      <c r="F40" s="493"/>
      <c r="G40" s="157"/>
      <c r="W40" s="272"/>
      <c r="Z40" s="273"/>
      <c r="AL40" s="52"/>
      <c r="AN40" s="272"/>
      <c r="BC40" s="272"/>
      <c r="BH40"/>
      <c r="BI40"/>
      <c r="BJ40"/>
      <c r="BK40"/>
      <c r="BL40"/>
      <c r="BM40"/>
      <c r="BN40"/>
      <c r="BO40"/>
      <c r="BP40"/>
      <c r="BQ40" s="447"/>
    </row>
    <row r="41" spans="1:69" s="3" customFormat="1" ht="23.25">
      <c r="B41" s="451" t="s">
        <v>19</v>
      </c>
      <c r="C41" s="494" t="s">
        <v>303</v>
      </c>
      <c r="D41" s="1629" t="s">
        <v>304</v>
      </c>
      <c r="E41" s="1629"/>
      <c r="F41" s="1629"/>
      <c r="G41" s="1629"/>
      <c r="W41" s="272"/>
      <c r="Z41" s="273"/>
      <c r="AL41" s="52"/>
      <c r="AN41" s="272"/>
      <c r="BC41" s="272"/>
      <c r="BH41"/>
      <c r="BI41"/>
      <c r="BJ41"/>
      <c r="BK41"/>
      <c r="BL41"/>
      <c r="BM41"/>
      <c r="BN41"/>
      <c r="BO41"/>
      <c r="BP41"/>
      <c r="BQ41" s="447"/>
    </row>
    <row r="42" spans="1:69" s="3" customFormat="1" ht="120.75" customHeight="1">
      <c r="A42" s="495"/>
      <c r="B42" s="572" t="s">
        <v>16</v>
      </c>
      <c r="C42" s="496" t="str">
        <f>'ETAT-PAY-PERM'!C15</f>
        <v>لللللللللللللللللللللل</v>
      </c>
      <c r="D42" s="1619" t="str">
        <f ca="1">D14</f>
        <v>أجـــرة شهـــر جوان 2019</v>
      </c>
      <c r="E42" s="1620"/>
      <c r="F42" s="1621"/>
      <c r="G42" s="497">
        <f>'ETAT-PAY-PERM'!L15</f>
        <v>2323.6999999999998</v>
      </c>
      <c r="W42" s="272"/>
      <c r="Z42" s="273"/>
      <c r="AL42" s="52"/>
      <c r="AN42" s="272"/>
      <c r="BC42" s="272"/>
      <c r="BH42"/>
      <c r="BI42"/>
      <c r="BJ42"/>
      <c r="BK42"/>
      <c r="BL42"/>
      <c r="BM42"/>
      <c r="BN42"/>
      <c r="BO42"/>
      <c r="BP42"/>
      <c r="BQ42" s="447"/>
    </row>
    <row r="43" spans="1:69" s="3" customFormat="1" ht="34.5" customHeight="1">
      <c r="B43" s="1622" t="s">
        <v>305</v>
      </c>
      <c r="C43" s="1622"/>
      <c r="D43" s="1623">
        <f>'ETAT-PAY-PERM'!L105</f>
        <v>2323.6999999999998</v>
      </c>
      <c r="E43" s="1624"/>
      <c r="F43" s="1624"/>
      <c r="G43" s="1625"/>
      <c r="H43" s="498">
        <f>SUM(G42:G42)</f>
        <v>2323.6999999999998</v>
      </c>
      <c r="I43" s="444"/>
      <c r="J43"/>
      <c r="K43"/>
      <c r="L43"/>
      <c r="W43" s="272"/>
      <c r="Z43" s="273"/>
      <c r="AL43" s="52"/>
      <c r="AN43" s="272"/>
      <c r="BC43" s="272"/>
      <c r="BH43"/>
      <c r="BI43"/>
      <c r="BJ43"/>
      <c r="BK43"/>
      <c r="BL43"/>
      <c r="BM43"/>
      <c r="BN43"/>
      <c r="BO43"/>
      <c r="BP43"/>
      <c r="BQ43" s="447"/>
    </row>
    <row r="44" spans="1:69" s="3" customFormat="1" ht="34.5" customHeight="1">
      <c r="B44" s="574"/>
      <c r="C44" s="574"/>
      <c r="D44" s="575"/>
      <c r="E44" s="575"/>
      <c r="F44" s="575"/>
      <c r="G44" s="575"/>
      <c r="H44" s="498"/>
      <c r="I44" s="444"/>
      <c r="J44"/>
      <c r="K44"/>
      <c r="L44"/>
      <c r="W44" s="272"/>
      <c r="Z44" s="273"/>
      <c r="AL44" s="52"/>
      <c r="AN44" s="272"/>
      <c r="BC44" s="272"/>
      <c r="BH44"/>
      <c r="BI44"/>
      <c r="BJ44"/>
      <c r="BK44"/>
      <c r="BL44"/>
      <c r="BM44"/>
      <c r="BN44"/>
      <c r="BO44"/>
      <c r="BP44"/>
      <c r="BQ44" s="447"/>
    </row>
    <row r="45" spans="1:69" s="3" customFormat="1" ht="24.75" customHeight="1">
      <c r="A45" s="499"/>
      <c r="B45" s="500" t="s">
        <v>135</v>
      </c>
      <c r="C45" s="501" t="str">
        <f>[1]!Arreta(D43)</f>
        <v>ألفين وثلاثمائة وثلاثة وعشرون دينار جزائري وسبعون سنتيما</v>
      </c>
      <c r="D45" s="277"/>
      <c r="E45" s="502"/>
      <c r="F45" s="502"/>
      <c r="G45" s="502"/>
      <c r="H45" s="573">
        <f>D43-H43</f>
        <v>0</v>
      </c>
      <c r="W45" s="272"/>
      <c r="Z45" s="273"/>
      <c r="AL45" s="52"/>
      <c r="AN45" s="272"/>
      <c r="BC45" s="272"/>
      <c r="BH45"/>
      <c r="BI45"/>
      <c r="BJ45"/>
      <c r="BK45"/>
      <c r="BL45"/>
      <c r="BM45"/>
      <c r="BN45"/>
      <c r="BO45"/>
      <c r="BP45"/>
      <c r="BQ45" s="447"/>
    </row>
    <row r="48" spans="1:69" ht="20.25">
      <c r="F48" s="1616">
        <f>F20</f>
        <v>43617</v>
      </c>
      <c r="G48" s="1617"/>
    </row>
  </sheetData>
  <mergeCells count="24">
    <mergeCell ref="B2:G2"/>
    <mergeCell ref="B5:C5"/>
    <mergeCell ref="B6:C6"/>
    <mergeCell ref="B8:G8"/>
    <mergeCell ref="B30:G30"/>
    <mergeCell ref="B9:G9"/>
    <mergeCell ref="B10:G10"/>
    <mergeCell ref="B11:G11"/>
    <mergeCell ref="D13:G13"/>
    <mergeCell ref="F20:G20"/>
    <mergeCell ref="F48:G48"/>
    <mergeCell ref="B33:C33"/>
    <mergeCell ref="D14:F14"/>
    <mergeCell ref="B15:C15"/>
    <mergeCell ref="D15:G15"/>
    <mergeCell ref="B34:C34"/>
    <mergeCell ref="B36:G36"/>
    <mergeCell ref="D42:F42"/>
    <mergeCell ref="B43:C43"/>
    <mergeCell ref="D43:G43"/>
    <mergeCell ref="B37:G37"/>
    <mergeCell ref="B38:G38"/>
    <mergeCell ref="B39:G39"/>
    <mergeCell ref="D41:G41"/>
  </mergeCells>
  <phoneticPr fontId="2" type="noConversion"/>
  <printOptions horizontalCentered="1"/>
  <pageMargins left="0.39370078740157483" right="0.39370078740157483" top="0.78740157480314965" bottom="0.98425196850393704" header="0" footer="0"/>
  <pageSetup paperSize="134" orientation="portrait" horizontalDpi="180" verticalDpi="180"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00B050"/>
  </sheetPr>
  <dimension ref="A1:M97"/>
  <sheetViews>
    <sheetView rightToLeft="1" view="pageBreakPreview" workbookViewId="0">
      <selection activeCell="D42" sqref="D42"/>
    </sheetView>
  </sheetViews>
  <sheetFormatPr baseColWidth="10" defaultRowHeight="15.75"/>
  <cols>
    <col min="1" max="1" width="8.140625" customWidth="1"/>
    <col min="2" max="2" width="6.5703125" customWidth="1"/>
    <col min="3" max="3" width="31.42578125" customWidth="1"/>
    <col min="4" max="4" width="28.42578125" customWidth="1"/>
    <col min="5" max="5" width="29" customWidth="1"/>
    <col min="6" max="6" width="6.42578125" hidden="1" customWidth="1"/>
    <col min="7" max="7" width="18" hidden="1" customWidth="1"/>
    <col min="8" max="8" width="21.140625" style="444" customWidth="1"/>
    <col min="9" max="9" width="19.42578125" customWidth="1"/>
    <col min="12" max="12" width="11.5703125" customWidth="1"/>
  </cols>
  <sheetData>
    <row r="1" spans="1:13" ht="26.25">
      <c r="B1" s="1637" t="s">
        <v>1</v>
      </c>
      <c r="C1" s="1637"/>
      <c r="D1" s="1637"/>
      <c r="E1" s="1637"/>
      <c r="I1" s="182"/>
      <c r="J1" s="305"/>
      <c r="K1" s="305"/>
      <c r="L1" s="305"/>
      <c r="M1" s="527"/>
    </row>
    <row r="2" spans="1:13" ht="23.25">
      <c r="B2" s="455"/>
      <c r="C2" s="1374" t="s">
        <v>898</v>
      </c>
      <c r="D2" s="275"/>
      <c r="E2" s="275"/>
      <c r="I2" s="182"/>
      <c r="J2" s="305"/>
      <c r="K2" s="305"/>
      <c r="L2" s="305"/>
      <c r="M2" s="527"/>
    </row>
    <row r="3" spans="1:13" ht="23.25">
      <c r="B3" s="455"/>
      <c r="C3" s="1375" t="s">
        <v>897</v>
      </c>
      <c r="D3" s="275"/>
      <c r="E3" s="275"/>
      <c r="J3" s="305"/>
      <c r="K3" s="305"/>
      <c r="L3" s="305"/>
      <c r="M3" s="527"/>
    </row>
    <row r="4" spans="1:13" ht="23.25">
      <c r="B4" s="455"/>
      <c r="C4" s="456" t="s">
        <v>259</v>
      </c>
      <c r="D4" s="448">
        <v>70</v>
      </c>
      <c r="E4" s="275"/>
      <c r="I4" s="304"/>
      <c r="J4" s="305"/>
      <c r="K4" s="305"/>
      <c r="L4" s="305"/>
      <c r="M4" s="527"/>
    </row>
    <row r="5" spans="1:13" ht="26.25">
      <c r="B5" s="455"/>
      <c r="C5" s="457" t="s">
        <v>260</v>
      </c>
      <c r="D5" s="458" t="str">
        <f>LOOKUP(D4,'ورقة العمل'!Y2:Y12,'ورقة العمل'!X2:X12)</f>
        <v>بنك الفلاحة والتنمية الريفية</v>
      </c>
      <c r="I5" s="307"/>
      <c r="J5" s="305"/>
      <c r="K5" s="305"/>
      <c r="L5" s="305"/>
      <c r="M5" s="527"/>
    </row>
    <row r="6" spans="1:13">
      <c r="B6" s="455"/>
      <c r="C6" s="161"/>
      <c r="D6" s="161"/>
      <c r="E6" s="161"/>
    </row>
    <row r="7" spans="1:13" ht="30">
      <c r="B7" s="455"/>
      <c r="C7" s="1635" t="str">
        <f ca="1">'MAND-PAY-PERM'!E7</f>
        <v xml:space="preserve">تسييــــر :  2019 فصل  : 53333333333333 </v>
      </c>
      <c r="D7" s="1636"/>
      <c r="E7" s="459" t="str">
        <f ca="1">'ETAT-PAY-PERM'!F10</f>
        <v>أجـــرة شهـــر جوان 2019</v>
      </c>
      <c r="H7" s="961"/>
      <c r="I7" s="303"/>
    </row>
    <row r="8" spans="1:13" ht="20.25">
      <c r="B8" s="461"/>
      <c r="C8" s="460" t="s">
        <v>21</v>
      </c>
      <c r="D8" s="1381" t="s">
        <v>896</v>
      </c>
      <c r="E8" s="1381" t="s">
        <v>807</v>
      </c>
    </row>
    <row r="9" spans="1:13" ht="18">
      <c r="B9" s="462" t="s">
        <v>19</v>
      </c>
      <c r="C9" s="462" t="s">
        <v>262</v>
      </c>
      <c r="D9" s="462" t="s">
        <v>263</v>
      </c>
      <c r="E9" s="462" t="s">
        <v>264</v>
      </c>
      <c r="H9" s="1308" t="str">
        <f>D5</f>
        <v>بنك الفلاحة والتنمية الريفية</v>
      </c>
    </row>
    <row r="10" spans="1:13">
      <c r="A10" s="526">
        <f>'ETAT-PAY-PERM'!A15</f>
        <v>1</v>
      </c>
      <c r="B10" s="962">
        <f>'ETAT-PAY-PERM'!B15</f>
        <v>1</v>
      </c>
      <c r="C10" s="962" t="str">
        <f>'ETAT-PAY-PERM'!C15</f>
        <v>لللللللللللللللللللللل</v>
      </c>
      <c r="D10" s="962">
        <f>'ETAT-PAY-PERM'!E15</f>
        <v>2525252</v>
      </c>
      <c r="E10" s="963">
        <f>'ETAT-PAY-PERM'!F15</f>
        <v>178566.28</v>
      </c>
      <c r="H10" s="1326" t="str">
        <f>'ETAT-PAY-PERM'!Z15</f>
        <v>لبنك الوطني الجزائري</v>
      </c>
    </row>
    <row r="11" spans="1:13">
      <c r="A11" s="526">
        <f>'ETAT-PAY-PERM'!A16</f>
        <v>2</v>
      </c>
      <c r="B11" s="962">
        <f>'ETAT-PAY-PERM'!B16</f>
        <v>1</v>
      </c>
      <c r="C11" s="962" t="str">
        <f>'ETAT-PAY-PERM'!C16</f>
        <v>فففففففففففففففففففف</v>
      </c>
      <c r="D11" s="962">
        <f>'ETAT-PAY-PERM'!E16</f>
        <v>326532</v>
      </c>
      <c r="E11" s="963">
        <f>'ETAT-PAY-PERM'!F16</f>
        <v>151377.62</v>
      </c>
      <c r="H11" s="1326" t="str">
        <f>'ETAT-PAY-PERM'!Z16</f>
        <v>بنك الفلاحة و التنمية الريفية</v>
      </c>
    </row>
    <row r="12" spans="1:13">
      <c r="A12" s="526">
        <f>'ETAT-PAY-PERM'!A17</f>
        <v>3</v>
      </c>
      <c r="B12" s="962">
        <f>'ETAT-PAY-PERM'!B17</f>
        <v>1</v>
      </c>
      <c r="C12" s="962" t="str">
        <f>'ETAT-PAY-PERM'!C17</f>
        <v>يسلللللللسيييييييي</v>
      </c>
      <c r="D12" s="962">
        <f>'ETAT-PAY-PERM'!E17</f>
        <v>22222222222</v>
      </c>
      <c r="E12" s="963">
        <f>'ETAT-PAY-PERM'!F17</f>
        <v>83164.899999999994</v>
      </c>
      <c r="H12" s="1326" t="str">
        <f>'ETAT-PAY-PERM'!Z17</f>
        <v>الحساب الجاري البريدي</v>
      </c>
    </row>
    <row r="13" spans="1:13">
      <c r="A13" s="526">
        <f>'ETAT-PAY-PERM'!A18</f>
        <v>4</v>
      </c>
      <c r="B13" s="962">
        <f>'ETAT-PAY-PERM'!B18</f>
        <v>1</v>
      </c>
      <c r="C13" s="962" t="str">
        <f>'ETAT-PAY-PERM'!C18</f>
        <v>ررءرءؤرؤءرليسليسليسل</v>
      </c>
      <c r="D13" s="962">
        <f>'ETAT-PAY-PERM'!E18</f>
        <v>111111111</v>
      </c>
      <c r="E13" s="963">
        <f>'ETAT-PAY-PERM'!F18</f>
        <v>80407.009999999995</v>
      </c>
      <c r="H13" s="1326" t="str">
        <f>'ETAT-PAY-PERM'!Z18</f>
        <v>الخزينة الولائية</v>
      </c>
    </row>
    <row r="14" spans="1:13">
      <c r="A14" s="526">
        <f>'ETAT-PAY-PERM'!A19</f>
        <v>5</v>
      </c>
      <c r="B14" s="962">
        <f>'ETAT-PAY-PERM'!B19</f>
        <v>2</v>
      </c>
      <c r="C14" s="962" t="str">
        <f>'ETAT-PAY-PERM'!C19</f>
        <v>صثقصقثصقضشللبيسلبيشل</v>
      </c>
      <c r="D14" s="962">
        <f>'ETAT-PAY-PERM'!E19</f>
        <v>555555</v>
      </c>
      <c r="E14" s="963">
        <f>'ETAT-PAY-PERM'!F19</f>
        <v>65454.79</v>
      </c>
      <c r="H14" s="1326" t="str">
        <f>'ETAT-PAY-PERM'!Z19</f>
        <v>الخزينة الولائية</v>
      </c>
    </row>
    <row r="15" spans="1:13">
      <c r="A15" s="526">
        <f>'ETAT-PAY-PERM'!A20</f>
        <v>6</v>
      </c>
      <c r="B15" s="962">
        <f>'ETAT-PAY-PERM'!B20</f>
        <v>3</v>
      </c>
      <c r="C15" s="962" t="str">
        <f>'ETAT-PAY-PERM'!C20</f>
        <v>صثقثصقثصقصثرسيبرشبيسب</v>
      </c>
      <c r="D15" s="962">
        <f>'ETAT-PAY-PERM'!E20</f>
        <v>6666666</v>
      </c>
      <c r="E15" s="963">
        <f>'ETAT-PAY-PERM'!F20</f>
        <v>90060.77</v>
      </c>
      <c r="H15" s="1326" t="str">
        <f>'ETAT-PAY-PERM'!Z20</f>
        <v>الخزينة الولائية</v>
      </c>
    </row>
    <row r="16" spans="1:13">
      <c r="A16" s="526">
        <f>'ETAT-PAY-PERM'!A21</f>
        <v>7</v>
      </c>
      <c r="B16" s="962">
        <f>'ETAT-PAY-PERM'!B21</f>
        <v>2</v>
      </c>
      <c r="C16" s="962" t="str">
        <f>'ETAT-PAY-PERM'!C21</f>
        <v>للللللللبيسلبيليبسل</v>
      </c>
      <c r="D16" s="962">
        <f>'ETAT-PAY-PERM'!E21</f>
        <v>7777777777</v>
      </c>
      <c r="E16" s="963">
        <f>'ETAT-PAY-PERM'!F21</f>
        <v>60679.34</v>
      </c>
      <c r="H16" s="1326" t="str">
        <f>'ETAT-PAY-PERM'!Z21</f>
        <v>الحساب الجاري البريدي</v>
      </c>
    </row>
    <row r="17" spans="1:8">
      <c r="A17" s="526">
        <f>'ETAT-PAY-PERM'!A22</f>
        <v>8</v>
      </c>
      <c r="B17" s="962">
        <f>'ETAT-PAY-PERM'!B22</f>
        <v>1</v>
      </c>
      <c r="C17" s="962" t="str">
        <f>'ETAT-PAY-PERM'!C22</f>
        <v>ففففففففلللللللللللللل</v>
      </c>
      <c r="D17" s="962">
        <f>'ETAT-PAY-PERM'!E22</f>
        <v>7777777777</v>
      </c>
      <c r="E17" s="963">
        <f>'ETAT-PAY-PERM'!F22</f>
        <v>85819.56</v>
      </c>
      <c r="H17" s="1326" t="str">
        <f>'ETAT-PAY-PERM'!Z22</f>
        <v>بنك التنمية المحلية</v>
      </c>
    </row>
    <row r="18" spans="1:8">
      <c r="A18" s="526">
        <f>'ETAT-PAY-PERM'!A23</f>
        <v>9</v>
      </c>
      <c r="B18" s="962">
        <f>'ETAT-PAY-PERM'!B23</f>
        <v>2</v>
      </c>
      <c r="C18" s="962" t="str">
        <f>'ETAT-PAY-PERM'!C23</f>
        <v>سييييييييفففففففففففف</v>
      </c>
      <c r="D18" s="962">
        <f>'ETAT-PAY-PERM'!E23</f>
        <v>7777777777</v>
      </c>
      <c r="E18" s="963">
        <f>'ETAT-PAY-PERM'!F23</f>
        <v>95830.93</v>
      </c>
      <c r="H18" s="1326" t="str">
        <f>'ETAT-PAY-PERM'!Z23</f>
        <v>بنك الفلاحة و التنمية الريفية</v>
      </c>
    </row>
    <row r="19" spans="1:8">
      <c r="A19" s="526">
        <f>'ETAT-PAY-PERM'!A24</f>
        <v>10</v>
      </c>
      <c r="B19" s="962">
        <f>'ETAT-PAY-PERM'!B24</f>
        <v>3</v>
      </c>
      <c r="C19" s="962" t="str">
        <f>'ETAT-PAY-PERM'!C24</f>
        <v>ليسليسليسليسللللللل</v>
      </c>
      <c r="D19" s="962">
        <f>'ETAT-PAY-PERM'!E24</f>
        <v>7777777777</v>
      </c>
      <c r="E19" s="963">
        <f>'ETAT-PAY-PERM'!F24</f>
        <v>62051.46</v>
      </c>
      <c r="H19" s="1326" t="str">
        <f>'ETAT-PAY-PERM'!Z24</f>
        <v>الحساب الجاري البريدي</v>
      </c>
    </row>
    <row r="20" spans="1:8">
      <c r="A20" s="526">
        <f>'ETAT-PAY-PERM'!A25</f>
        <v>11</v>
      </c>
      <c r="B20" s="962">
        <f>'ETAT-PAY-PERM'!B25</f>
        <v>4</v>
      </c>
      <c r="C20" s="962" t="str">
        <f>'ETAT-PAY-PERM'!C25</f>
        <v>شللبيسلبيشلررءرءؤرؤءر</v>
      </c>
      <c r="D20" s="962">
        <f>'ETAT-PAY-PERM'!E25</f>
        <v>7777777777</v>
      </c>
      <c r="E20" s="963">
        <f>'ETAT-PAY-PERM'!F25</f>
        <v>89034.69</v>
      </c>
      <c r="H20" s="1326" t="str">
        <f>'ETAT-PAY-PERM'!Z25</f>
        <v>الحساب الجاري البريدي</v>
      </c>
    </row>
    <row r="21" spans="1:8">
      <c r="A21" s="526">
        <f>'ETAT-PAY-PERM'!A26</f>
        <v>12</v>
      </c>
      <c r="B21" s="962">
        <f>'ETAT-PAY-PERM'!B26</f>
        <v>4</v>
      </c>
      <c r="C21" s="962" t="str">
        <f>'ETAT-PAY-PERM'!C26</f>
        <v>رسيبرشبيسبصثقصقثصقض</v>
      </c>
      <c r="D21" s="962">
        <f>'ETAT-PAY-PERM'!E26</f>
        <v>7777777777</v>
      </c>
      <c r="E21" s="963">
        <f>'ETAT-PAY-PERM'!F26</f>
        <v>79140.929999999993</v>
      </c>
      <c r="H21" s="1326" t="str">
        <f>'ETAT-PAY-PERM'!Z26</f>
        <v>الخزينة الولائية</v>
      </c>
    </row>
    <row r="22" spans="1:8">
      <c r="A22" s="526">
        <f>'ETAT-PAY-PERM'!A27</f>
        <v>13</v>
      </c>
      <c r="B22" s="962">
        <f>'ETAT-PAY-PERM'!B27</f>
        <v>5</v>
      </c>
      <c r="C22" s="962" t="str">
        <f>'ETAT-PAY-PERM'!C27</f>
        <v>بيسلبيليبسلصثقثصقثصقصث</v>
      </c>
      <c r="D22" s="962">
        <f>'ETAT-PAY-PERM'!E27</f>
        <v>7777777777</v>
      </c>
      <c r="E22" s="963">
        <f>'ETAT-PAY-PERM'!F27</f>
        <v>58707.15</v>
      </c>
      <c r="H22" s="1326" t="str">
        <f>'ETAT-PAY-PERM'!Z27</f>
        <v>الخزينة الولائية</v>
      </c>
    </row>
    <row r="23" spans="1:8">
      <c r="A23" s="526">
        <f>'ETAT-PAY-PERM'!A28</f>
        <v>14</v>
      </c>
      <c r="B23" s="962">
        <f>'ETAT-PAY-PERM'!B28</f>
        <v>5</v>
      </c>
      <c r="C23" s="962" t="str">
        <f>'ETAT-PAY-PERM'!C28</f>
        <v>لللللللللللللللللللللل</v>
      </c>
      <c r="D23" s="962">
        <f>'ETAT-PAY-PERM'!E28</f>
        <v>7777777777</v>
      </c>
      <c r="E23" s="963">
        <f>'ETAT-PAY-PERM'!F28</f>
        <v>61350.15</v>
      </c>
      <c r="H23" s="1326" t="str">
        <f>'ETAT-PAY-PERM'!Z28</f>
        <v>الحساب الجاري البريدي</v>
      </c>
    </row>
    <row r="24" spans="1:8">
      <c r="A24" s="526">
        <f>'ETAT-PAY-PERM'!A29</f>
        <v>15</v>
      </c>
      <c r="B24" s="962">
        <f>'ETAT-PAY-PERM'!B29</f>
        <v>6</v>
      </c>
      <c r="C24" s="962" t="str">
        <f>'ETAT-PAY-PERM'!C29</f>
        <v>فففففففففففففففففففف</v>
      </c>
      <c r="D24" s="962">
        <f>'ETAT-PAY-PERM'!E29</f>
        <v>7777777777</v>
      </c>
      <c r="E24" s="963">
        <f>'ETAT-PAY-PERM'!F29</f>
        <v>61350.15</v>
      </c>
      <c r="H24" s="1326" t="str">
        <f>'ETAT-PAY-PERM'!Z29</f>
        <v>الحساب الجاري البريدي</v>
      </c>
    </row>
    <row r="25" spans="1:8">
      <c r="A25" s="526">
        <f>'ETAT-PAY-PERM'!A30</f>
        <v>16</v>
      </c>
      <c r="B25" s="962">
        <f>'ETAT-PAY-PERM'!B30</f>
        <v>7</v>
      </c>
      <c r="C25" s="962" t="str">
        <f>'ETAT-PAY-PERM'!C30</f>
        <v>يسلللللللسيييييييي</v>
      </c>
      <c r="D25" s="962">
        <f>'ETAT-PAY-PERM'!E30</f>
        <v>11111111111</v>
      </c>
      <c r="E25" s="963">
        <f>'ETAT-PAY-PERM'!F30</f>
        <v>56184.31</v>
      </c>
      <c r="H25" s="1326" t="str">
        <f>'ETAT-PAY-PERM'!Z30</f>
        <v>الحساب الجاري البريدي</v>
      </c>
    </row>
    <row r="26" spans="1:8">
      <c r="A26" s="526">
        <f>'ETAT-PAY-PERM'!A31</f>
        <v>17</v>
      </c>
      <c r="B26" s="962">
        <f>'ETAT-PAY-PERM'!B31</f>
        <v>6</v>
      </c>
      <c r="C26" s="962" t="str">
        <f>'ETAT-PAY-PERM'!C31</f>
        <v>ررءرءؤرؤءرليسليسليسل</v>
      </c>
      <c r="D26" s="962">
        <f>'ETAT-PAY-PERM'!E31</f>
        <v>11111111111</v>
      </c>
      <c r="E26" s="963">
        <f>'ETAT-PAY-PERM'!F31</f>
        <v>47660.74</v>
      </c>
      <c r="H26" s="1326" t="str">
        <f>'ETAT-PAY-PERM'!Z31</f>
        <v>الخزينة الولائية</v>
      </c>
    </row>
    <row r="27" spans="1:8">
      <c r="A27" s="526">
        <f>'ETAT-PAY-PERM'!A32</f>
        <v>18</v>
      </c>
      <c r="B27" s="962">
        <f>'ETAT-PAY-PERM'!B32</f>
        <v>8</v>
      </c>
      <c r="C27" s="962" t="str">
        <f>'ETAT-PAY-PERM'!C32</f>
        <v>صثقصقثصقضشللبيسلبيشل</v>
      </c>
      <c r="D27" s="962">
        <f>'ETAT-PAY-PERM'!E32</f>
        <v>11111111111</v>
      </c>
      <c r="E27" s="963">
        <f>'ETAT-PAY-PERM'!F32</f>
        <v>66126.240000000005</v>
      </c>
      <c r="H27" s="1326" t="str">
        <f>'ETAT-PAY-PERM'!Z32</f>
        <v>الحساب الجاري البريدي</v>
      </c>
    </row>
    <row r="28" spans="1:8">
      <c r="A28" s="526">
        <f>'ETAT-PAY-PERM'!A33</f>
        <v>19</v>
      </c>
      <c r="B28" s="962">
        <f>'ETAT-PAY-PERM'!B33</f>
        <v>9</v>
      </c>
      <c r="C28" s="962" t="str">
        <f>'ETAT-PAY-PERM'!C33</f>
        <v>صثقثصقثصقصثرسيبرشبيسب</v>
      </c>
      <c r="D28" s="962">
        <f>'ETAT-PAY-PERM'!E33</f>
        <v>11111111111</v>
      </c>
      <c r="E28" s="963">
        <f>'ETAT-PAY-PERM'!F33</f>
        <v>49068.85</v>
      </c>
      <c r="H28" s="1326" t="str">
        <f>'ETAT-PAY-PERM'!Z33</f>
        <v>الخزينة الولائية</v>
      </c>
    </row>
    <row r="29" spans="1:8">
      <c r="A29" s="526">
        <f>'ETAT-PAY-PERM'!A34</f>
        <v>20</v>
      </c>
      <c r="B29" s="962">
        <f>'ETAT-PAY-PERM'!B34</f>
        <v>8</v>
      </c>
      <c r="C29" s="962" t="str">
        <f>'ETAT-PAY-PERM'!C34</f>
        <v>للللللللبيسلبيليبسل</v>
      </c>
      <c r="D29" s="962">
        <f>'ETAT-PAY-PERM'!E34</f>
        <v>11111111111</v>
      </c>
      <c r="E29" s="963">
        <f>'ETAT-PAY-PERM'!F34</f>
        <v>53563.31</v>
      </c>
      <c r="H29" s="1326" t="str">
        <f>'ETAT-PAY-PERM'!Z34</f>
        <v>الخزينة الولائية</v>
      </c>
    </row>
    <row r="30" spans="1:8">
      <c r="A30" s="526">
        <f>'ETAT-PAY-PERM'!A35</f>
        <v>21</v>
      </c>
      <c r="B30" s="962">
        <f>'ETAT-PAY-PERM'!B35</f>
        <v>9</v>
      </c>
      <c r="C30" s="962" t="str">
        <f>'ETAT-PAY-PERM'!C35</f>
        <v>ففففففففلللللللللللللل</v>
      </c>
      <c r="D30" s="962">
        <f>'ETAT-PAY-PERM'!E35</f>
        <v>11111111111</v>
      </c>
      <c r="E30" s="963">
        <f>'ETAT-PAY-PERM'!F35</f>
        <v>47230.720000000001</v>
      </c>
      <c r="H30" s="1326" t="str">
        <f>'ETAT-PAY-PERM'!Z35</f>
        <v>الحساب الجاري البريدي</v>
      </c>
    </row>
    <row r="31" spans="1:8">
      <c r="A31" s="526">
        <f>'ETAT-PAY-PERM'!A36</f>
        <v>22</v>
      </c>
      <c r="B31" s="962">
        <f>'ETAT-PAY-PERM'!B36</f>
        <v>10</v>
      </c>
      <c r="C31" s="962" t="str">
        <f>'ETAT-PAY-PERM'!C36</f>
        <v>سييييييييفففففففففففف</v>
      </c>
      <c r="D31" s="962">
        <f>'ETAT-PAY-PERM'!E36</f>
        <v>11111111111</v>
      </c>
      <c r="E31" s="963">
        <f>'ETAT-PAY-PERM'!F36</f>
        <v>56961.31</v>
      </c>
      <c r="H31" s="1326" t="str">
        <f>'ETAT-PAY-PERM'!Z36</f>
        <v>الحساب الجاري البريدي</v>
      </c>
    </row>
    <row r="32" spans="1:8">
      <c r="A32" s="526">
        <f>'ETAT-PAY-PERM'!A37</f>
        <v>23</v>
      </c>
      <c r="B32" s="962">
        <f>'ETAT-PAY-PERM'!B37</f>
        <v>11</v>
      </c>
      <c r="C32" s="962" t="str">
        <f>'ETAT-PAY-PERM'!C37</f>
        <v>ليسليسليسليسللللللل</v>
      </c>
      <c r="D32" s="962">
        <f>'ETAT-PAY-PERM'!E37</f>
        <v>11111111111</v>
      </c>
      <c r="E32" s="963">
        <f>'ETAT-PAY-PERM'!F37</f>
        <v>46805.72</v>
      </c>
      <c r="H32" s="1326" t="str">
        <f>'ETAT-PAY-PERM'!Z37</f>
        <v>الحساب الجاري البريدي</v>
      </c>
    </row>
    <row r="33" spans="1:8">
      <c r="A33" s="526">
        <f>'ETAT-PAY-PERM'!A38</f>
        <v>24</v>
      </c>
      <c r="B33" s="962">
        <f>'ETAT-PAY-PERM'!B38</f>
        <v>9</v>
      </c>
      <c r="C33" s="962" t="str">
        <f>'ETAT-PAY-PERM'!C38</f>
        <v>شللبيسلبيشلررءرءؤرؤءر</v>
      </c>
      <c r="D33" s="962">
        <f>'ETAT-PAY-PERM'!E38</f>
        <v>11111111111</v>
      </c>
      <c r="E33" s="963">
        <f>'ETAT-PAY-PERM'!F38</f>
        <v>54808.79</v>
      </c>
      <c r="H33" s="1326" t="str">
        <f>'ETAT-PAY-PERM'!Z38</f>
        <v>الخزينة الولائية</v>
      </c>
    </row>
    <row r="34" spans="1:8">
      <c r="A34" s="526">
        <f>'ETAT-PAY-PERM'!A39</f>
        <v>25</v>
      </c>
      <c r="B34" s="962">
        <f>'ETAT-PAY-PERM'!B39</f>
        <v>12</v>
      </c>
      <c r="C34" s="962" t="str">
        <f>'ETAT-PAY-PERM'!C39</f>
        <v>رسيبرشبيسبصثقصقثصقض</v>
      </c>
      <c r="D34" s="962">
        <f>'ETAT-PAY-PERM'!E39</f>
        <v>11111111111</v>
      </c>
      <c r="E34" s="963">
        <f>'ETAT-PAY-PERM'!F39</f>
        <v>50634.14</v>
      </c>
      <c r="H34" s="1326" t="str">
        <f>'ETAT-PAY-PERM'!Z39</f>
        <v>الحساب الجاري البريدي</v>
      </c>
    </row>
    <row r="35" spans="1:8">
      <c r="A35" s="526">
        <f>'ETAT-PAY-PERM'!A40</f>
        <v>26</v>
      </c>
      <c r="B35" s="962">
        <f>'ETAT-PAY-PERM'!B40</f>
        <v>3</v>
      </c>
      <c r="C35" s="962" t="str">
        <f>'ETAT-PAY-PERM'!C40</f>
        <v>بيسلبيليبسلصثقثصقثصقصث</v>
      </c>
      <c r="D35" s="962">
        <f>'ETAT-PAY-PERM'!E40</f>
        <v>11111111111</v>
      </c>
      <c r="E35" s="963">
        <f>'ETAT-PAY-PERM'!F40</f>
        <v>48749.82</v>
      </c>
      <c r="H35" s="1326" t="str">
        <f>'ETAT-PAY-PERM'!Z40</f>
        <v>بنك الفلاحة و التنمية الريفية</v>
      </c>
    </row>
    <row r="36" spans="1:8">
      <c r="A36" s="526">
        <f>'ETAT-PAY-PERM'!A41</f>
        <v>27</v>
      </c>
      <c r="B36" s="962">
        <f>'ETAT-PAY-PERM'!B41</f>
        <v>2</v>
      </c>
      <c r="C36" s="962" t="str">
        <f>'ETAT-PAY-PERM'!C41</f>
        <v>لللللللللللللللللللللل</v>
      </c>
      <c r="D36" s="962">
        <f>'ETAT-PAY-PERM'!E41</f>
        <v>11111111111</v>
      </c>
      <c r="E36" s="963">
        <f>'ETAT-PAY-PERM'!F41</f>
        <v>44013.279999999999</v>
      </c>
      <c r="H36" s="1326" t="str">
        <f>'ETAT-PAY-PERM'!Z41</f>
        <v>بنك التنمية المحلية</v>
      </c>
    </row>
    <row r="37" spans="1:8">
      <c r="A37" s="526">
        <f>'ETAT-PAY-PERM'!A42</f>
        <v>28</v>
      </c>
      <c r="B37" s="962">
        <f>'ETAT-PAY-PERM'!B42</f>
        <v>3</v>
      </c>
      <c r="C37" s="962" t="str">
        <f>'ETAT-PAY-PERM'!C42</f>
        <v>فففففففففففففففففففف</v>
      </c>
      <c r="D37" s="962">
        <f>'ETAT-PAY-PERM'!E42</f>
        <v>11111111111</v>
      </c>
      <c r="E37" s="963">
        <f>'ETAT-PAY-PERM'!F42</f>
        <v>67187.47</v>
      </c>
      <c r="H37" s="1326" t="str">
        <f>'ETAT-PAY-PERM'!Z42</f>
        <v>بنك التنمية المحلية</v>
      </c>
    </row>
    <row r="38" spans="1:8">
      <c r="A38" s="526">
        <f>'ETAT-PAY-PERM'!A43</f>
        <v>29</v>
      </c>
      <c r="B38" s="962">
        <f>'ETAT-PAY-PERM'!B43</f>
        <v>10</v>
      </c>
      <c r="C38" s="962" t="str">
        <f>'ETAT-PAY-PERM'!C43</f>
        <v>يسلللللللسيييييييي</v>
      </c>
      <c r="D38" s="962">
        <f>'ETAT-PAY-PERM'!E43</f>
        <v>11111111111</v>
      </c>
      <c r="E38" s="963">
        <f>'ETAT-PAY-PERM'!F43</f>
        <v>71252.47</v>
      </c>
      <c r="H38" s="1326" t="str">
        <f>'ETAT-PAY-PERM'!Z43</f>
        <v>الخزينة الولائية</v>
      </c>
    </row>
    <row r="39" spans="1:8">
      <c r="A39" s="526">
        <f>'ETAT-PAY-PERM'!A44</f>
        <v>30</v>
      </c>
      <c r="B39" s="962">
        <f>'ETAT-PAY-PERM'!B44</f>
        <v>13</v>
      </c>
      <c r="C39" s="962" t="str">
        <f>'ETAT-PAY-PERM'!C44</f>
        <v>ررءرءؤرؤءرليسليسليسل</v>
      </c>
      <c r="D39" s="962">
        <f>'ETAT-PAY-PERM'!E44</f>
        <v>11111111111</v>
      </c>
      <c r="E39" s="963">
        <f>'ETAT-PAY-PERM'!F44</f>
        <v>58522.76</v>
      </c>
      <c r="H39" s="1326" t="str">
        <f>'ETAT-PAY-PERM'!Z44</f>
        <v>الحساب الجاري البريدي</v>
      </c>
    </row>
    <row r="40" spans="1:8">
      <c r="A40" s="526">
        <f>'ETAT-PAY-PERM'!A45</f>
        <v>31</v>
      </c>
      <c r="B40" s="962">
        <f>'ETAT-PAY-PERM'!B45</f>
        <v>14</v>
      </c>
      <c r="C40" s="962" t="str">
        <f>'ETAT-PAY-PERM'!C45</f>
        <v>صثقصقثصقضشللبيسلبيشل</v>
      </c>
      <c r="D40" s="962">
        <f>'ETAT-PAY-PERM'!E45</f>
        <v>11111111111</v>
      </c>
      <c r="E40" s="963">
        <f>'ETAT-PAY-PERM'!F45</f>
        <v>20069.060000000001</v>
      </c>
      <c r="H40" s="1326" t="str">
        <f>'ETAT-PAY-PERM'!Z45</f>
        <v>الحساب الجاري البريدي</v>
      </c>
    </row>
    <row r="41" spans="1:8">
      <c r="A41" s="526">
        <f>'ETAT-PAY-PERM'!A46</f>
        <v>32</v>
      </c>
      <c r="B41" s="962">
        <f>'ETAT-PAY-PERM'!B46</f>
        <v>15</v>
      </c>
      <c r="C41" s="962" t="str">
        <f>'ETAT-PAY-PERM'!C46</f>
        <v>صثقثصقثصقصثرسيبرشبيسب</v>
      </c>
      <c r="D41" s="962">
        <f>'ETAT-PAY-PERM'!E46</f>
        <v>11111111111</v>
      </c>
      <c r="E41" s="963">
        <f>'ETAT-PAY-PERM'!F46</f>
        <v>52493.07</v>
      </c>
      <c r="H41" s="1326" t="str">
        <f>'ETAT-PAY-PERM'!Z46</f>
        <v>الحساب الجاري البريدي</v>
      </c>
    </row>
    <row r="42" spans="1:8">
      <c r="A42" s="526">
        <f>'ETAT-PAY-PERM'!A47</f>
        <v>33</v>
      </c>
      <c r="B42" s="962">
        <f>'ETAT-PAY-PERM'!B47</f>
        <v>16</v>
      </c>
      <c r="C42" s="962" t="str">
        <f>'ETAT-PAY-PERM'!C47</f>
        <v>للللللللبيسلبيليبسل</v>
      </c>
      <c r="D42" s="962">
        <f>'ETAT-PAY-PERM'!E47</f>
        <v>11111111111</v>
      </c>
      <c r="E42" s="963">
        <f>'ETAT-PAY-PERM'!F47</f>
        <v>43916.36</v>
      </c>
      <c r="H42" s="1326" t="str">
        <f>'ETAT-PAY-PERM'!Z47</f>
        <v>الحساب الجاري البريدي</v>
      </c>
    </row>
    <row r="43" spans="1:8">
      <c r="A43" s="526">
        <f>'ETAT-PAY-PERM'!A48</f>
        <v>34</v>
      </c>
      <c r="B43" s="962">
        <f>'ETAT-PAY-PERM'!B48</f>
        <v>17</v>
      </c>
      <c r="C43" s="962" t="str">
        <f>'ETAT-PAY-PERM'!C48</f>
        <v>ففففففففلللللللللللللل</v>
      </c>
      <c r="D43" s="962">
        <f>'ETAT-PAY-PERM'!E48</f>
        <v>11111111111</v>
      </c>
      <c r="E43" s="963">
        <f>'ETAT-PAY-PERM'!F48</f>
        <v>48381.88</v>
      </c>
      <c r="H43" s="1326" t="str">
        <f>'ETAT-PAY-PERM'!Z48</f>
        <v>الحساب الجاري البريدي</v>
      </c>
    </row>
    <row r="44" spans="1:8">
      <c r="A44" s="526">
        <f>'ETAT-PAY-PERM'!A49</f>
        <v>35</v>
      </c>
      <c r="B44" s="962">
        <f>'ETAT-PAY-PERM'!B49</f>
        <v>18</v>
      </c>
      <c r="C44" s="962" t="str">
        <f>'ETAT-PAY-PERM'!C49</f>
        <v>سييييييييفففففففففففف</v>
      </c>
      <c r="D44" s="962">
        <f>'ETAT-PAY-PERM'!E49</f>
        <v>11111111111</v>
      </c>
      <c r="E44" s="963">
        <f>'ETAT-PAY-PERM'!F49</f>
        <v>52812.34</v>
      </c>
      <c r="H44" s="1326" t="str">
        <f>'ETAT-PAY-PERM'!Z49</f>
        <v>الحساب الجاري البريدي</v>
      </c>
    </row>
    <row r="45" spans="1:8">
      <c r="A45" s="526">
        <f>'ETAT-PAY-PERM'!A50</f>
        <v>36</v>
      </c>
      <c r="B45" s="962">
        <f>'ETAT-PAY-PERM'!B50</f>
        <v>19</v>
      </c>
      <c r="C45" s="962" t="str">
        <f>'ETAT-PAY-PERM'!C50</f>
        <v>ليسليسليسليسللللللل</v>
      </c>
      <c r="D45" s="962">
        <f>'ETAT-PAY-PERM'!E50</f>
        <v>11111111111</v>
      </c>
      <c r="E45" s="963">
        <f>'ETAT-PAY-PERM'!F50</f>
        <v>52812.34</v>
      </c>
      <c r="H45" s="1326" t="str">
        <f>'ETAT-PAY-PERM'!Z50</f>
        <v>الحساب الجاري البريدي</v>
      </c>
    </row>
    <row r="46" spans="1:8">
      <c r="A46" s="526">
        <f>'ETAT-PAY-PERM'!A51</f>
        <v>37</v>
      </c>
      <c r="B46" s="962">
        <f>'ETAT-PAY-PERM'!B51</f>
        <v>11</v>
      </c>
      <c r="C46" s="962" t="str">
        <f>'ETAT-PAY-PERM'!C51</f>
        <v>شللبيسلبيشلررءرءؤرؤءر</v>
      </c>
      <c r="D46" s="962">
        <f>'ETAT-PAY-PERM'!E51</f>
        <v>11111111111</v>
      </c>
      <c r="E46" s="963">
        <f>'ETAT-PAY-PERM'!F51</f>
        <v>61388.77</v>
      </c>
      <c r="H46" s="1326" t="str">
        <f>'ETAT-PAY-PERM'!Z51</f>
        <v>الخزينة الولائية</v>
      </c>
    </row>
    <row r="47" spans="1:8">
      <c r="A47" s="526">
        <f>'ETAT-PAY-PERM'!A52</f>
        <v>38</v>
      </c>
      <c r="B47" s="962">
        <f>'ETAT-PAY-PERM'!B52</f>
        <v>12</v>
      </c>
      <c r="C47" s="962" t="str">
        <f>'ETAT-PAY-PERM'!C52</f>
        <v>رسيبرشبيسبصثقصقثصقض</v>
      </c>
      <c r="D47" s="962">
        <f>'ETAT-PAY-PERM'!E52</f>
        <v>11111111111</v>
      </c>
      <c r="E47" s="963">
        <f>'ETAT-PAY-PERM'!F52</f>
        <v>58545.08</v>
      </c>
      <c r="H47" s="1326" t="str">
        <f>'ETAT-PAY-PERM'!Z52</f>
        <v>الخزينة الولائية</v>
      </c>
    </row>
    <row r="48" spans="1:8">
      <c r="A48" s="526">
        <f>'ETAT-PAY-PERM'!A53</f>
        <v>39</v>
      </c>
      <c r="B48" s="962">
        <f>'ETAT-PAY-PERM'!B53</f>
        <v>20</v>
      </c>
      <c r="C48" s="962" t="str">
        <f>'ETAT-PAY-PERM'!C53</f>
        <v>بيسلبيليبسلصثقثصقثصقصث</v>
      </c>
      <c r="D48" s="962">
        <f>'ETAT-PAY-PERM'!E53</f>
        <v>11111111111</v>
      </c>
      <c r="E48" s="963">
        <f>'ETAT-PAY-PERM'!F53</f>
        <v>51979.28</v>
      </c>
      <c r="H48" s="1326" t="str">
        <f>'ETAT-PAY-PERM'!Z53</f>
        <v>الحساب الجاري البريدي</v>
      </c>
    </row>
    <row r="49" spans="1:8">
      <c r="A49" s="526">
        <f>'ETAT-PAY-PERM'!A54</f>
        <v>40</v>
      </c>
      <c r="B49" s="962">
        <f>'ETAT-PAY-PERM'!B54</f>
        <v>21</v>
      </c>
      <c r="C49" s="962" t="str">
        <f>'ETAT-PAY-PERM'!C54</f>
        <v>لللللللللللللللللللللل</v>
      </c>
      <c r="D49" s="962">
        <f>'ETAT-PAY-PERM'!E54</f>
        <v>11111111111</v>
      </c>
      <c r="E49" s="963">
        <f>'ETAT-PAY-PERM'!F54</f>
        <v>32143.93</v>
      </c>
      <c r="H49" s="1326" t="str">
        <f>'ETAT-PAY-PERM'!Z54</f>
        <v>الحساب الجاري البريدي</v>
      </c>
    </row>
    <row r="50" spans="1:8">
      <c r="A50" s="526">
        <f>'ETAT-PAY-PERM'!A55</f>
        <v>41</v>
      </c>
      <c r="B50" s="962">
        <f>'ETAT-PAY-PERM'!B55</f>
        <v>22</v>
      </c>
      <c r="C50" s="962" t="str">
        <f>'ETAT-PAY-PERM'!C55</f>
        <v>فففففففففففففففففففف</v>
      </c>
      <c r="D50" s="962">
        <f>'ETAT-PAY-PERM'!E55</f>
        <v>11111111111</v>
      </c>
      <c r="E50" s="963">
        <f>'ETAT-PAY-PERM'!F55</f>
        <v>32143.93</v>
      </c>
      <c r="H50" s="1326" t="str">
        <f>'ETAT-PAY-PERM'!Z55</f>
        <v>الحساب الجاري البريدي</v>
      </c>
    </row>
    <row r="51" spans="1:8">
      <c r="A51" s="526">
        <f>'ETAT-PAY-PERM'!A56</f>
        <v>42</v>
      </c>
      <c r="B51" s="962">
        <f>'ETAT-PAY-PERM'!B56</f>
        <v>23</v>
      </c>
      <c r="C51" s="962" t="str">
        <f>'ETAT-PAY-PERM'!C56</f>
        <v>يسلللللللسيييييييي</v>
      </c>
      <c r="D51" s="962">
        <f>'ETAT-PAY-PERM'!E56</f>
        <v>11111111111</v>
      </c>
      <c r="E51" s="963">
        <f>'ETAT-PAY-PERM'!F56</f>
        <v>35567.14</v>
      </c>
      <c r="H51" s="1326" t="str">
        <f>'ETAT-PAY-PERM'!Z56</f>
        <v>الحساب الجاري البريدي</v>
      </c>
    </row>
    <row r="52" spans="1:8">
      <c r="A52" s="526">
        <f>'ETAT-PAY-PERM'!A57</f>
        <v>43</v>
      </c>
      <c r="B52" s="962">
        <f>'ETAT-PAY-PERM'!B57</f>
        <v>4</v>
      </c>
      <c r="C52" s="962" t="str">
        <f>'ETAT-PAY-PERM'!C57</f>
        <v>ررءرءؤرؤءرلللللللللللللل</v>
      </c>
      <c r="D52" s="962">
        <f>'ETAT-PAY-PERM'!E57</f>
        <v>11111111111</v>
      </c>
      <c r="E52" s="963">
        <f>'ETAT-PAY-PERM'!F57</f>
        <v>41491.94</v>
      </c>
      <c r="H52" s="1326" t="str">
        <f>'ETAT-PAY-PERM'!Z57</f>
        <v>بنك التنمية المحلية</v>
      </c>
    </row>
    <row r="53" spans="1:8">
      <c r="A53" s="526">
        <f>'ETAT-PAY-PERM'!A58</f>
        <v>44</v>
      </c>
      <c r="B53" s="962">
        <f>'ETAT-PAY-PERM'!B58</f>
        <v>24</v>
      </c>
      <c r="C53" s="962" t="str">
        <f>'ETAT-PAY-PERM'!C58</f>
        <v>صثقصقثصقضفففففففففففف</v>
      </c>
      <c r="D53" s="962">
        <f>'ETAT-PAY-PERM'!E58</f>
        <v>11111111111</v>
      </c>
      <c r="E53" s="963">
        <f>'ETAT-PAY-PERM'!F58</f>
        <v>42206.75</v>
      </c>
      <c r="H53" s="1326" t="str">
        <f>'ETAT-PAY-PERM'!Z58</f>
        <v>الحساب الجاري البريدي</v>
      </c>
    </row>
    <row r="54" spans="1:8">
      <c r="A54" s="526">
        <f>'ETAT-PAY-PERM'!A59</f>
        <v>45</v>
      </c>
      <c r="B54" s="962">
        <f>'ETAT-PAY-PERM'!B59</f>
        <v>25</v>
      </c>
      <c r="C54" s="962" t="str">
        <f>'ETAT-PAY-PERM'!C59</f>
        <v>صثقثصقثصقصثيسللللللل</v>
      </c>
      <c r="D54" s="962">
        <f>'ETAT-PAY-PERM'!E59</f>
        <v>11111111111</v>
      </c>
      <c r="E54" s="963">
        <f>'ETAT-PAY-PERM'!F59</f>
        <v>41696.75</v>
      </c>
      <c r="H54" s="1326" t="str">
        <f>'ETAT-PAY-PERM'!Z59</f>
        <v>الحساب الجاري البريدي</v>
      </c>
    </row>
    <row r="55" spans="1:8">
      <c r="A55" s="526">
        <f>'ETAT-PAY-PERM'!A60</f>
        <v>46</v>
      </c>
      <c r="B55" s="962">
        <f>'ETAT-PAY-PERM'!B60</f>
        <v>26</v>
      </c>
      <c r="C55" s="962" t="str">
        <f>'ETAT-PAY-PERM'!C60</f>
        <v>للللللللررءرءؤرؤءر</v>
      </c>
      <c r="D55" s="962">
        <f>'ETAT-PAY-PERM'!E60</f>
        <v>11111111111</v>
      </c>
      <c r="E55" s="963">
        <f>'ETAT-PAY-PERM'!F60</f>
        <v>41696.75</v>
      </c>
      <c r="H55" s="1326" t="str">
        <f>'ETAT-PAY-PERM'!Z60</f>
        <v>الحساب الجاري البريدي</v>
      </c>
    </row>
    <row r="56" spans="1:8">
      <c r="A56" s="526">
        <f>'ETAT-PAY-PERM'!A61</f>
        <v>47</v>
      </c>
      <c r="B56" s="962">
        <f>'ETAT-PAY-PERM'!B61</f>
        <v>27</v>
      </c>
      <c r="C56" s="962" t="str">
        <f>'ETAT-PAY-PERM'!C61</f>
        <v>ففففففففصثقصقثصقض</v>
      </c>
      <c r="D56" s="962">
        <f>'ETAT-PAY-PERM'!E61</f>
        <v>11111111111</v>
      </c>
      <c r="E56" s="963">
        <f>'ETAT-PAY-PERM'!F61</f>
        <v>36404.370000000003</v>
      </c>
      <c r="H56" s="1326" t="str">
        <f>'ETAT-PAY-PERM'!Z61</f>
        <v>الحساب الجاري البريدي</v>
      </c>
    </row>
    <row r="57" spans="1:8">
      <c r="A57" s="526">
        <f>'ETAT-PAY-PERM'!A62</f>
        <v>48</v>
      </c>
      <c r="B57" s="962">
        <f>'ETAT-PAY-PERM'!B62</f>
        <v>28</v>
      </c>
      <c r="C57" s="962" t="str">
        <f>'ETAT-PAY-PERM'!C62</f>
        <v>سييييييييصثقثصقثصقصث</v>
      </c>
      <c r="D57" s="962">
        <f>'ETAT-PAY-PERM'!E62</f>
        <v>11111111111</v>
      </c>
      <c r="E57" s="963">
        <f>'ETAT-PAY-PERM'!F62</f>
        <v>27742.38</v>
      </c>
      <c r="H57" s="1326" t="str">
        <f>'ETAT-PAY-PERM'!Z62</f>
        <v>الحساب الجاري البريدي</v>
      </c>
    </row>
    <row r="58" spans="1:8">
      <c r="A58" s="526">
        <f>'ETAT-PAY-PERM'!A63</f>
        <v>49</v>
      </c>
      <c r="B58" s="962">
        <f>'ETAT-PAY-PERM'!B63</f>
        <v>29</v>
      </c>
      <c r="C58" s="962" t="str">
        <f>'ETAT-PAY-PERM'!C63</f>
        <v>ليسليسليسللللللللل</v>
      </c>
      <c r="D58" s="962">
        <f>'ETAT-PAY-PERM'!E63</f>
        <v>11111111111</v>
      </c>
      <c r="E58" s="963">
        <f>'ETAT-PAY-PERM'!F63</f>
        <v>20389.669999999998</v>
      </c>
      <c r="H58" s="1326" t="str">
        <f>'ETAT-PAY-PERM'!Z63</f>
        <v>الحساب الجاري البريدي</v>
      </c>
    </row>
    <row r="59" spans="1:8">
      <c r="A59" s="526">
        <f>'ETAT-PAY-PERM'!A64</f>
        <v>50</v>
      </c>
      <c r="B59" s="962">
        <f>'ETAT-PAY-PERM'!B64</f>
        <v>5</v>
      </c>
      <c r="C59" s="962" t="str">
        <f>'ETAT-PAY-PERM'!C64</f>
        <v/>
      </c>
      <c r="D59" s="962">
        <f>'ETAT-PAY-PERM'!E64</f>
        <v>0</v>
      </c>
      <c r="E59" s="963" t="e">
        <f>'ETAT-PAY-PERM'!F64</f>
        <v>#N/A</v>
      </c>
      <c r="H59" s="1326">
        <f>'ETAT-PAY-PERM'!Z64</f>
        <v>0</v>
      </c>
    </row>
    <row r="60" spans="1:8">
      <c r="A60" s="526">
        <f>'ETAT-PAY-PERM'!A65</f>
        <v>51</v>
      </c>
      <c r="B60" s="962">
        <f>'ETAT-PAY-PERM'!B65</f>
        <v>6</v>
      </c>
      <c r="C60" s="962" t="str">
        <f>'ETAT-PAY-PERM'!C65</f>
        <v/>
      </c>
      <c r="D60" s="962">
        <f>'ETAT-PAY-PERM'!E65</f>
        <v>0</v>
      </c>
      <c r="E60" s="963" t="e">
        <f>'ETAT-PAY-PERM'!F65</f>
        <v>#N/A</v>
      </c>
      <c r="H60" s="1326">
        <f>'ETAT-PAY-PERM'!Z65</f>
        <v>0</v>
      </c>
    </row>
    <row r="61" spans="1:8">
      <c r="A61" s="526">
        <f>'ETAT-PAY-PERM'!A66</f>
        <v>52</v>
      </c>
      <c r="B61" s="962">
        <f>'ETAT-PAY-PERM'!B66</f>
        <v>7</v>
      </c>
      <c r="C61" s="962" t="str">
        <f>'ETAT-PAY-PERM'!C66</f>
        <v/>
      </c>
      <c r="D61" s="962">
        <f>'ETAT-PAY-PERM'!E66</f>
        <v>0</v>
      </c>
      <c r="E61" s="963" t="e">
        <f>'ETAT-PAY-PERM'!F66</f>
        <v>#N/A</v>
      </c>
      <c r="H61" s="1326">
        <f>'ETAT-PAY-PERM'!Z66</f>
        <v>0</v>
      </c>
    </row>
    <row r="62" spans="1:8">
      <c r="A62" s="526">
        <f>'ETAT-PAY-PERM'!A67</f>
        <v>53</v>
      </c>
      <c r="B62" s="962">
        <f>'ETAT-PAY-PERM'!B67</f>
        <v>8</v>
      </c>
      <c r="C62" s="962" t="str">
        <f>'ETAT-PAY-PERM'!C67</f>
        <v/>
      </c>
      <c r="D62" s="962">
        <f>'ETAT-PAY-PERM'!E67</f>
        <v>0</v>
      </c>
      <c r="E62" s="963" t="e">
        <f>'ETAT-PAY-PERM'!F67</f>
        <v>#N/A</v>
      </c>
      <c r="H62" s="1326">
        <f>'ETAT-PAY-PERM'!Z67</f>
        <v>0</v>
      </c>
    </row>
    <row r="63" spans="1:8">
      <c r="A63" s="526">
        <f>'ETAT-PAY-PERM'!A68</f>
        <v>54</v>
      </c>
      <c r="B63" s="962">
        <f>'ETAT-PAY-PERM'!B68</f>
        <v>30</v>
      </c>
      <c r="C63" s="962" t="str">
        <f>'ETAT-PAY-PERM'!C68</f>
        <v/>
      </c>
      <c r="D63" s="962">
        <f>'ETAT-PAY-PERM'!E68</f>
        <v>0</v>
      </c>
      <c r="E63" s="963" t="e">
        <f>'ETAT-PAY-PERM'!F68</f>
        <v>#N/A</v>
      </c>
      <c r="H63" s="1326">
        <f>'ETAT-PAY-PERM'!Z68</f>
        <v>0</v>
      </c>
    </row>
    <row r="64" spans="1:8">
      <c r="A64" s="526">
        <f>'ETAT-PAY-PERM'!A69</f>
        <v>55</v>
      </c>
      <c r="B64" s="962">
        <f>'ETAT-PAY-PERM'!B69</f>
        <v>4</v>
      </c>
      <c r="C64" s="962" t="str">
        <f>'ETAT-PAY-PERM'!C69</f>
        <v/>
      </c>
      <c r="D64" s="962">
        <f>'ETAT-PAY-PERM'!E69</f>
        <v>0</v>
      </c>
      <c r="E64" s="963" t="e">
        <f>'ETAT-PAY-PERM'!F69</f>
        <v>#N/A</v>
      </c>
      <c r="H64" s="1326">
        <f>'ETAT-PAY-PERM'!Z69</f>
        <v>0</v>
      </c>
    </row>
    <row r="65" spans="1:8">
      <c r="A65" s="526">
        <f>'ETAT-PAY-PERM'!A70</f>
        <v>56</v>
      </c>
      <c r="B65" s="962">
        <f>'ETAT-PAY-PERM'!B70</f>
        <v>9</v>
      </c>
      <c r="C65" s="962" t="str">
        <f>'ETAT-PAY-PERM'!C70</f>
        <v/>
      </c>
      <c r="D65" s="962">
        <f>'ETAT-PAY-PERM'!E70</f>
        <v>0</v>
      </c>
      <c r="E65" s="963" t="e">
        <f>'ETAT-PAY-PERM'!F70</f>
        <v>#N/A</v>
      </c>
      <c r="H65" s="1326">
        <f>'ETAT-PAY-PERM'!Z70</f>
        <v>0</v>
      </c>
    </row>
    <row r="66" spans="1:8">
      <c r="A66" s="526">
        <f>'ETAT-PAY-PERM'!A71</f>
        <v>57</v>
      </c>
      <c r="B66" s="962">
        <f>'ETAT-PAY-PERM'!B71</f>
        <v>13</v>
      </c>
      <c r="C66" s="962" t="str">
        <f>'ETAT-PAY-PERM'!C71</f>
        <v/>
      </c>
      <c r="D66" s="962">
        <f>'ETAT-PAY-PERM'!E71</f>
        <v>0</v>
      </c>
      <c r="E66" s="963" t="e">
        <f>'ETAT-PAY-PERM'!F71</f>
        <v>#N/A</v>
      </c>
      <c r="H66" s="1326">
        <f>'ETAT-PAY-PERM'!Z71</f>
        <v>0</v>
      </c>
    </row>
    <row r="67" spans="1:8">
      <c r="A67" s="526">
        <f>'ETAT-PAY-PERM'!A72</f>
        <v>58</v>
      </c>
      <c r="B67" s="962">
        <f>'ETAT-PAY-PERM'!B72</f>
        <v>31</v>
      </c>
      <c r="C67" s="962" t="str">
        <f>'ETAT-PAY-PERM'!C72</f>
        <v/>
      </c>
      <c r="D67" s="962">
        <f>'ETAT-PAY-PERM'!E72</f>
        <v>0</v>
      </c>
      <c r="E67" s="963" t="e">
        <f>'ETAT-PAY-PERM'!F72</f>
        <v>#N/A</v>
      </c>
      <c r="H67" s="1326">
        <f>'ETAT-PAY-PERM'!Z72</f>
        <v>0</v>
      </c>
    </row>
    <row r="68" spans="1:8">
      <c r="A68" s="526">
        <f>'ETAT-PAY-PERM'!A73</f>
        <v>59</v>
      </c>
      <c r="B68" s="962">
        <f>'ETAT-PAY-PERM'!B73</f>
        <v>10</v>
      </c>
      <c r="C68" s="962" t="str">
        <f>'ETAT-PAY-PERM'!C73</f>
        <v/>
      </c>
      <c r="D68" s="962">
        <f>'ETAT-PAY-PERM'!E73</f>
        <v>0</v>
      </c>
      <c r="E68" s="963" t="e">
        <f>'ETAT-PAY-PERM'!F73</f>
        <v>#N/A</v>
      </c>
      <c r="H68" s="1326">
        <f>'ETAT-PAY-PERM'!Z73</f>
        <v>0</v>
      </c>
    </row>
    <row r="69" spans="1:8">
      <c r="A69" s="526">
        <f>'ETAT-PAY-PERM'!A74</f>
        <v>60</v>
      </c>
      <c r="B69" s="962">
        <f>'ETAT-PAY-PERM'!B74</f>
        <v>11</v>
      </c>
      <c r="C69" s="962" t="str">
        <f>'ETAT-PAY-PERM'!C74</f>
        <v/>
      </c>
      <c r="D69" s="962">
        <f>'ETAT-PAY-PERM'!E74</f>
        <v>0</v>
      </c>
      <c r="E69" s="963" t="e">
        <f>'ETAT-PAY-PERM'!F74</f>
        <v>#N/A</v>
      </c>
      <c r="H69" s="1326">
        <f>'ETAT-PAY-PERM'!Z74</f>
        <v>0</v>
      </c>
    </row>
    <row r="70" spans="1:8">
      <c r="A70" s="526">
        <f>'ETAT-PAY-PERM'!A75</f>
        <v>61</v>
      </c>
      <c r="B70" s="962">
        <f>'ETAT-PAY-PERM'!B75</f>
        <v>32</v>
      </c>
      <c r="C70" s="962" t="str">
        <f>'ETAT-PAY-PERM'!C75</f>
        <v/>
      </c>
      <c r="D70" s="962">
        <f>'ETAT-PAY-PERM'!E75</f>
        <v>0</v>
      </c>
      <c r="E70" s="963" t="e">
        <f>'ETAT-PAY-PERM'!F75</f>
        <v>#N/A</v>
      </c>
      <c r="H70" s="1326">
        <f>'ETAT-PAY-PERM'!Z75</f>
        <v>0</v>
      </c>
    </row>
    <row r="71" spans="1:8">
      <c r="A71" s="526">
        <f>'ETAT-PAY-PERM'!A76</f>
        <v>62</v>
      </c>
      <c r="B71" s="962">
        <f>'ETAT-PAY-PERM'!B76</f>
        <v>12</v>
      </c>
      <c r="C71" s="962" t="str">
        <f>'ETAT-PAY-PERM'!C76</f>
        <v/>
      </c>
      <c r="D71" s="962">
        <f>'ETAT-PAY-PERM'!E76</f>
        <v>0</v>
      </c>
      <c r="E71" s="963" t="e">
        <f>'ETAT-PAY-PERM'!F76</f>
        <v>#N/A</v>
      </c>
      <c r="H71" s="1326">
        <f>'ETAT-PAY-PERM'!Z76</f>
        <v>0</v>
      </c>
    </row>
    <row r="72" spans="1:8">
      <c r="A72" s="526">
        <f>'ETAT-PAY-PERM'!A77</f>
        <v>63</v>
      </c>
      <c r="B72" s="962">
        <f>'ETAT-PAY-PERM'!B77</f>
        <v>33</v>
      </c>
      <c r="C72" s="962" t="str">
        <f>'ETAT-PAY-PERM'!C77</f>
        <v/>
      </c>
      <c r="D72" s="962">
        <f>'ETAT-PAY-PERM'!E77</f>
        <v>0</v>
      </c>
      <c r="E72" s="963" t="e">
        <f>'ETAT-PAY-PERM'!F77</f>
        <v>#N/A</v>
      </c>
      <c r="H72" s="1326">
        <f>'ETAT-PAY-PERM'!Z77</f>
        <v>0</v>
      </c>
    </row>
    <row r="73" spans="1:8">
      <c r="A73" s="526">
        <f>'ETAT-PAY-PERM'!A78</f>
        <v>64</v>
      </c>
      <c r="B73" s="962">
        <f>'ETAT-PAY-PERM'!B78</f>
        <v>34</v>
      </c>
      <c r="C73" s="962" t="str">
        <f>'ETAT-PAY-PERM'!C78</f>
        <v/>
      </c>
      <c r="D73" s="962">
        <f>'ETAT-PAY-PERM'!E78</f>
        <v>0</v>
      </c>
      <c r="E73" s="963" t="e">
        <f>'ETAT-PAY-PERM'!F78</f>
        <v>#N/A</v>
      </c>
      <c r="H73" s="1326">
        <f>'ETAT-PAY-PERM'!Z78</f>
        <v>0</v>
      </c>
    </row>
    <row r="74" spans="1:8">
      <c r="A74" s="526">
        <f>'ETAT-PAY-PERM'!A79</f>
        <v>65</v>
      </c>
      <c r="B74" s="962">
        <f>'ETAT-PAY-PERM'!B79</f>
        <v>35</v>
      </c>
      <c r="C74" s="962" t="str">
        <f>'ETAT-PAY-PERM'!C79</f>
        <v/>
      </c>
      <c r="D74" s="962">
        <f>'ETAT-PAY-PERM'!E79</f>
        <v>0</v>
      </c>
      <c r="E74" s="963" t="e">
        <f>'ETAT-PAY-PERM'!F79</f>
        <v>#N/A</v>
      </c>
      <c r="H74" s="1326">
        <f>'ETAT-PAY-PERM'!Z79</f>
        <v>0</v>
      </c>
    </row>
    <row r="75" spans="1:8">
      <c r="A75" s="526">
        <f>'ETAT-PAY-PERM'!A80</f>
        <v>66</v>
      </c>
      <c r="B75" s="962">
        <f>'ETAT-PAY-PERM'!B80</f>
        <v>36</v>
      </c>
      <c r="C75" s="962" t="str">
        <f>'ETAT-PAY-PERM'!C80</f>
        <v/>
      </c>
      <c r="D75" s="962">
        <f>'ETAT-PAY-PERM'!E80</f>
        <v>0</v>
      </c>
      <c r="E75" s="963" t="e">
        <f>'ETAT-PAY-PERM'!F80</f>
        <v>#N/A</v>
      </c>
      <c r="H75" s="1326">
        <f>'ETAT-PAY-PERM'!Z80</f>
        <v>0</v>
      </c>
    </row>
    <row r="76" spans="1:8">
      <c r="A76" s="526">
        <f>'ETAT-PAY-PERM'!A81</f>
        <v>67</v>
      </c>
      <c r="B76" s="962">
        <f>'ETAT-PAY-PERM'!B81</f>
        <v>37</v>
      </c>
      <c r="C76" s="962" t="str">
        <f>'ETAT-PAY-PERM'!C81</f>
        <v/>
      </c>
      <c r="D76" s="962">
        <f>'ETAT-PAY-PERM'!E81</f>
        <v>0</v>
      </c>
      <c r="E76" s="963" t="e">
        <f>'ETAT-PAY-PERM'!F81</f>
        <v>#N/A</v>
      </c>
      <c r="H76" s="1326">
        <f>'ETAT-PAY-PERM'!Z81</f>
        <v>0</v>
      </c>
    </row>
    <row r="77" spans="1:8">
      <c r="A77" s="526">
        <f>'ETAT-PAY-PERM'!A82</f>
        <v>68</v>
      </c>
      <c r="B77" s="962">
        <f>'ETAT-PAY-PERM'!B82</f>
        <v>38</v>
      </c>
      <c r="C77" s="962" t="str">
        <f>'ETAT-PAY-PERM'!C82</f>
        <v/>
      </c>
      <c r="D77" s="962">
        <f>'ETAT-PAY-PERM'!E82</f>
        <v>0</v>
      </c>
      <c r="E77" s="963" t="e">
        <f>'ETAT-PAY-PERM'!F82</f>
        <v>#N/A</v>
      </c>
      <c r="H77" s="1326">
        <f>'ETAT-PAY-PERM'!Z82</f>
        <v>0</v>
      </c>
    </row>
    <row r="78" spans="1:8">
      <c r="A78" s="526">
        <f>'ETAT-PAY-PERM'!A83</f>
        <v>69</v>
      </c>
      <c r="B78" s="962">
        <f>'ETAT-PAY-PERM'!B83</f>
        <v>14</v>
      </c>
      <c r="C78" s="962" t="str">
        <f>'ETAT-PAY-PERM'!C83</f>
        <v/>
      </c>
      <c r="D78" s="962">
        <f>'ETAT-PAY-PERM'!E83</f>
        <v>0</v>
      </c>
      <c r="E78" s="963" t="e">
        <f>'ETAT-PAY-PERM'!F83</f>
        <v>#N/A</v>
      </c>
      <c r="H78" s="1326">
        <f>'ETAT-PAY-PERM'!Z83</f>
        <v>0</v>
      </c>
    </row>
    <row r="79" spans="1:8">
      <c r="A79" s="526">
        <f>'ETAT-PAY-PERM'!A84</f>
        <v>70</v>
      </c>
      <c r="B79" s="962">
        <f>'ETAT-PAY-PERM'!B84</f>
        <v>39</v>
      </c>
      <c r="C79" s="962" t="str">
        <f>'ETAT-PAY-PERM'!C84</f>
        <v/>
      </c>
      <c r="D79" s="962">
        <f>'ETAT-PAY-PERM'!E84</f>
        <v>0</v>
      </c>
      <c r="E79" s="963" t="e">
        <f>'ETAT-PAY-PERM'!F84</f>
        <v>#N/A</v>
      </c>
      <c r="H79" s="1326">
        <f>'ETAT-PAY-PERM'!Z84</f>
        <v>0</v>
      </c>
    </row>
    <row r="80" spans="1:8">
      <c r="A80" s="526">
        <f>'ETAT-PAY-PERM'!A85</f>
        <v>71</v>
      </c>
      <c r="B80" s="962">
        <f>'ETAT-PAY-PERM'!B85</f>
        <v>40</v>
      </c>
      <c r="C80" s="962" t="str">
        <f>'ETAT-PAY-PERM'!C85</f>
        <v/>
      </c>
      <c r="D80" s="962">
        <f>'ETAT-PAY-PERM'!E85</f>
        <v>0</v>
      </c>
      <c r="E80" s="963" t="e">
        <f>'ETAT-PAY-PERM'!F85</f>
        <v>#N/A</v>
      </c>
      <c r="H80" s="1326">
        <f>'ETAT-PAY-PERM'!Z85</f>
        <v>0</v>
      </c>
    </row>
    <row r="81" spans="1:8">
      <c r="A81" s="526">
        <f>'ETAT-PAY-PERM'!A86</f>
        <v>72</v>
      </c>
      <c r="B81" s="962">
        <f>'ETAT-PAY-PERM'!B86</f>
        <v>41</v>
      </c>
      <c r="C81" s="962" t="str">
        <f>'ETAT-PAY-PERM'!C86</f>
        <v/>
      </c>
      <c r="D81" s="962">
        <f>'ETAT-PAY-PERM'!E86</f>
        <v>0</v>
      </c>
      <c r="E81" s="963" t="e">
        <f>'ETAT-PAY-PERM'!F86</f>
        <v>#N/A</v>
      </c>
      <c r="H81" s="1326">
        <f>'ETAT-PAY-PERM'!Z86</f>
        <v>0</v>
      </c>
    </row>
    <row r="82" spans="1:8">
      <c r="A82" s="526">
        <f>'ETAT-PAY-PERM'!A87</f>
        <v>73</v>
      </c>
      <c r="B82" s="962">
        <f>'ETAT-PAY-PERM'!B87</f>
        <v>42</v>
      </c>
      <c r="C82" s="962" t="str">
        <f>'ETAT-PAY-PERM'!C87</f>
        <v/>
      </c>
      <c r="D82" s="962">
        <f>'ETAT-PAY-PERM'!E87</f>
        <v>0</v>
      </c>
      <c r="E82" s="963" t="e">
        <f>'ETAT-PAY-PERM'!F87</f>
        <v>#N/A</v>
      </c>
      <c r="H82" s="1326">
        <f>'ETAT-PAY-PERM'!Z87</f>
        <v>0</v>
      </c>
    </row>
    <row r="83" spans="1:8">
      <c r="A83" s="526">
        <f>'ETAT-PAY-PERM'!A88</f>
        <v>74</v>
      </c>
      <c r="B83" s="962">
        <f>'ETAT-PAY-PERM'!B88</f>
        <v>15</v>
      </c>
      <c r="C83" s="962" t="str">
        <f>'ETAT-PAY-PERM'!C88</f>
        <v/>
      </c>
      <c r="D83" s="962">
        <f>'ETAT-PAY-PERM'!E88</f>
        <v>0</v>
      </c>
      <c r="E83" s="963" t="e">
        <f>'ETAT-PAY-PERM'!F88</f>
        <v>#N/A</v>
      </c>
      <c r="H83" s="1326">
        <f>'ETAT-PAY-PERM'!Z88</f>
        <v>0</v>
      </c>
    </row>
    <row r="84" spans="1:8">
      <c r="A84" s="526">
        <f>'ETAT-PAY-PERM'!A89</f>
        <v>75</v>
      </c>
      <c r="B84" s="962">
        <f>'ETAT-PAY-PERM'!B89</f>
        <v>16</v>
      </c>
      <c r="C84" s="962" t="str">
        <f>'ETAT-PAY-PERM'!C89</f>
        <v/>
      </c>
      <c r="D84" s="962">
        <f>'ETAT-PAY-PERM'!E89</f>
        <v>0</v>
      </c>
      <c r="E84" s="963" t="e">
        <f>'ETAT-PAY-PERM'!F89</f>
        <v>#N/A</v>
      </c>
      <c r="H84" s="1326">
        <f>'ETAT-PAY-PERM'!Z89</f>
        <v>0</v>
      </c>
    </row>
    <row r="85" spans="1:8">
      <c r="A85" s="526">
        <f>'ETAT-PAY-PERM'!A90</f>
        <v>76</v>
      </c>
      <c r="B85" s="962">
        <f>'ETAT-PAY-PERM'!B90</f>
        <v>17</v>
      </c>
      <c r="C85" s="962" t="str">
        <f>'ETAT-PAY-PERM'!C90</f>
        <v/>
      </c>
      <c r="D85" s="962">
        <f>'ETAT-PAY-PERM'!E90</f>
        <v>0</v>
      </c>
      <c r="E85" s="963" t="e">
        <f>'ETAT-PAY-PERM'!F90</f>
        <v>#N/A</v>
      </c>
      <c r="H85" s="1326">
        <f>'ETAT-PAY-PERM'!Z90</f>
        <v>0</v>
      </c>
    </row>
    <row r="86" spans="1:8">
      <c r="A86" s="526">
        <f>'ETAT-PAY-PERM'!A91</f>
        <v>77</v>
      </c>
      <c r="B86" s="962">
        <f>'ETAT-PAY-PERM'!B91</f>
        <v>5</v>
      </c>
      <c r="C86" s="962" t="str">
        <f>'ETAT-PAY-PERM'!C91</f>
        <v/>
      </c>
      <c r="D86" s="962">
        <f>'ETAT-PAY-PERM'!E91</f>
        <v>0</v>
      </c>
      <c r="E86" s="963" t="e">
        <f>'ETAT-PAY-PERM'!F91</f>
        <v>#N/A</v>
      </c>
      <c r="H86" s="1326">
        <f>'ETAT-PAY-PERM'!Z91</f>
        <v>0</v>
      </c>
    </row>
    <row r="87" spans="1:8">
      <c r="A87" s="526">
        <f>'ETAT-PAY-PERM'!A92</f>
        <v>78</v>
      </c>
      <c r="B87" s="962">
        <f>'ETAT-PAY-PERM'!B92</f>
        <v>18</v>
      </c>
      <c r="C87" s="962" t="str">
        <f>'ETAT-PAY-PERM'!C92</f>
        <v/>
      </c>
      <c r="D87" s="962">
        <f>'ETAT-PAY-PERM'!E92</f>
        <v>0</v>
      </c>
      <c r="E87" s="963" t="e">
        <f>'ETAT-PAY-PERM'!F92</f>
        <v>#N/A</v>
      </c>
      <c r="H87" s="1326">
        <f>'ETAT-PAY-PERM'!Z92</f>
        <v>0</v>
      </c>
    </row>
    <row r="88" spans="1:8" ht="34.5" customHeight="1">
      <c r="B88" s="1634" t="s">
        <v>265</v>
      </c>
      <c r="C88" s="1634"/>
      <c r="D88" s="1634"/>
      <c r="E88" s="525">
        <f>SUMIF(H10:H87,H88,E10:E87)</f>
        <v>770058.66</v>
      </c>
      <c r="G88" s="464">
        <f>'ETAT-PAY-PERM'!F94</f>
        <v>770058.66</v>
      </c>
      <c r="H88" s="1326" t="s">
        <v>550</v>
      </c>
    </row>
    <row r="89" spans="1:8" ht="30">
      <c r="B89" s="465"/>
      <c r="C89" s="1338">
        <f>الرئيسية!N10</f>
        <v>43617</v>
      </c>
      <c r="D89" s="275"/>
      <c r="E89" s="466" t="s">
        <v>65</v>
      </c>
      <c r="G89" s="464">
        <f>E88-G88</f>
        <v>0</v>
      </c>
      <c r="H89" s="1326" t="s">
        <v>550</v>
      </c>
    </row>
    <row r="90" spans="1:8" ht="34.5" customHeight="1">
      <c r="B90" s="1634" t="s">
        <v>265</v>
      </c>
      <c r="C90" s="1634"/>
      <c r="D90" s="1634"/>
      <c r="E90" s="463">
        <f>SUMIF(H10:H87,H90,E10:E87)</f>
        <v>295958.37</v>
      </c>
      <c r="G90" s="464">
        <f>'ETAT-PAY-PERM'!F99</f>
        <v>295958.37</v>
      </c>
      <c r="H90" s="1326" t="s">
        <v>549</v>
      </c>
    </row>
    <row r="91" spans="1:8" ht="30">
      <c r="B91" s="465"/>
      <c r="C91" s="1338">
        <f>C89</f>
        <v>43617</v>
      </c>
      <c r="D91" s="275"/>
      <c r="E91" s="466" t="s">
        <v>65</v>
      </c>
      <c r="G91" s="464">
        <f>E90-G90</f>
        <v>0</v>
      </c>
      <c r="H91" s="1326" t="s">
        <v>549</v>
      </c>
    </row>
    <row r="92" spans="1:8" ht="34.5" customHeight="1">
      <c r="B92" s="1634" t="s">
        <v>265</v>
      </c>
      <c r="C92" s="1634"/>
      <c r="D92" s="1634"/>
      <c r="E92" s="463">
        <f>SUMIF(H10:H87,H92,E10:E87)</f>
        <v>178566.28</v>
      </c>
      <c r="G92" s="464">
        <f>'ETAT-PAY-PERM'!F105</f>
        <v>178566.28</v>
      </c>
      <c r="H92" s="1326" t="s">
        <v>548</v>
      </c>
    </row>
    <row r="93" spans="1:8" ht="30">
      <c r="B93" s="465"/>
      <c r="C93" s="1338">
        <f>C91</f>
        <v>43617</v>
      </c>
      <c r="D93" s="275"/>
      <c r="E93" s="466" t="s">
        <v>65</v>
      </c>
      <c r="G93" s="464">
        <f>E92-G92</f>
        <v>0</v>
      </c>
      <c r="H93" s="1326" t="s">
        <v>548</v>
      </c>
    </row>
    <row r="94" spans="1:8" ht="34.5" customHeight="1">
      <c r="B94" s="1634" t="s">
        <v>265</v>
      </c>
      <c r="C94" s="1634"/>
      <c r="D94" s="1634"/>
      <c r="E94" s="463">
        <f>SUMIF(H10:H87,H94,E10:E87)</f>
        <v>238512.25</v>
      </c>
      <c r="G94" s="464">
        <f>'ETAT-PAY-PERM'!F110</f>
        <v>238512.25</v>
      </c>
      <c r="H94" s="1326" t="s">
        <v>561</v>
      </c>
    </row>
    <row r="95" spans="1:8" ht="30">
      <c r="B95" s="465"/>
      <c r="C95" s="1338">
        <f>C93</f>
        <v>43617</v>
      </c>
      <c r="D95" s="275"/>
      <c r="E95" s="466" t="s">
        <v>65</v>
      </c>
      <c r="G95" s="464">
        <f>E94-G94</f>
        <v>0</v>
      </c>
      <c r="H95" s="1326" t="s">
        <v>561</v>
      </c>
    </row>
    <row r="96" spans="1:8" ht="34.5" customHeight="1">
      <c r="B96" s="1634" t="s">
        <v>265</v>
      </c>
      <c r="C96" s="1634"/>
      <c r="D96" s="1634"/>
      <c r="E96" s="463">
        <f>SUMIF(H10:H87,H96,E10:E87)</f>
        <v>1432551.89</v>
      </c>
      <c r="G96" s="464">
        <f>'ETAT-PAY-PERM'!F115</f>
        <v>1432551.89</v>
      </c>
      <c r="H96" s="1326" t="s">
        <v>562</v>
      </c>
    </row>
    <row r="97" spans="2:8" ht="30">
      <c r="B97" s="465"/>
      <c r="C97" s="1338">
        <f>C95</f>
        <v>43617</v>
      </c>
      <c r="D97" s="275"/>
      <c r="E97" s="466" t="s">
        <v>65</v>
      </c>
      <c r="G97" s="464">
        <f>E96-G96</f>
        <v>0</v>
      </c>
      <c r="H97" s="1326" t="s">
        <v>562</v>
      </c>
    </row>
  </sheetData>
  <autoFilter ref="H9:H97"/>
  <mergeCells count="7">
    <mergeCell ref="B94:D94"/>
    <mergeCell ref="B96:D96"/>
    <mergeCell ref="C7:D7"/>
    <mergeCell ref="B1:E1"/>
    <mergeCell ref="B88:D88"/>
    <mergeCell ref="B90:D90"/>
    <mergeCell ref="B92:D92"/>
  </mergeCells>
  <phoneticPr fontId="2" type="noConversion"/>
  <dataValidations count="1">
    <dataValidation type="list" allowBlank="1" showInputMessage="1" showErrorMessage="1" sqref="D4">
      <formula1>'ورقة العمل'!Y2:Y5</formula1>
    </dataValidation>
  </dataValidations>
  <printOptions horizontalCentered="1"/>
  <pageMargins left="0.19685039370078741" right="0.19685039370078741" top="0.39370078740157483" bottom="0.59055118110236227" header="0" footer="0"/>
  <pageSetup paperSize="134" scale="95" orientation="portrait" horizontalDpi="180" verticalDpi="18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sheetPr filterMode="1">
    <tabColor rgb="FF00B050"/>
  </sheetPr>
  <dimension ref="B2:O95"/>
  <sheetViews>
    <sheetView rightToLeft="1" view="pageBreakPreview" zoomScale="70" zoomScaleSheetLayoutView="70" workbookViewId="0">
      <selection activeCell="H43" sqref="H43"/>
    </sheetView>
  </sheetViews>
  <sheetFormatPr baseColWidth="10" defaultRowHeight="12.75"/>
  <cols>
    <col min="2" max="2" width="19.85546875" customWidth="1"/>
    <col min="3" max="3" width="16.5703125" customWidth="1"/>
    <col min="4" max="4" width="21.7109375" customWidth="1"/>
    <col min="5" max="5" width="35.28515625" customWidth="1"/>
    <col min="6" max="6" width="17.5703125" customWidth="1"/>
    <col min="7" max="7" width="0" hidden="1" customWidth="1"/>
    <col min="8" max="8" width="24.5703125" customWidth="1"/>
    <col min="9" max="11" width="8.140625" customWidth="1"/>
    <col min="12" max="12" width="15.140625" customWidth="1"/>
    <col min="13" max="13" width="21.85546875" bestFit="1" customWidth="1"/>
    <col min="14" max="14" width="18" bestFit="1" customWidth="1"/>
  </cols>
  <sheetData>
    <row r="2" spans="2:12" ht="23.25">
      <c r="B2" s="1638" t="s">
        <v>266</v>
      </c>
      <c r="C2" s="1638"/>
      <c r="D2" s="1638"/>
      <c r="E2" s="1638"/>
      <c r="F2" s="467" t="s">
        <v>267</v>
      </c>
      <c r="I2" s="532"/>
      <c r="J2" s="532"/>
      <c r="K2" s="532"/>
      <c r="L2" s="532"/>
    </row>
    <row r="3" spans="2:12" ht="18">
      <c r="C3" s="468" t="s">
        <v>268</v>
      </c>
      <c r="I3" s="532"/>
      <c r="J3" s="532"/>
      <c r="K3" s="532"/>
      <c r="L3" s="532"/>
    </row>
    <row r="4" spans="2:12" ht="26.25">
      <c r="C4" s="469" t="s">
        <v>269</v>
      </c>
      <c r="E4" s="964">
        <v>73</v>
      </c>
      <c r="F4" s="467" t="s">
        <v>270</v>
      </c>
      <c r="I4" s="532"/>
      <c r="J4" s="532"/>
      <c r="K4" s="532"/>
      <c r="L4" s="532"/>
    </row>
    <row r="5" spans="2:12" ht="18">
      <c r="C5" s="468"/>
      <c r="I5" s="532"/>
      <c r="J5" s="532"/>
      <c r="K5" s="532"/>
      <c r="L5" s="532"/>
    </row>
    <row r="6" spans="2:12" ht="23.25">
      <c r="B6" s="1639" t="s">
        <v>271</v>
      </c>
      <c r="C6" s="1639"/>
      <c r="D6" s="1639"/>
      <c r="E6" s="1639"/>
      <c r="F6" s="1639"/>
      <c r="H6" s="1"/>
      <c r="I6" s="307"/>
      <c r="J6" s="532"/>
      <c r="K6" s="532"/>
      <c r="L6" s="532"/>
    </row>
    <row r="8" spans="2:12" ht="33.75">
      <c r="H8" s="302"/>
      <c r="I8" s="303"/>
    </row>
    <row r="10" spans="2:12" ht="18">
      <c r="F10" s="470" t="s">
        <v>272</v>
      </c>
    </row>
    <row r="11" spans="2:12" ht="18">
      <c r="F11" s="470" t="s">
        <v>273</v>
      </c>
    </row>
    <row r="13" spans="2:12" ht="38.25" customHeight="1">
      <c r="B13" s="471" t="s">
        <v>274</v>
      </c>
      <c r="C13" s="472" t="s">
        <v>275</v>
      </c>
      <c r="D13" s="472" t="s">
        <v>276</v>
      </c>
      <c r="E13" s="472" t="s">
        <v>277</v>
      </c>
      <c r="F13" s="472" t="s">
        <v>278</v>
      </c>
      <c r="H13" s="1308" t="s">
        <v>562</v>
      </c>
    </row>
    <row r="14" spans="2:12" ht="25.5" hidden="1" customHeight="1">
      <c r="B14" s="535">
        <f>'ETAT-PAY-PERM'!F15</f>
        <v>178566.28</v>
      </c>
      <c r="C14" s="534" t="s">
        <v>659</v>
      </c>
      <c r="D14" s="965">
        <f>'ETAT-PAY-PERM'!E15</f>
        <v>2525252</v>
      </c>
      <c r="E14" s="965" t="str">
        <f>'ETAT-PAY-PERM'!C15</f>
        <v>لللللللللللللللللللللل</v>
      </c>
      <c r="F14" s="534">
        <f>'ETAT-PAY-PERM'!B15</f>
        <v>1</v>
      </c>
      <c r="H14" s="1" t="str">
        <f>'ETAT-PAY-PERM'!Z15</f>
        <v>لبنك الوطني الجزائري</v>
      </c>
    </row>
    <row r="15" spans="2:12" ht="25.5" hidden="1" customHeight="1">
      <c r="B15" s="535">
        <f>'ETAT-PAY-PERM'!F16</f>
        <v>151377.62</v>
      </c>
      <c r="C15" s="534" t="s">
        <v>659</v>
      </c>
      <c r="D15" s="965">
        <f>'ETAT-PAY-PERM'!E16</f>
        <v>326532</v>
      </c>
      <c r="E15" s="965" t="str">
        <f>'ETAT-PAY-PERM'!C16</f>
        <v>فففففففففففففففففففف</v>
      </c>
      <c r="F15" s="534">
        <f>'ETAT-PAY-PERM'!B16</f>
        <v>1</v>
      </c>
      <c r="H15" s="1" t="str">
        <f>'ETAT-PAY-PERM'!Z16</f>
        <v>بنك الفلاحة و التنمية الريفية</v>
      </c>
    </row>
    <row r="16" spans="2:12" ht="25.5" customHeight="1">
      <c r="B16" s="535">
        <f>'ETAT-PAY-PERM'!F17</f>
        <v>83164.899999999994</v>
      </c>
      <c r="C16" s="534" t="s">
        <v>659</v>
      </c>
      <c r="D16" s="965">
        <f>'ETAT-PAY-PERM'!E17</f>
        <v>22222222222</v>
      </c>
      <c r="E16" s="965" t="str">
        <f>'ETAT-PAY-PERM'!C17</f>
        <v>يسلللللللسيييييييي</v>
      </c>
      <c r="F16" s="534">
        <f>'ETAT-PAY-PERM'!B17</f>
        <v>1</v>
      </c>
      <c r="H16" s="1330" t="str">
        <f>'ETAT-PAY-PERM'!Z17</f>
        <v>الحساب الجاري البريدي</v>
      </c>
    </row>
    <row r="17" spans="2:8" ht="25.5" hidden="1" customHeight="1">
      <c r="B17" s="535">
        <f>'ETAT-PAY-PERM'!F18</f>
        <v>80407.009999999995</v>
      </c>
      <c r="C17" s="534" t="s">
        <v>659</v>
      </c>
      <c r="D17" s="965">
        <f>'ETAT-PAY-PERM'!E18</f>
        <v>111111111</v>
      </c>
      <c r="E17" s="965" t="str">
        <f>'ETAT-PAY-PERM'!C18</f>
        <v>ررءرءؤرؤءرليسليسليسل</v>
      </c>
      <c r="F17" s="534">
        <f>'ETAT-PAY-PERM'!B18</f>
        <v>1</v>
      </c>
      <c r="H17" s="1" t="str">
        <f>'ETAT-PAY-PERM'!Z18</f>
        <v>الخزينة الولائية</v>
      </c>
    </row>
    <row r="18" spans="2:8" ht="25.5" hidden="1" customHeight="1">
      <c r="B18" s="535">
        <f>'ETAT-PAY-PERM'!F19</f>
        <v>65454.79</v>
      </c>
      <c r="C18" s="534" t="s">
        <v>659</v>
      </c>
      <c r="D18" s="965">
        <f>'ETAT-PAY-PERM'!E19</f>
        <v>555555</v>
      </c>
      <c r="E18" s="965" t="str">
        <f>'ETAT-PAY-PERM'!C19</f>
        <v>صثقصقثصقضشللبيسلبيشل</v>
      </c>
      <c r="F18" s="534">
        <f>'ETAT-PAY-PERM'!B19</f>
        <v>2</v>
      </c>
      <c r="H18" s="1" t="str">
        <f>'ETAT-PAY-PERM'!Z19</f>
        <v>الخزينة الولائية</v>
      </c>
    </row>
    <row r="19" spans="2:8" ht="25.5" hidden="1" customHeight="1">
      <c r="B19" s="535">
        <f>'ETAT-PAY-PERM'!F20</f>
        <v>90060.77</v>
      </c>
      <c r="C19" s="534" t="s">
        <v>659</v>
      </c>
      <c r="D19" s="965">
        <f>'ETAT-PAY-PERM'!E20</f>
        <v>6666666</v>
      </c>
      <c r="E19" s="965" t="str">
        <f>'ETAT-PAY-PERM'!C20</f>
        <v>صثقثصقثصقصثرسيبرشبيسب</v>
      </c>
      <c r="F19" s="534">
        <f>'ETAT-PAY-PERM'!B20</f>
        <v>3</v>
      </c>
      <c r="H19" s="1" t="str">
        <f>'ETAT-PAY-PERM'!Z20</f>
        <v>الخزينة الولائية</v>
      </c>
    </row>
    <row r="20" spans="2:8" ht="25.5" customHeight="1">
      <c r="B20" s="535">
        <f>'ETAT-PAY-PERM'!F21</f>
        <v>60679.34</v>
      </c>
      <c r="C20" s="534" t="s">
        <v>659</v>
      </c>
      <c r="D20" s="965">
        <f>'ETAT-PAY-PERM'!E21</f>
        <v>7777777777</v>
      </c>
      <c r="E20" s="965" t="str">
        <f>'ETAT-PAY-PERM'!C21</f>
        <v>للللللللبيسلبيليبسل</v>
      </c>
      <c r="F20" s="534">
        <f>'ETAT-PAY-PERM'!B21</f>
        <v>2</v>
      </c>
      <c r="H20" s="1330" t="str">
        <f>'ETAT-PAY-PERM'!Z21</f>
        <v>الحساب الجاري البريدي</v>
      </c>
    </row>
    <row r="21" spans="2:8" ht="25.5" hidden="1" customHeight="1">
      <c r="B21" s="535">
        <f>'ETAT-PAY-PERM'!F22</f>
        <v>85819.56</v>
      </c>
      <c r="C21" s="534" t="s">
        <v>659</v>
      </c>
      <c r="D21" s="965">
        <f>'ETAT-PAY-PERM'!E22</f>
        <v>7777777777</v>
      </c>
      <c r="E21" s="965" t="str">
        <f>'ETAT-PAY-PERM'!C22</f>
        <v>ففففففففلللللللللللللل</v>
      </c>
      <c r="F21" s="534">
        <f>'ETAT-PAY-PERM'!B22</f>
        <v>1</v>
      </c>
      <c r="H21" s="1" t="str">
        <f>'ETAT-PAY-PERM'!Z22</f>
        <v>بنك التنمية المحلية</v>
      </c>
    </row>
    <row r="22" spans="2:8" ht="25.5" hidden="1" customHeight="1">
      <c r="B22" s="535">
        <f>'ETAT-PAY-PERM'!F23</f>
        <v>95830.93</v>
      </c>
      <c r="C22" s="534" t="s">
        <v>659</v>
      </c>
      <c r="D22" s="965">
        <f>'ETAT-PAY-PERM'!E23</f>
        <v>7777777777</v>
      </c>
      <c r="E22" s="965" t="str">
        <f>'ETAT-PAY-PERM'!C23</f>
        <v>سييييييييفففففففففففف</v>
      </c>
      <c r="F22" s="534">
        <f>'ETAT-PAY-PERM'!B23</f>
        <v>2</v>
      </c>
      <c r="H22" s="1" t="str">
        <f>'ETAT-PAY-PERM'!Z23</f>
        <v>بنك الفلاحة و التنمية الريفية</v>
      </c>
    </row>
    <row r="23" spans="2:8" ht="25.5" customHeight="1">
      <c r="B23" s="535">
        <f>'ETAT-PAY-PERM'!F24</f>
        <v>62051.46</v>
      </c>
      <c r="C23" s="534" t="s">
        <v>659</v>
      </c>
      <c r="D23" s="965">
        <f>'ETAT-PAY-PERM'!E24</f>
        <v>7777777777</v>
      </c>
      <c r="E23" s="965" t="str">
        <f>'ETAT-PAY-PERM'!C24</f>
        <v>ليسليسليسليسللللللل</v>
      </c>
      <c r="F23" s="534">
        <f>'ETAT-PAY-PERM'!B24</f>
        <v>3</v>
      </c>
      <c r="H23" s="1330" t="str">
        <f>'ETAT-PAY-PERM'!Z24</f>
        <v>الحساب الجاري البريدي</v>
      </c>
    </row>
    <row r="24" spans="2:8" ht="25.5" customHeight="1">
      <c r="B24" s="535">
        <f>'ETAT-PAY-PERM'!F25</f>
        <v>89034.69</v>
      </c>
      <c r="C24" s="534" t="s">
        <v>659</v>
      </c>
      <c r="D24" s="965">
        <f>'ETAT-PAY-PERM'!E25</f>
        <v>7777777777</v>
      </c>
      <c r="E24" s="965" t="str">
        <f>'ETAT-PAY-PERM'!C25</f>
        <v>شللبيسلبيشلررءرءؤرؤءر</v>
      </c>
      <c r="F24" s="534">
        <f>'ETAT-PAY-PERM'!B25</f>
        <v>4</v>
      </c>
      <c r="H24" s="1330" t="str">
        <f>'ETAT-PAY-PERM'!Z25</f>
        <v>الحساب الجاري البريدي</v>
      </c>
    </row>
    <row r="25" spans="2:8" s="536" customFormat="1" ht="21" hidden="1" customHeight="1">
      <c r="B25" s="535">
        <f>'ETAT-PAY-PERM'!F26</f>
        <v>79140.929999999993</v>
      </c>
      <c r="C25" s="534" t="s">
        <v>659</v>
      </c>
      <c r="D25" s="965">
        <f>'ETAT-PAY-PERM'!E26</f>
        <v>7777777777</v>
      </c>
      <c r="E25" s="965" t="str">
        <f>'ETAT-PAY-PERM'!C26</f>
        <v>رسيبرشبيسبصثقصقثصقض</v>
      </c>
      <c r="F25" s="534">
        <f>'ETAT-PAY-PERM'!B26</f>
        <v>4</v>
      </c>
      <c r="G25"/>
      <c r="H25" s="1" t="str">
        <f>'ETAT-PAY-PERM'!Z26</f>
        <v>الخزينة الولائية</v>
      </c>
    </row>
    <row r="26" spans="2:8" s="536" customFormat="1" ht="21" hidden="1" customHeight="1">
      <c r="B26" s="535">
        <f>'ETAT-PAY-PERM'!F27</f>
        <v>58707.15</v>
      </c>
      <c r="C26" s="534" t="s">
        <v>659</v>
      </c>
      <c r="D26" s="965">
        <f>'ETAT-PAY-PERM'!E27</f>
        <v>7777777777</v>
      </c>
      <c r="E26" s="965" t="str">
        <f>'ETAT-PAY-PERM'!C27</f>
        <v>بيسلبيليبسلصثقثصقثصقصث</v>
      </c>
      <c r="F26" s="534">
        <f>'ETAT-PAY-PERM'!B27</f>
        <v>5</v>
      </c>
      <c r="G26"/>
      <c r="H26" s="1" t="str">
        <f>'ETAT-PAY-PERM'!Z27</f>
        <v>الخزينة الولائية</v>
      </c>
    </row>
    <row r="27" spans="2:8" ht="25.5" customHeight="1">
      <c r="B27" s="535">
        <f>'ETAT-PAY-PERM'!F28</f>
        <v>61350.15</v>
      </c>
      <c r="C27" s="534" t="s">
        <v>659</v>
      </c>
      <c r="D27" s="965">
        <f>'ETAT-PAY-PERM'!E28</f>
        <v>7777777777</v>
      </c>
      <c r="E27" s="965" t="str">
        <f>'ETAT-PAY-PERM'!C28</f>
        <v>لللللللللللللللللللللل</v>
      </c>
      <c r="F27" s="534">
        <f>'ETAT-PAY-PERM'!B28</f>
        <v>5</v>
      </c>
      <c r="H27" s="1330" t="str">
        <f>'ETAT-PAY-PERM'!Z28</f>
        <v>الحساب الجاري البريدي</v>
      </c>
    </row>
    <row r="28" spans="2:8" ht="25.5" customHeight="1">
      <c r="B28" s="535">
        <f>'ETAT-PAY-PERM'!F29</f>
        <v>61350.15</v>
      </c>
      <c r="C28" s="534" t="s">
        <v>659</v>
      </c>
      <c r="D28" s="965">
        <f>'ETAT-PAY-PERM'!E29</f>
        <v>7777777777</v>
      </c>
      <c r="E28" s="965" t="str">
        <f>'ETAT-PAY-PERM'!C29</f>
        <v>فففففففففففففففففففف</v>
      </c>
      <c r="F28" s="534">
        <f>'ETAT-PAY-PERM'!B29</f>
        <v>6</v>
      </c>
      <c r="H28" s="1330" t="str">
        <f>'ETAT-PAY-PERM'!Z29</f>
        <v>الحساب الجاري البريدي</v>
      </c>
    </row>
    <row r="29" spans="2:8" s="536" customFormat="1" ht="21" customHeight="1">
      <c r="B29" s="535">
        <f>'ETAT-PAY-PERM'!F30</f>
        <v>56184.31</v>
      </c>
      <c r="C29" s="534" t="s">
        <v>659</v>
      </c>
      <c r="D29" s="965">
        <f>'ETAT-PAY-PERM'!E30</f>
        <v>11111111111</v>
      </c>
      <c r="E29" s="965" t="str">
        <f>'ETAT-PAY-PERM'!C30</f>
        <v>يسلللللللسيييييييي</v>
      </c>
      <c r="F29" s="534">
        <f>'ETAT-PAY-PERM'!B30</f>
        <v>7</v>
      </c>
      <c r="G29"/>
      <c r="H29" s="1330" t="str">
        <f>'ETAT-PAY-PERM'!Z30</f>
        <v>الحساب الجاري البريدي</v>
      </c>
    </row>
    <row r="30" spans="2:8" s="536" customFormat="1" ht="21" hidden="1" customHeight="1">
      <c r="B30" s="535">
        <f>'ETAT-PAY-PERM'!F31</f>
        <v>47660.74</v>
      </c>
      <c r="C30" s="534" t="s">
        <v>659</v>
      </c>
      <c r="D30" s="965">
        <f>'ETAT-PAY-PERM'!E31</f>
        <v>11111111111</v>
      </c>
      <c r="E30" s="965" t="str">
        <f>'ETAT-PAY-PERM'!C31</f>
        <v>ررءرءؤرؤءرليسليسليسل</v>
      </c>
      <c r="F30" s="534">
        <f>'ETAT-PAY-PERM'!B31</f>
        <v>6</v>
      </c>
      <c r="G30"/>
      <c r="H30" s="1" t="str">
        <f>'ETAT-PAY-PERM'!Z31</f>
        <v>الخزينة الولائية</v>
      </c>
    </row>
    <row r="31" spans="2:8" s="536" customFormat="1" ht="21" customHeight="1">
      <c r="B31" s="535">
        <f>'ETAT-PAY-PERM'!F32</f>
        <v>66126.240000000005</v>
      </c>
      <c r="C31" s="534" t="s">
        <v>659</v>
      </c>
      <c r="D31" s="965">
        <f>'ETAT-PAY-PERM'!E32</f>
        <v>11111111111</v>
      </c>
      <c r="E31" s="965" t="str">
        <f>'ETAT-PAY-PERM'!C32</f>
        <v>صثقصقثصقضشللبيسلبيشل</v>
      </c>
      <c r="F31" s="534">
        <f>'ETAT-PAY-PERM'!B32</f>
        <v>8</v>
      </c>
      <c r="G31"/>
      <c r="H31" s="1330" t="str">
        <f>'ETAT-PAY-PERM'!Z32</f>
        <v>الحساب الجاري البريدي</v>
      </c>
    </row>
    <row r="32" spans="2:8" s="536" customFormat="1" ht="21" hidden="1" customHeight="1">
      <c r="B32" s="535">
        <f>'ETAT-PAY-PERM'!F33</f>
        <v>49068.85</v>
      </c>
      <c r="C32" s="534" t="s">
        <v>659</v>
      </c>
      <c r="D32" s="965">
        <f>'ETAT-PAY-PERM'!E33</f>
        <v>11111111111</v>
      </c>
      <c r="E32" s="965" t="str">
        <f>'ETAT-PAY-PERM'!C33</f>
        <v>صثقثصقثصقصثرسيبرشبيسب</v>
      </c>
      <c r="F32" s="534">
        <f>'ETAT-PAY-PERM'!B33</f>
        <v>9</v>
      </c>
      <c r="G32"/>
      <c r="H32" s="1" t="str">
        <f>'ETAT-PAY-PERM'!Z33</f>
        <v>الخزينة الولائية</v>
      </c>
    </row>
    <row r="33" spans="2:8" s="536" customFormat="1" ht="21" hidden="1" customHeight="1">
      <c r="B33" s="535">
        <f>'ETAT-PAY-PERM'!F34</f>
        <v>53563.31</v>
      </c>
      <c r="C33" s="534" t="s">
        <v>659</v>
      </c>
      <c r="D33" s="965">
        <f>'ETAT-PAY-PERM'!E34</f>
        <v>11111111111</v>
      </c>
      <c r="E33" s="965" t="str">
        <f>'ETAT-PAY-PERM'!C34</f>
        <v>للللللللبيسلبيليبسل</v>
      </c>
      <c r="F33" s="534">
        <f>'ETAT-PAY-PERM'!B34</f>
        <v>8</v>
      </c>
      <c r="G33"/>
      <c r="H33" s="1" t="str">
        <f>'ETAT-PAY-PERM'!Z34</f>
        <v>الخزينة الولائية</v>
      </c>
    </row>
    <row r="34" spans="2:8" ht="25.5" customHeight="1">
      <c r="B34" s="535">
        <f>'ETAT-PAY-PERM'!F35</f>
        <v>47230.720000000001</v>
      </c>
      <c r="C34" s="534" t="s">
        <v>659</v>
      </c>
      <c r="D34" s="965">
        <f>'ETAT-PAY-PERM'!E35</f>
        <v>11111111111</v>
      </c>
      <c r="E34" s="965" t="str">
        <f>'ETAT-PAY-PERM'!C35</f>
        <v>ففففففففلللللللللللللل</v>
      </c>
      <c r="F34" s="534">
        <f>'ETAT-PAY-PERM'!B35</f>
        <v>9</v>
      </c>
      <c r="H34" s="1330" t="str">
        <f>'ETAT-PAY-PERM'!Z35</f>
        <v>الحساب الجاري البريدي</v>
      </c>
    </row>
    <row r="35" spans="2:8" ht="25.5" customHeight="1">
      <c r="B35" s="535">
        <f>'ETAT-PAY-PERM'!F36</f>
        <v>56961.31</v>
      </c>
      <c r="C35" s="534" t="s">
        <v>659</v>
      </c>
      <c r="D35" s="965">
        <f>'ETAT-PAY-PERM'!E36</f>
        <v>11111111111</v>
      </c>
      <c r="E35" s="965" t="str">
        <f>'ETAT-PAY-PERM'!C36</f>
        <v>سييييييييفففففففففففف</v>
      </c>
      <c r="F35" s="534">
        <f>'ETAT-PAY-PERM'!B36</f>
        <v>10</v>
      </c>
      <c r="H35" s="1330" t="str">
        <f>'ETAT-PAY-PERM'!Z36</f>
        <v>الحساب الجاري البريدي</v>
      </c>
    </row>
    <row r="36" spans="2:8" s="536" customFormat="1" ht="21" customHeight="1">
      <c r="B36" s="535">
        <f>'ETAT-PAY-PERM'!F37</f>
        <v>46805.72</v>
      </c>
      <c r="C36" s="534" t="s">
        <v>659</v>
      </c>
      <c r="D36" s="965">
        <f>'ETAT-PAY-PERM'!E37</f>
        <v>11111111111</v>
      </c>
      <c r="E36" s="965" t="str">
        <f>'ETAT-PAY-PERM'!C37</f>
        <v>ليسليسليسليسللللللل</v>
      </c>
      <c r="F36" s="534">
        <f>'ETAT-PAY-PERM'!B37</f>
        <v>11</v>
      </c>
      <c r="G36"/>
      <c r="H36" s="1330" t="str">
        <f>'ETAT-PAY-PERM'!Z37</f>
        <v>الحساب الجاري البريدي</v>
      </c>
    </row>
    <row r="37" spans="2:8" s="536" customFormat="1" ht="21" hidden="1" customHeight="1">
      <c r="B37" s="535">
        <f>'ETAT-PAY-PERM'!F38</f>
        <v>54808.79</v>
      </c>
      <c r="C37" s="534" t="s">
        <v>659</v>
      </c>
      <c r="D37" s="965">
        <f>'ETAT-PAY-PERM'!E38</f>
        <v>11111111111</v>
      </c>
      <c r="E37" s="965" t="str">
        <f>'ETAT-PAY-PERM'!C38</f>
        <v>شللبيسلبيشلررءرءؤرؤءر</v>
      </c>
      <c r="F37" s="534">
        <f>'ETAT-PAY-PERM'!B38</f>
        <v>9</v>
      </c>
      <c r="G37"/>
      <c r="H37" s="1" t="str">
        <f>'ETAT-PAY-PERM'!Z38</f>
        <v>الخزينة الولائية</v>
      </c>
    </row>
    <row r="38" spans="2:8" s="536" customFormat="1" ht="21" customHeight="1">
      <c r="B38" s="535">
        <f>'ETAT-PAY-PERM'!F39</f>
        <v>50634.14</v>
      </c>
      <c r="C38" s="534" t="s">
        <v>659</v>
      </c>
      <c r="D38" s="965">
        <f>'ETAT-PAY-PERM'!E39</f>
        <v>11111111111</v>
      </c>
      <c r="E38" s="965" t="str">
        <f>'ETAT-PAY-PERM'!C39</f>
        <v>رسيبرشبيسبصثقصقثصقض</v>
      </c>
      <c r="F38" s="534">
        <f>'ETAT-PAY-PERM'!B39</f>
        <v>12</v>
      </c>
      <c r="G38"/>
      <c r="H38" s="1330" t="str">
        <f>'ETAT-PAY-PERM'!Z39</f>
        <v>الحساب الجاري البريدي</v>
      </c>
    </row>
    <row r="39" spans="2:8" ht="25.5" hidden="1" customHeight="1">
      <c r="B39" s="535">
        <f>'ETAT-PAY-PERM'!F40</f>
        <v>48749.82</v>
      </c>
      <c r="C39" s="534" t="s">
        <v>659</v>
      </c>
      <c r="D39" s="965">
        <f>'ETAT-PAY-PERM'!E40</f>
        <v>11111111111</v>
      </c>
      <c r="E39" s="965" t="str">
        <f>'ETAT-PAY-PERM'!C40</f>
        <v>بيسلبيليبسلصثقثصقثصقصث</v>
      </c>
      <c r="F39" s="534">
        <f>'ETAT-PAY-PERM'!B40</f>
        <v>3</v>
      </c>
      <c r="H39" s="1" t="str">
        <f>'ETAT-PAY-PERM'!Z40</f>
        <v>بنك الفلاحة و التنمية الريفية</v>
      </c>
    </row>
    <row r="40" spans="2:8" s="536" customFormat="1" ht="21" hidden="1" customHeight="1">
      <c r="B40" s="535">
        <f>'ETAT-PAY-PERM'!F41</f>
        <v>44013.279999999999</v>
      </c>
      <c r="C40" s="534" t="s">
        <v>659</v>
      </c>
      <c r="D40" s="965">
        <f>'ETAT-PAY-PERM'!E41</f>
        <v>11111111111</v>
      </c>
      <c r="E40" s="965" t="str">
        <f>'ETAT-PAY-PERM'!C41</f>
        <v>لللللللللللللللللللللل</v>
      </c>
      <c r="F40" s="534">
        <f>'ETAT-PAY-PERM'!B41</f>
        <v>2</v>
      </c>
      <c r="G40"/>
      <c r="H40" s="1" t="str">
        <f>'ETAT-PAY-PERM'!Z41</f>
        <v>بنك التنمية المحلية</v>
      </c>
    </row>
    <row r="41" spans="2:8" s="536" customFormat="1" ht="21" hidden="1" customHeight="1">
      <c r="B41" s="535">
        <f>'ETAT-PAY-PERM'!F42</f>
        <v>67187.47</v>
      </c>
      <c r="C41" s="534" t="s">
        <v>659</v>
      </c>
      <c r="D41" s="965">
        <f>'ETAT-PAY-PERM'!E42</f>
        <v>11111111111</v>
      </c>
      <c r="E41" s="965" t="str">
        <f>'ETAT-PAY-PERM'!C42</f>
        <v>فففففففففففففففففففف</v>
      </c>
      <c r="F41" s="534">
        <f>'ETAT-PAY-PERM'!B42</f>
        <v>3</v>
      </c>
      <c r="G41"/>
      <c r="H41" s="1" t="str">
        <f>'ETAT-PAY-PERM'!Z42</f>
        <v>بنك التنمية المحلية</v>
      </c>
    </row>
    <row r="42" spans="2:8" s="536" customFormat="1" ht="21" hidden="1" customHeight="1">
      <c r="B42" s="535">
        <f>'ETAT-PAY-PERM'!F43</f>
        <v>71252.47</v>
      </c>
      <c r="C42" s="534" t="s">
        <v>659</v>
      </c>
      <c r="D42" s="965">
        <f>'ETAT-PAY-PERM'!E43</f>
        <v>11111111111</v>
      </c>
      <c r="E42" s="965" t="str">
        <f>'ETAT-PAY-PERM'!C43</f>
        <v>يسلللللللسيييييييي</v>
      </c>
      <c r="F42" s="534">
        <f>'ETAT-PAY-PERM'!B43</f>
        <v>10</v>
      </c>
      <c r="G42"/>
      <c r="H42" s="1" t="str">
        <f>'ETAT-PAY-PERM'!Z43</f>
        <v>الخزينة الولائية</v>
      </c>
    </row>
    <row r="43" spans="2:8" ht="25.5" customHeight="1">
      <c r="B43" s="535">
        <f>'ETAT-PAY-PERM'!F44</f>
        <v>58522.76</v>
      </c>
      <c r="C43" s="534" t="s">
        <v>659</v>
      </c>
      <c r="D43" s="965">
        <f>'ETAT-PAY-PERM'!E44</f>
        <v>11111111111</v>
      </c>
      <c r="E43" s="965" t="str">
        <f>'ETAT-PAY-PERM'!C44</f>
        <v>ررءرءؤرؤءرليسليسليسل</v>
      </c>
      <c r="F43" s="534">
        <f>'ETAT-PAY-PERM'!B44</f>
        <v>13</v>
      </c>
      <c r="H43" s="1330" t="str">
        <f>'ETAT-PAY-PERM'!Z44</f>
        <v>الحساب الجاري البريدي</v>
      </c>
    </row>
    <row r="44" spans="2:8" s="536" customFormat="1" ht="21" customHeight="1">
      <c r="B44" s="535">
        <f>'ETAT-PAY-PERM'!F45</f>
        <v>20069.060000000001</v>
      </c>
      <c r="C44" s="534" t="s">
        <v>659</v>
      </c>
      <c r="D44" s="965">
        <f>'ETAT-PAY-PERM'!E45</f>
        <v>11111111111</v>
      </c>
      <c r="E44" s="965" t="str">
        <f>'ETAT-PAY-PERM'!C45</f>
        <v>صثقصقثصقضشللبيسلبيشل</v>
      </c>
      <c r="F44" s="534">
        <f>'ETAT-PAY-PERM'!B45</f>
        <v>14</v>
      </c>
      <c r="G44"/>
      <c r="H44" s="1330" t="str">
        <f>'ETAT-PAY-PERM'!Z45</f>
        <v>الحساب الجاري البريدي</v>
      </c>
    </row>
    <row r="45" spans="2:8" ht="25.5" customHeight="1">
      <c r="B45" s="535">
        <f>'ETAT-PAY-PERM'!F46</f>
        <v>52493.07</v>
      </c>
      <c r="C45" s="534" t="s">
        <v>659</v>
      </c>
      <c r="D45" s="965">
        <f>'ETAT-PAY-PERM'!E46</f>
        <v>11111111111</v>
      </c>
      <c r="E45" s="965" t="str">
        <f>'ETAT-PAY-PERM'!C46</f>
        <v>صثقثصقثصقصثرسيبرشبيسب</v>
      </c>
      <c r="F45" s="534">
        <f>'ETAT-PAY-PERM'!B46</f>
        <v>15</v>
      </c>
      <c r="H45" s="1330" t="str">
        <f>'ETAT-PAY-PERM'!Z46</f>
        <v>الحساب الجاري البريدي</v>
      </c>
    </row>
    <row r="46" spans="2:8" ht="25.5" customHeight="1">
      <c r="B46" s="535">
        <f>'ETAT-PAY-PERM'!F47</f>
        <v>43916.36</v>
      </c>
      <c r="C46" s="534" t="s">
        <v>659</v>
      </c>
      <c r="D46" s="965">
        <f>'ETAT-PAY-PERM'!E47</f>
        <v>11111111111</v>
      </c>
      <c r="E46" s="965" t="str">
        <f>'ETAT-PAY-PERM'!C47</f>
        <v>للللللللبيسلبيليبسل</v>
      </c>
      <c r="F46" s="534">
        <f>'ETAT-PAY-PERM'!B47</f>
        <v>16</v>
      </c>
      <c r="H46" s="1330" t="str">
        <f>'ETAT-PAY-PERM'!Z47</f>
        <v>الحساب الجاري البريدي</v>
      </c>
    </row>
    <row r="47" spans="2:8" s="536" customFormat="1" ht="21" customHeight="1">
      <c r="B47" s="535">
        <f>'ETAT-PAY-PERM'!F48</f>
        <v>48381.88</v>
      </c>
      <c r="C47" s="534" t="s">
        <v>659</v>
      </c>
      <c r="D47" s="965">
        <f>'ETAT-PAY-PERM'!E48</f>
        <v>11111111111</v>
      </c>
      <c r="E47" s="965" t="str">
        <f>'ETAT-PAY-PERM'!C48</f>
        <v>ففففففففلللللللللللللل</v>
      </c>
      <c r="F47" s="534">
        <f>'ETAT-PAY-PERM'!B48</f>
        <v>17</v>
      </c>
      <c r="G47"/>
      <c r="H47" s="1330" t="str">
        <f>'ETAT-PAY-PERM'!Z48</f>
        <v>الحساب الجاري البريدي</v>
      </c>
    </row>
    <row r="48" spans="2:8" s="536" customFormat="1" ht="21" customHeight="1">
      <c r="B48" s="535">
        <f>'ETAT-PAY-PERM'!F49</f>
        <v>52812.34</v>
      </c>
      <c r="C48" s="534" t="s">
        <v>659</v>
      </c>
      <c r="D48" s="965">
        <f>'ETAT-PAY-PERM'!E49</f>
        <v>11111111111</v>
      </c>
      <c r="E48" s="965" t="str">
        <f>'ETAT-PAY-PERM'!C49</f>
        <v>سييييييييفففففففففففف</v>
      </c>
      <c r="F48" s="534">
        <f>'ETAT-PAY-PERM'!B49</f>
        <v>18</v>
      </c>
      <c r="G48"/>
      <c r="H48" s="1330" t="str">
        <f>'ETAT-PAY-PERM'!Z49</f>
        <v>الحساب الجاري البريدي</v>
      </c>
    </row>
    <row r="49" spans="2:8" s="536" customFormat="1" ht="21" customHeight="1">
      <c r="B49" s="535">
        <f>'ETAT-PAY-PERM'!F50</f>
        <v>52812.34</v>
      </c>
      <c r="C49" s="534" t="s">
        <v>659</v>
      </c>
      <c r="D49" s="965">
        <f>'ETAT-PAY-PERM'!E50</f>
        <v>11111111111</v>
      </c>
      <c r="E49" s="965" t="str">
        <f>'ETAT-PAY-PERM'!C50</f>
        <v>ليسليسليسليسللللللل</v>
      </c>
      <c r="F49" s="534">
        <f>'ETAT-PAY-PERM'!B50</f>
        <v>19</v>
      </c>
      <c r="G49"/>
      <c r="H49" s="1330" t="str">
        <f>'ETAT-PAY-PERM'!Z50</f>
        <v>الحساب الجاري البريدي</v>
      </c>
    </row>
    <row r="50" spans="2:8" ht="25.5" hidden="1" customHeight="1">
      <c r="B50" s="535">
        <f>'ETAT-PAY-PERM'!F51</f>
        <v>61388.77</v>
      </c>
      <c r="C50" s="534" t="s">
        <v>659</v>
      </c>
      <c r="D50" s="965">
        <f>'ETAT-PAY-PERM'!E51</f>
        <v>11111111111</v>
      </c>
      <c r="E50" s="965" t="str">
        <f>'ETAT-PAY-PERM'!C51</f>
        <v>شللبيسلبيشلررءرءؤرؤءر</v>
      </c>
      <c r="F50" s="534">
        <f>'ETAT-PAY-PERM'!B51</f>
        <v>11</v>
      </c>
      <c r="H50" s="1" t="str">
        <f>'ETAT-PAY-PERM'!Z51</f>
        <v>الخزينة الولائية</v>
      </c>
    </row>
    <row r="51" spans="2:8" ht="25.5" hidden="1" customHeight="1">
      <c r="B51" s="535">
        <f>'ETAT-PAY-PERM'!F52</f>
        <v>58545.08</v>
      </c>
      <c r="C51" s="534" t="s">
        <v>659</v>
      </c>
      <c r="D51" s="965">
        <f>'ETAT-PAY-PERM'!E52</f>
        <v>11111111111</v>
      </c>
      <c r="E51" s="965" t="str">
        <f>'ETAT-PAY-PERM'!C52</f>
        <v>رسيبرشبيسبصثقصقثصقض</v>
      </c>
      <c r="F51" s="534">
        <f>'ETAT-PAY-PERM'!B52</f>
        <v>12</v>
      </c>
      <c r="H51" s="1" t="str">
        <f>'ETAT-PAY-PERM'!Z52</f>
        <v>الخزينة الولائية</v>
      </c>
    </row>
    <row r="52" spans="2:8" s="536" customFormat="1" ht="21" customHeight="1">
      <c r="B52" s="535">
        <f>'ETAT-PAY-PERM'!F53</f>
        <v>51979.28</v>
      </c>
      <c r="C52" s="534" t="s">
        <v>659</v>
      </c>
      <c r="D52" s="965">
        <f>'ETAT-PAY-PERM'!E53</f>
        <v>11111111111</v>
      </c>
      <c r="E52" s="965" t="str">
        <f>'ETAT-PAY-PERM'!C53</f>
        <v>بيسلبيليبسلصثقثصقثصقصث</v>
      </c>
      <c r="F52" s="534">
        <f>'ETAT-PAY-PERM'!B53</f>
        <v>20</v>
      </c>
      <c r="G52"/>
      <c r="H52" s="1330" t="str">
        <f>'ETAT-PAY-PERM'!Z53</f>
        <v>الحساب الجاري البريدي</v>
      </c>
    </row>
    <row r="53" spans="2:8" s="536" customFormat="1" ht="21" customHeight="1">
      <c r="B53" s="535">
        <f>'ETAT-PAY-PERM'!F54</f>
        <v>32143.93</v>
      </c>
      <c r="C53" s="534" t="s">
        <v>659</v>
      </c>
      <c r="D53" s="965">
        <f>'ETAT-PAY-PERM'!E54</f>
        <v>11111111111</v>
      </c>
      <c r="E53" s="965" t="str">
        <f>'ETAT-PAY-PERM'!C54</f>
        <v>لللللللللللللللللللللل</v>
      </c>
      <c r="F53" s="534">
        <f>'ETAT-PAY-PERM'!B54</f>
        <v>21</v>
      </c>
      <c r="G53"/>
      <c r="H53" s="1330" t="str">
        <f>'ETAT-PAY-PERM'!Z54</f>
        <v>الحساب الجاري البريدي</v>
      </c>
    </row>
    <row r="54" spans="2:8" s="536" customFormat="1" ht="21" customHeight="1">
      <c r="B54" s="535">
        <f>'ETAT-PAY-PERM'!F55</f>
        <v>32143.93</v>
      </c>
      <c r="C54" s="534" t="s">
        <v>659</v>
      </c>
      <c r="D54" s="965">
        <f>'ETAT-PAY-PERM'!E55</f>
        <v>11111111111</v>
      </c>
      <c r="E54" s="965" t="str">
        <f>'ETAT-PAY-PERM'!C55</f>
        <v>فففففففففففففففففففف</v>
      </c>
      <c r="F54" s="534">
        <f>'ETAT-PAY-PERM'!B55</f>
        <v>22</v>
      </c>
      <c r="G54"/>
      <c r="H54" s="1330" t="str">
        <f>'ETAT-PAY-PERM'!Z55</f>
        <v>الحساب الجاري البريدي</v>
      </c>
    </row>
    <row r="55" spans="2:8" s="536" customFormat="1" ht="21" customHeight="1">
      <c r="B55" s="535">
        <f>'ETAT-PAY-PERM'!F56</f>
        <v>35567.14</v>
      </c>
      <c r="C55" s="534" t="s">
        <v>659</v>
      </c>
      <c r="D55" s="965">
        <f>'ETAT-PAY-PERM'!E56</f>
        <v>11111111111</v>
      </c>
      <c r="E55" s="965" t="str">
        <f>'ETAT-PAY-PERM'!C56</f>
        <v>يسلللللللسيييييييي</v>
      </c>
      <c r="F55" s="534">
        <f>'ETAT-PAY-PERM'!B56</f>
        <v>23</v>
      </c>
      <c r="G55"/>
      <c r="H55" s="1330" t="str">
        <f>'ETAT-PAY-PERM'!Z56</f>
        <v>الحساب الجاري البريدي</v>
      </c>
    </row>
    <row r="56" spans="2:8" s="536" customFormat="1" ht="21" hidden="1" customHeight="1">
      <c r="B56" s="535">
        <f>'ETAT-PAY-PERM'!F57</f>
        <v>41491.94</v>
      </c>
      <c r="C56" s="534" t="s">
        <v>659</v>
      </c>
      <c r="D56" s="965">
        <f>'ETAT-PAY-PERM'!E57</f>
        <v>11111111111</v>
      </c>
      <c r="E56" s="965" t="str">
        <f>'ETAT-PAY-PERM'!C57</f>
        <v>ررءرءؤرؤءرلللللللللللللل</v>
      </c>
      <c r="F56" s="534">
        <f>'ETAT-PAY-PERM'!B57</f>
        <v>4</v>
      </c>
      <c r="G56"/>
      <c r="H56" s="1" t="str">
        <f>'ETAT-PAY-PERM'!Z57</f>
        <v>بنك التنمية المحلية</v>
      </c>
    </row>
    <row r="57" spans="2:8" ht="25.5" customHeight="1">
      <c r="B57" s="535">
        <f>'ETAT-PAY-PERM'!F58</f>
        <v>42206.75</v>
      </c>
      <c r="C57" s="534" t="s">
        <v>659</v>
      </c>
      <c r="D57" s="965">
        <f>'ETAT-PAY-PERM'!E58</f>
        <v>11111111111</v>
      </c>
      <c r="E57" s="965" t="str">
        <f>'ETAT-PAY-PERM'!C58</f>
        <v>صثقصقثصقضفففففففففففف</v>
      </c>
      <c r="F57" s="534">
        <f>'ETAT-PAY-PERM'!B58</f>
        <v>24</v>
      </c>
      <c r="H57" s="1330" t="str">
        <f>'ETAT-PAY-PERM'!Z58</f>
        <v>الحساب الجاري البريدي</v>
      </c>
    </row>
    <row r="58" spans="2:8" s="536" customFormat="1" ht="21" customHeight="1">
      <c r="B58" s="535">
        <f>'ETAT-PAY-PERM'!F59</f>
        <v>41696.75</v>
      </c>
      <c r="C58" s="534" t="s">
        <v>659</v>
      </c>
      <c r="D58" s="965">
        <f>'ETAT-PAY-PERM'!E59</f>
        <v>11111111111</v>
      </c>
      <c r="E58" s="965" t="str">
        <f>'ETAT-PAY-PERM'!C59</f>
        <v>صثقثصقثصقصثيسللللللل</v>
      </c>
      <c r="F58" s="534">
        <f>'ETAT-PAY-PERM'!B59</f>
        <v>25</v>
      </c>
      <c r="G58"/>
      <c r="H58" s="1330" t="str">
        <f>'ETAT-PAY-PERM'!Z59</f>
        <v>الحساب الجاري البريدي</v>
      </c>
    </row>
    <row r="59" spans="2:8" ht="25.5" customHeight="1">
      <c r="B59" s="535">
        <f>'ETAT-PAY-PERM'!F60</f>
        <v>41696.75</v>
      </c>
      <c r="C59" s="534" t="s">
        <v>659</v>
      </c>
      <c r="D59" s="965">
        <f>'ETAT-PAY-PERM'!E60</f>
        <v>11111111111</v>
      </c>
      <c r="E59" s="965" t="str">
        <f>'ETAT-PAY-PERM'!C60</f>
        <v>للللللللررءرءؤرؤءر</v>
      </c>
      <c r="F59" s="534">
        <f>'ETAT-PAY-PERM'!B60</f>
        <v>26</v>
      </c>
      <c r="H59" s="1330" t="str">
        <f>'ETAT-PAY-PERM'!Z60</f>
        <v>الحساب الجاري البريدي</v>
      </c>
    </row>
    <row r="60" spans="2:8" ht="25.5" customHeight="1">
      <c r="B60" s="535">
        <f>'ETAT-PAY-PERM'!F61</f>
        <v>36404.370000000003</v>
      </c>
      <c r="C60" s="534" t="s">
        <v>659</v>
      </c>
      <c r="D60" s="965">
        <f>'ETAT-PAY-PERM'!E61</f>
        <v>11111111111</v>
      </c>
      <c r="E60" s="965" t="str">
        <f>'ETAT-PAY-PERM'!C61</f>
        <v>ففففففففصثقصقثصقض</v>
      </c>
      <c r="F60" s="534">
        <f>'ETAT-PAY-PERM'!B61</f>
        <v>27</v>
      </c>
      <c r="H60" s="1330" t="str">
        <f>'ETAT-PAY-PERM'!Z61</f>
        <v>الحساب الجاري البريدي</v>
      </c>
    </row>
    <row r="61" spans="2:8" ht="25.5" customHeight="1">
      <c r="B61" s="535">
        <f>'ETAT-PAY-PERM'!F62</f>
        <v>27742.38</v>
      </c>
      <c r="C61" s="534" t="s">
        <v>659</v>
      </c>
      <c r="D61" s="965">
        <f>'ETAT-PAY-PERM'!E62</f>
        <v>11111111111</v>
      </c>
      <c r="E61" s="965" t="str">
        <f>'ETAT-PAY-PERM'!C62</f>
        <v>سييييييييصثقثصقثصقصث</v>
      </c>
      <c r="F61" s="534">
        <f>'ETAT-PAY-PERM'!B62</f>
        <v>28</v>
      </c>
      <c r="H61" s="1330" t="str">
        <f>'ETAT-PAY-PERM'!Z62</f>
        <v>الحساب الجاري البريدي</v>
      </c>
    </row>
    <row r="62" spans="2:8" ht="25.5" customHeight="1">
      <c r="B62" s="535">
        <f>'ETAT-PAY-PERM'!F63</f>
        <v>20389.669999999998</v>
      </c>
      <c r="C62" s="534" t="s">
        <v>659</v>
      </c>
      <c r="D62" s="965">
        <f>'ETAT-PAY-PERM'!E63</f>
        <v>11111111111</v>
      </c>
      <c r="E62" s="965" t="str">
        <f>'ETAT-PAY-PERM'!C63</f>
        <v>ليسليسليسللللللللل</v>
      </c>
      <c r="F62" s="534">
        <f>'ETAT-PAY-PERM'!B63</f>
        <v>29</v>
      </c>
      <c r="H62" s="1330" t="str">
        <f>'ETAT-PAY-PERM'!Z63</f>
        <v>الحساب الجاري البريدي</v>
      </c>
    </row>
    <row r="63" spans="2:8" ht="25.5" hidden="1" customHeight="1">
      <c r="B63" s="535" t="e">
        <f>'ETAT-PAY-PERM'!F64</f>
        <v>#N/A</v>
      </c>
      <c r="C63" s="534" t="s">
        <v>659</v>
      </c>
      <c r="D63" s="965">
        <f>'ETAT-PAY-PERM'!E64</f>
        <v>0</v>
      </c>
      <c r="E63" s="965" t="str">
        <f>'ETAT-PAY-PERM'!C64</f>
        <v/>
      </c>
      <c r="F63" s="534">
        <f>'ETAT-PAY-PERM'!B64</f>
        <v>5</v>
      </c>
      <c r="H63" s="1">
        <f>'ETAT-PAY-PERM'!Z64</f>
        <v>0</v>
      </c>
    </row>
    <row r="64" spans="2:8" s="536" customFormat="1" ht="21" hidden="1" customHeight="1">
      <c r="B64" s="535" t="e">
        <f>'ETAT-PAY-PERM'!F65</f>
        <v>#N/A</v>
      </c>
      <c r="C64" s="534" t="s">
        <v>659</v>
      </c>
      <c r="D64" s="965">
        <f>'ETAT-PAY-PERM'!E65</f>
        <v>0</v>
      </c>
      <c r="E64" s="965" t="str">
        <f>'ETAT-PAY-PERM'!C65</f>
        <v/>
      </c>
      <c r="F64" s="534">
        <f>'ETAT-PAY-PERM'!B65</f>
        <v>6</v>
      </c>
      <c r="G64"/>
      <c r="H64" s="1">
        <f>'ETAT-PAY-PERM'!Z65</f>
        <v>0</v>
      </c>
    </row>
    <row r="65" spans="2:8" ht="25.5" hidden="1" customHeight="1">
      <c r="B65" s="535" t="e">
        <f>'ETAT-PAY-PERM'!F66</f>
        <v>#N/A</v>
      </c>
      <c r="C65" s="534" t="s">
        <v>659</v>
      </c>
      <c r="D65" s="965">
        <f>'ETAT-PAY-PERM'!E66</f>
        <v>0</v>
      </c>
      <c r="E65" s="965" t="str">
        <f>'ETAT-PAY-PERM'!C66</f>
        <v/>
      </c>
      <c r="F65" s="534">
        <f>'ETAT-PAY-PERM'!B66</f>
        <v>7</v>
      </c>
      <c r="H65" s="1">
        <f>'ETAT-PAY-PERM'!Z66</f>
        <v>0</v>
      </c>
    </row>
    <row r="66" spans="2:8" ht="25.5" hidden="1" customHeight="1">
      <c r="B66" s="535" t="e">
        <f>'ETAT-PAY-PERM'!F67</f>
        <v>#N/A</v>
      </c>
      <c r="C66" s="534" t="s">
        <v>659</v>
      </c>
      <c r="D66" s="965">
        <f>'ETAT-PAY-PERM'!E67</f>
        <v>0</v>
      </c>
      <c r="E66" s="965" t="str">
        <f>'ETAT-PAY-PERM'!C67</f>
        <v/>
      </c>
      <c r="F66" s="534">
        <f>'ETAT-PAY-PERM'!B67</f>
        <v>8</v>
      </c>
      <c r="H66" s="1">
        <f>'ETAT-PAY-PERM'!Z67</f>
        <v>0</v>
      </c>
    </row>
    <row r="67" spans="2:8" ht="25.5" hidden="1" customHeight="1">
      <c r="B67" s="535" t="e">
        <f>'ETAT-PAY-PERM'!F68</f>
        <v>#N/A</v>
      </c>
      <c r="C67" s="534" t="s">
        <v>659</v>
      </c>
      <c r="D67" s="965">
        <f>'ETAT-PAY-PERM'!E68</f>
        <v>0</v>
      </c>
      <c r="E67" s="965" t="str">
        <f>'ETAT-PAY-PERM'!C68</f>
        <v/>
      </c>
      <c r="F67" s="534">
        <f>'ETAT-PAY-PERM'!B68</f>
        <v>30</v>
      </c>
      <c r="H67" s="1330">
        <f>'ETAT-PAY-PERM'!Z68</f>
        <v>0</v>
      </c>
    </row>
    <row r="68" spans="2:8" ht="25.5" hidden="1" customHeight="1">
      <c r="B68" s="535" t="e">
        <f>'ETAT-PAY-PERM'!F69</f>
        <v>#N/A</v>
      </c>
      <c r="C68" s="534" t="s">
        <v>659</v>
      </c>
      <c r="D68" s="965">
        <f>'ETAT-PAY-PERM'!E69</f>
        <v>0</v>
      </c>
      <c r="E68" s="965" t="str">
        <f>'ETAT-PAY-PERM'!C69</f>
        <v/>
      </c>
      <c r="F68" s="534">
        <f>'ETAT-PAY-PERM'!B69</f>
        <v>4</v>
      </c>
      <c r="H68" s="1">
        <f>'ETAT-PAY-PERM'!Z69</f>
        <v>0</v>
      </c>
    </row>
    <row r="69" spans="2:8" s="536" customFormat="1" ht="21" hidden="1" customHeight="1">
      <c r="B69" s="535" t="e">
        <f>'ETAT-PAY-PERM'!F70</f>
        <v>#N/A</v>
      </c>
      <c r="C69" s="534" t="s">
        <v>659</v>
      </c>
      <c r="D69" s="965">
        <f>'ETAT-PAY-PERM'!E70</f>
        <v>0</v>
      </c>
      <c r="E69" s="965" t="str">
        <f>'ETAT-PAY-PERM'!C70</f>
        <v/>
      </c>
      <c r="F69" s="534">
        <f>'ETAT-PAY-PERM'!B70</f>
        <v>9</v>
      </c>
      <c r="G69"/>
      <c r="H69" s="1">
        <f>'ETAT-PAY-PERM'!Z70</f>
        <v>0</v>
      </c>
    </row>
    <row r="70" spans="2:8" ht="25.5" hidden="1" customHeight="1">
      <c r="B70" s="535" t="e">
        <f>'ETAT-PAY-PERM'!F71</f>
        <v>#N/A</v>
      </c>
      <c r="C70" s="534" t="s">
        <v>659</v>
      </c>
      <c r="D70" s="965">
        <f>'ETAT-PAY-PERM'!E71</f>
        <v>0</v>
      </c>
      <c r="E70" s="965" t="str">
        <f>'ETAT-PAY-PERM'!C71</f>
        <v/>
      </c>
      <c r="F70" s="534">
        <f>'ETAT-PAY-PERM'!B71</f>
        <v>13</v>
      </c>
      <c r="H70" s="1">
        <f>'ETAT-PAY-PERM'!Z71</f>
        <v>0</v>
      </c>
    </row>
    <row r="71" spans="2:8" s="536" customFormat="1" ht="21" hidden="1" customHeight="1">
      <c r="B71" s="535" t="e">
        <f>'ETAT-PAY-PERM'!F72</f>
        <v>#N/A</v>
      </c>
      <c r="C71" s="534" t="s">
        <v>659</v>
      </c>
      <c r="D71" s="965">
        <f>'ETAT-PAY-PERM'!E72</f>
        <v>0</v>
      </c>
      <c r="E71" s="965" t="str">
        <f>'ETAT-PAY-PERM'!C72</f>
        <v/>
      </c>
      <c r="F71" s="534">
        <f>'ETAT-PAY-PERM'!B72</f>
        <v>31</v>
      </c>
      <c r="G71"/>
      <c r="H71" s="1330">
        <f>'ETAT-PAY-PERM'!Z72</f>
        <v>0</v>
      </c>
    </row>
    <row r="72" spans="2:8" s="536" customFormat="1" ht="21" hidden="1" customHeight="1">
      <c r="B72" s="535" t="e">
        <f>'ETAT-PAY-PERM'!F73</f>
        <v>#N/A</v>
      </c>
      <c r="C72" s="534" t="s">
        <v>659</v>
      </c>
      <c r="D72" s="965">
        <f>'ETAT-PAY-PERM'!E73</f>
        <v>0</v>
      </c>
      <c r="E72" s="965" t="str">
        <f>'ETAT-PAY-PERM'!C73</f>
        <v/>
      </c>
      <c r="F72" s="534">
        <f>'ETAT-PAY-PERM'!B73</f>
        <v>10</v>
      </c>
      <c r="G72"/>
      <c r="H72" s="1">
        <f>'ETAT-PAY-PERM'!Z73</f>
        <v>0</v>
      </c>
    </row>
    <row r="73" spans="2:8" ht="25.5" hidden="1" customHeight="1">
      <c r="B73" s="535" t="e">
        <f>'ETAT-PAY-PERM'!F74</f>
        <v>#N/A</v>
      </c>
      <c r="C73" s="534" t="s">
        <v>659</v>
      </c>
      <c r="D73" s="965">
        <f>'ETAT-PAY-PERM'!E74</f>
        <v>0</v>
      </c>
      <c r="E73" s="965" t="str">
        <f>'ETAT-PAY-PERM'!C74</f>
        <v/>
      </c>
      <c r="F73" s="534">
        <f>'ETAT-PAY-PERM'!B74</f>
        <v>11</v>
      </c>
      <c r="H73" s="1">
        <f>'ETAT-PAY-PERM'!Z74</f>
        <v>0</v>
      </c>
    </row>
    <row r="74" spans="2:8" ht="25.5" hidden="1" customHeight="1">
      <c r="B74" s="535" t="e">
        <f>'ETAT-PAY-PERM'!F75</f>
        <v>#N/A</v>
      </c>
      <c r="C74" s="534" t="s">
        <v>659</v>
      </c>
      <c r="D74" s="965">
        <f>'ETAT-PAY-PERM'!E75</f>
        <v>0</v>
      </c>
      <c r="E74" s="965" t="str">
        <f>'ETAT-PAY-PERM'!C75</f>
        <v/>
      </c>
      <c r="F74" s="534">
        <f>'ETAT-PAY-PERM'!B75</f>
        <v>32</v>
      </c>
      <c r="H74" s="1330">
        <f>'ETAT-PAY-PERM'!Z75</f>
        <v>0</v>
      </c>
    </row>
    <row r="75" spans="2:8" s="536" customFormat="1" ht="21" hidden="1" customHeight="1">
      <c r="B75" s="535" t="e">
        <f>'ETAT-PAY-PERM'!F76</f>
        <v>#N/A</v>
      </c>
      <c r="C75" s="534" t="s">
        <v>659</v>
      </c>
      <c r="D75" s="965">
        <f>'ETAT-PAY-PERM'!E76</f>
        <v>0</v>
      </c>
      <c r="E75" s="965" t="str">
        <f>'ETAT-PAY-PERM'!C76</f>
        <v/>
      </c>
      <c r="F75" s="534">
        <f>'ETAT-PAY-PERM'!B76</f>
        <v>12</v>
      </c>
      <c r="G75"/>
      <c r="H75" s="1">
        <f>'ETAT-PAY-PERM'!Z76</f>
        <v>0</v>
      </c>
    </row>
    <row r="76" spans="2:8" s="536" customFormat="1" ht="21" hidden="1" customHeight="1">
      <c r="B76" s="535" t="e">
        <f>'ETAT-PAY-PERM'!F77</f>
        <v>#N/A</v>
      </c>
      <c r="C76" s="534" t="s">
        <v>659</v>
      </c>
      <c r="D76" s="965">
        <f>'ETAT-PAY-PERM'!E77</f>
        <v>0</v>
      </c>
      <c r="E76" s="965" t="str">
        <f>'ETAT-PAY-PERM'!C77</f>
        <v/>
      </c>
      <c r="F76" s="534">
        <f>'ETAT-PAY-PERM'!B77</f>
        <v>33</v>
      </c>
      <c r="G76"/>
      <c r="H76" s="1330">
        <f>'ETAT-PAY-PERM'!Z77</f>
        <v>0</v>
      </c>
    </row>
    <row r="77" spans="2:8" ht="25.5" hidden="1" customHeight="1">
      <c r="B77" s="535" t="e">
        <f>'ETAT-PAY-PERM'!F78</f>
        <v>#N/A</v>
      </c>
      <c r="C77" s="534" t="s">
        <v>659</v>
      </c>
      <c r="D77" s="965">
        <f>'ETAT-PAY-PERM'!E78</f>
        <v>0</v>
      </c>
      <c r="E77" s="965" t="str">
        <f>'ETAT-PAY-PERM'!C78</f>
        <v/>
      </c>
      <c r="F77" s="534">
        <f>'ETAT-PAY-PERM'!B78</f>
        <v>34</v>
      </c>
      <c r="H77" s="1330">
        <f>'ETAT-PAY-PERM'!Z78</f>
        <v>0</v>
      </c>
    </row>
    <row r="78" spans="2:8" ht="25.5" hidden="1" customHeight="1">
      <c r="B78" s="535" t="e">
        <f>'ETAT-PAY-PERM'!F79</f>
        <v>#N/A</v>
      </c>
      <c r="C78" s="534" t="s">
        <v>659</v>
      </c>
      <c r="D78" s="965">
        <f>'ETAT-PAY-PERM'!E79</f>
        <v>0</v>
      </c>
      <c r="E78" s="965" t="str">
        <f>'ETAT-PAY-PERM'!C79</f>
        <v/>
      </c>
      <c r="F78" s="534">
        <f>'ETAT-PAY-PERM'!B79</f>
        <v>35</v>
      </c>
      <c r="H78" s="1330">
        <f>'ETAT-PAY-PERM'!Z79</f>
        <v>0</v>
      </c>
    </row>
    <row r="79" spans="2:8" s="536" customFormat="1" ht="21" hidden="1" customHeight="1">
      <c r="B79" s="535" t="e">
        <f>'ETAT-PAY-PERM'!F80</f>
        <v>#N/A</v>
      </c>
      <c r="C79" s="534" t="s">
        <v>659</v>
      </c>
      <c r="D79" s="965">
        <f>'ETAT-PAY-PERM'!E80</f>
        <v>0</v>
      </c>
      <c r="E79" s="965" t="str">
        <f>'ETAT-PAY-PERM'!C80</f>
        <v/>
      </c>
      <c r="F79" s="534">
        <f>'ETAT-PAY-PERM'!B80</f>
        <v>36</v>
      </c>
      <c r="G79"/>
      <c r="H79" s="1330">
        <f>'ETAT-PAY-PERM'!Z80</f>
        <v>0</v>
      </c>
    </row>
    <row r="80" spans="2:8" s="536" customFormat="1" ht="21" hidden="1" customHeight="1">
      <c r="B80" s="535" t="e">
        <f>'ETAT-PAY-PERM'!F81</f>
        <v>#N/A</v>
      </c>
      <c r="C80" s="534" t="s">
        <v>659</v>
      </c>
      <c r="D80" s="965">
        <f>'ETAT-PAY-PERM'!E81</f>
        <v>0</v>
      </c>
      <c r="E80" s="965" t="str">
        <f>'ETAT-PAY-PERM'!C81</f>
        <v/>
      </c>
      <c r="F80" s="534">
        <f>'ETAT-PAY-PERM'!B81</f>
        <v>37</v>
      </c>
      <c r="G80"/>
      <c r="H80" s="1330">
        <f>'ETAT-PAY-PERM'!Z81</f>
        <v>0</v>
      </c>
    </row>
    <row r="81" spans="2:15" s="536" customFormat="1" ht="21" hidden="1" customHeight="1">
      <c r="B81" s="535" t="e">
        <f>'ETAT-PAY-PERM'!F82</f>
        <v>#N/A</v>
      </c>
      <c r="C81" s="534" t="s">
        <v>659</v>
      </c>
      <c r="D81" s="965">
        <f>'ETAT-PAY-PERM'!E82</f>
        <v>0</v>
      </c>
      <c r="E81" s="965" t="str">
        <f>'ETAT-PAY-PERM'!C82</f>
        <v/>
      </c>
      <c r="F81" s="534">
        <f>'ETAT-PAY-PERM'!B82</f>
        <v>38</v>
      </c>
      <c r="G81"/>
      <c r="H81" s="1330">
        <f>'ETAT-PAY-PERM'!Z82</f>
        <v>0</v>
      </c>
    </row>
    <row r="82" spans="2:15" ht="25.5" hidden="1" customHeight="1">
      <c r="B82" s="535" t="e">
        <f>'ETAT-PAY-PERM'!F83</f>
        <v>#N/A</v>
      </c>
      <c r="C82" s="534" t="s">
        <v>659</v>
      </c>
      <c r="D82" s="965">
        <f>'ETAT-PAY-PERM'!E83</f>
        <v>0</v>
      </c>
      <c r="E82" s="965" t="str">
        <f>'ETAT-PAY-PERM'!C83</f>
        <v/>
      </c>
      <c r="F82" s="534">
        <f>'ETAT-PAY-PERM'!B83</f>
        <v>14</v>
      </c>
      <c r="H82" s="1">
        <f>'ETAT-PAY-PERM'!Z83</f>
        <v>0</v>
      </c>
    </row>
    <row r="83" spans="2:15" ht="25.5" hidden="1" customHeight="1">
      <c r="B83" s="535" t="e">
        <f>'ETAT-PAY-PERM'!F84</f>
        <v>#N/A</v>
      </c>
      <c r="C83" s="534" t="s">
        <v>659</v>
      </c>
      <c r="D83" s="965">
        <f>'ETAT-PAY-PERM'!E84</f>
        <v>0</v>
      </c>
      <c r="E83" s="965" t="str">
        <f>'ETAT-PAY-PERM'!C84</f>
        <v/>
      </c>
      <c r="F83" s="534">
        <f>'ETAT-PAY-PERM'!B84</f>
        <v>39</v>
      </c>
      <c r="H83" s="1330">
        <f>'ETAT-PAY-PERM'!Z84</f>
        <v>0</v>
      </c>
    </row>
    <row r="84" spans="2:15" s="536" customFormat="1" ht="21" hidden="1" customHeight="1">
      <c r="B84" s="535" t="e">
        <f>'ETAT-PAY-PERM'!F85</f>
        <v>#N/A</v>
      </c>
      <c r="C84" s="534" t="s">
        <v>659</v>
      </c>
      <c r="D84" s="965">
        <f>'ETAT-PAY-PERM'!E85</f>
        <v>0</v>
      </c>
      <c r="E84" s="965" t="str">
        <f>'ETAT-PAY-PERM'!C85</f>
        <v/>
      </c>
      <c r="F84" s="534">
        <f>'ETAT-PAY-PERM'!B85</f>
        <v>40</v>
      </c>
      <c r="G84"/>
      <c r="H84" s="1330">
        <f>'ETAT-PAY-PERM'!Z85</f>
        <v>0</v>
      </c>
    </row>
    <row r="85" spans="2:15" s="431" customFormat="1" ht="25.5" hidden="1" customHeight="1">
      <c r="B85" s="535" t="e">
        <f>'ETAT-PAY-PERM'!F86</f>
        <v>#N/A</v>
      </c>
      <c r="C85" s="534" t="s">
        <v>659</v>
      </c>
      <c r="D85" s="965">
        <f>'ETAT-PAY-PERM'!E86</f>
        <v>0</v>
      </c>
      <c r="E85" s="965" t="str">
        <f>'ETAT-PAY-PERM'!C86</f>
        <v/>
      </c>
      <c r="F85" s="534">
        <f>'ETAT-PAY-PERM'!B86</f>
        <v>41</v>
      </c>
      <c r="G85"/>
      <c r="H85" s="1330">
        <f>'ETAT-PAY-PERM'!Z86</f>
        <v>0</v>
      </c>
    </row>
    <row r="86" spans="2:15" s="537" customFormat="1" ht="21" hidden="1" customHeight="1">
      <c r="B86" s="535" t="e">
        <f>'ETAT-PAY-PERM'!F87</f>
        <v>#N/A</v>
      </c>
      <c r="C86" s="534" t="s">
        <v>659</v>
      </c>
      <c r="D86" s="965">
        <f>'ETAT-PAY-PERM'!E87</f>
        <v>0</v>
      </c>
      <c r="E86" s="965" t="str">
        <f>'ETAT-PAY-PERM'!C87</f>
        <v/>
      </c>
      <c r="F86" s="534">
        <f>'ETAT-PAY-PERM'!B87</f>
        <v>42</v>
      </c>
      <c r="G86"/>
      <c r="H86" s="1330">
        <f>'ETAT-PAY-PERM'!Z87</f>
        <v>0</v>
      </c>
    </row>
    <row r="87" spans="2:15" s="537" customFormat="1" ht="21" hidden="1" customHeight="1">
      <c r="B87" s="535" t="e">
        <f>'ETAT-PAY-PERM'!F88</f>
        <v>#N/A</v>
      </c>
      <c r="C87" s="534" t="s">
        <v>659</v>
      </c>
      <c r="D87" s="965">
        <f>'ETAT-PAY-PERM'!E88</f>
        <v>0</v>
      </c>
      <c r="E87" s="965" t="str">
        <f>'ETAT-PAY-PERM'!C88</f>
        <v/>
      </c>
      <c r="F87" s="534">
        <f>'ETAT-PAY-PERM'!B88</f>
        <v>15</v>
      </c>
      <c r="G87"/>
      <c r="H87" s="1">
        <f>'ETAT-PAY-PERM'!Z88</f>
        <v>0</v>
      </c>
    </row>
    <row r="88" spans="2:15" s="431" customFormat="1" ht="25.5" hidden="1" customHeight="1">
      <c r="B88" s="535" t="e">
        <f>'ETAT-PAY-PERM'!F89</f>
        <v>#N/A</v>
      </c>
      <c r="C88" s="534" t="s">
        <v>659</v>
      </c>
      <c r="D88" s="965">
        <f>'ETAT-PAY-PERM'!E89</f>
        <v>0</v>
      </c>
      <c r="E88" s="965" t="str">
        <f>'ETAT-PAY-PERM'!C89</f>
        <v/>
      </c>
      <c r="F88" s="534">
        <f>'ETAT-PAY-PERM'!B89</f>
        <v>16</v>
      </c>
      <c r="G88"/>
      <c r="H88" s="1">
        <f>'ETAT-PAY-PERM'!Z89</f>
        <v>0</v>
      </c>
    </row>
    <row r="89" spans="2:15" s="431" customFormat="1" ht="25.5" hidden="1" customHeight="1">
      <c r="B89" s="535" t="e">
        <f>'ETAT-PAY-PERM'!F90</f>
        <v>#N/A</v>
      </c>
      <c r="C89" s="534" t="s">
        <v>659</v>
      </c>
      <c r="D89" s="965">
        <f>'ETAT-PAY-PERM'!E90</f>
        <v>0</v>
      </c>
      <c r="E89" s="965" t="str">
        <f>'ETAT-PAY-PERM'!C90</f>
        <v/>
      </c>
      <c r="F89" s="534">
        <f>'ETAT-PAY-PERM'!B90</f>
        <v>17</v>
      </c>
      <c r="G89"/>
      <c r="H89" s="1">
        <f>'ETAT-PAY-PERM'!Z90</f>
        <v>0</v>
      </c>
    </row>
    <row r="90" spans="2:15" s="431" customFormat="1" ht="25.5" hidden="1" customHeight="1">
      <c r="B90" s="535" t="e">
        <f>'ETAT-PAY-PERM'!F91</f>
        <v>#N/A</v>
      </c>
      <c r="C90" s="534" t="s">
        <v>659</v>
      </c>
      <c r="D90" s="965">
        <f>'ETAT-PAY-PERM'!E91</f>
        <v>0</v>
      </c>
      <c r="E90" s="965" t="str">
        <f>'ETAT-PAY-PERM'!C91</f>
        <v/>
      </c>
      <c r="F90" s="534">
        <f>'ETAT-PAY-PERM'!B91</f>
        <v>5</v>
      </c>
      <c r="G90"/>
      <c r="H90" s="1">
        <f>'ETAT-PAY-PERM'!Z91</f>
        <v>0</v>
      </c>
    </row>
    <row r="91" spans="2:15" s="431" customFormat="1" ht="25.5" hidden="1" customHeight="1">
      <c r="B91" s="535" t="e">
        <f>'ETAT-PAY-PERM'!F92</f>
        <v>#N/A</v>
      </c>
      <c r="C91" s="534" t="s">
        <v>659</v>
      </c>
      <c r="D91" s="965">
        <f>'ETAT-PAY-PERM'!E92</f>
        <v>0</v>
      </c>
      <c r="E91" s="965" t="str">
        <f>'ETAT-PAY-PERM'!C92</f>
        <v/>
      </c>
      <c r="F91" s="534">
        <f>'ETAT-PAY-PERM'!B92</f>
        <v>18</v>
      </c>
      <c r="G91"/>
      <c r="H91" s="1">
        <f>'ETAT-PAY-PERM'!Z92</f>
        <v>0</v>
      </c>
    </row>
    <row r="92" spans="2:15" s="536" customFormat="1" ht="21" customHeight="1">
      <c r="B92" s="535">
        <f>SUMIF(H14:H89,H92,B14:B91)</f>
        <v>1432551.89</v>
      </c>
      <c r="C92" s="1640" t="s">
        <v>186</v>
      </c>
      <c r="D92" s="1641"/>
      <c r="E92" s="1641"/>
      <c r="F92" s="1642"/>
      <c r="H92" s="1330" t="s">
        <v>562</v>
      </c>
    </row>
    <row r="93" spans="2:15" ht="32.25" customHeight="1">
      <c r="B93" s="1643" t="str">
        <f>CONCATENATE("أوقف المبلغ عند :"," ",[1]!Arreta(B92))</f>
        <v>أوقف المبلغ عند : مليون وأربعمائة وإثنان وثلاثون ألف وخمسمائة وواحد وخمسون دينار جزائري وتسعة وثمانون سنتيما</v>
      </c>
      <c r="C93" s="1643"/>
      <c r="D93" s="1643"/>
      <c r="E93" s="1643"/>
      <c r="F93" s="1643"/>
      <c r="H93" s="1330" t="s">
        <v>562</v>
      </c>
    </row>
    <row r="94" spans="2:15" ht="25.5" customHeight="1">
      <c r="D94" s="1337">
        <f>الرئيسية!N10</f>
        <v>43617</v>
      </c>
    </row>
    <row r="95" spans="2:15">
      <c r="G95" s="1334"/>
      <c r="H95" s="1334"/>
      <c r="I95" s="1334"/>
      <c r="J95" s="1334"/>
      <c r="K95" s="1334"/>
      <c r="L95" s="1334"/>
      <c r="M95" s="1334"/>
      <c r="N95" s="1334"/>
      <c r="O95" s="1334"/>
    </row>
  </sheetData>
  <autoFilter ref="H13:H93">
    <filterColumn colId="0">
      <filters>
        <filter val="الحساب الجاري البريدي"/>
      </filters>
    </filterColumn>
  </autoFilter>
  <mergeCells count="4">
    <mergeCell ref="B2:E2"/>
    <mergeCell ref="B6:F6"/>
    <mergeCell ref="C92:F92"/>
    <mergeCell ref="B93:F93"/>
  </mergeCells>
  <phoneticPr fontId="2" type="noConversion"/>
  <dataValidations count="1">
    <dataValidation type="list" allowBlank="1" showInputMessage="1" showErrorMessage="1" sqref="E4">
      <formula1>'ورقة العمل'!Y6:Y6</formula1>
    </dataValidation>
  </dataValidations>
  <printOptions horizontalCentered="1"/>
  <pageMargins left="0.19685039370078741" right="0.19685039370078741" top="0.39370078740157483" bottom="0.39370078740157483" header="0" footer="0"/>
  <pageSetup paperSize="134" scale="68" orientation="portrait" horizontalDpi="180" verticalDpi="18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tabColor rgb="FF00B050"/>
  </sheetPr>
  <dimension ref="A1:WXE120"/>
  <sheetViews>
    <sheetView rightToLeft="1" zoomScale="55" zoomScaleNormal="55" zoomScalePageLayoutView="50" workbookViewId="0">
      <selection activeCell="B11" sqref="B11:Q11"/>
    </sheetView>
  </sheetViews>
  <sheetFormatPr baseColWidth="10" defaultColWidth="0" defaultRowHeight="12.75" zeroHeight="1"/>
  <cols>
    <col min="1" max="1" width="3.140625" customWidth="1"/>
    <col min="2" max="2" width="24.140625" customWidth="1"/>
    <col min="3" max="5" width="16.7109375" customWidth="1"/>
    <col min="6" max="6" width="16.5703125" customWidth="1"/>
    <col min="7" max="7" width="17.140625" customWidth="1"/>
    <col min="8" max="12" width="11.42578125" customWidth="1"/>
    <col min="13" max="13" width="30.7109375" customWidth="1"/>
    <col min="14" max="16" width="9.140625" customWidth="1"/>
    <col min="17" max="17" width="8.5703125" customWidth="1"/>
    <col min="18" max="18" width="5" customWidth="1"/>
    <col min="19" max="19" width="4.140625" style="3" customWidth="1"/>
    <col min="20" max="20" width="24.140625" customWidth="1"/>
    <col min="21" max="23" width="16.7109375" customWidth="1"/>
    <col min="24" max="24" width="16.5703125" customWidth="1"/>
    <col min="25" max="25" width="17.140625" customWidth="1"/>
    <col min="26" max="30" width="11.42578125" customWidth="1"/>
    <col min="31" max="31" width="24.7109375" customWidth="1"/>
    <col min="32" max="33" width="11.42578125" customWidth="1"/>
    <col min="34" max="34" width="7.28515625" customWidth="1"/>
    <col min="35" max="35" width="10.42578125" customWidth="1"/>
    <col min="36" max="37" width="3.85546875" style="3" customWidth="1"/>
    <col min="38" max="38" width="24.140625" customWidth="1"/>
    <col min="39" max="41" width="16.7109375" customWidth="1"/>
    <col min="42" max="42" width="16.5703125" customWidth="1"/>
    <col min="43" max="43" width="17.140625" customWidth="1"/>
    <col min="44" max="48" width="11.42578125" customWidth="1"/>
    <col min="49" max="49" width="24.7109375" customWidth="1"/>
    <col min="50" max="51" width="11.42578125" customWidth="1"/>
    <col min="52" max="53" width="9.5703125" customWidth="1"/>
    <col min="54" max="54" width="4" customWidth="1"/>
    <col min="55" max="293" width="11.42578125" hidden="1"/>
    <col min="294" max="294" width="24.140625" hidden="1"/>
    <col min="295" max="297" width="16.7109375" hidden="1"/>
    <col min="298" max="298" width="16.5703125" hidden="1"/>
    <col min="299" max="299" width="17.140625" hidden="1"/>
    <col min="300" max="304" width="11.42578125" hidden="1"/>
    <col min="305" max="305" width="24.7109375" hidden="1"/>
    <col min="306" max="549" width="11.42578125" hidden="1"/>
    <col min="550" max="550" width="24.140625" hidden="1"/>
    <col min="551" max="553" width="16.7109375" hidden="1"/>
    <col min="554" max="554" width="16.5703125" hidden="1"/>
    <col min="555" max="555" width="17.140625" hidden="1"/>
    <col min="556" max="560" width="11.42578125" hidden="1"/>
    <col min="561" max="561" width="24.7109375" hidden="1"/>
    <col min="562" max="805" width="11.42578125" hidden="1"/>
    <col min="806" max="806" width="24.140625" hidden="1"/>
    <col min="807" max="809" width="16.7109375" hidden="1"/>
    <col min="810" max="810" width="16.5703125" hidden="1"/>
    <col min="811" max="811" width="17.140625" hidden="1"/>
    <col min="812" max="816" width="11.42578125" hidden="1"/>
    <col min="817" max="817" width="24.7109375" hidden="1"/>
    <col min="818" max="1061" width="11.42578125" hidden="1"/>
    <col min="1062" max="1062" width="24.140625" hidden="1"/>
    <col min="1063" max="1065" width="16.7109375" hidden="1"/>
    <col min="1066" max="1066" width="16.5703125" hidden="1"/>
    <col min="1067" max="1067" width="17.140625" hidden="1"/>
    <col min="1068" max="1072" width="11.42578125" hidden="1"/>
    <col min="1073" max="1073" width="24.7109375" hidden="1"/>
    <col min="1074" max="1317" width="11.42578125" hidden="1"/>
    <col min="1318" max="1318" width="24.140625" hidden="1"/>
    <col min="1319" max="1321" width="16.7109375" hidden="1"/>
    <col min="1322" max="1322" width="16.5703125" hidden="1"/>
    <col min="1323" max="1323" width="17.140625" hidden="1"/>
    <col min="1324" max="1328" width="11.42578125" hidden="1"/>
    <col min="1329" max="1329" width="24.7109375" hidden="1"/>
    <col min="1330" max="1573" width="11.42578125" hidden="1"/>
    <col min="1574" max="1574" width="24.140625" hidden="1"/>
    <col min="1575" max="1577" width="16.7109375" hidden="1"/>
    <col min="1578" max="1578" width="16.5703125" hidden="1"/>
    <col min="1579" max="1579" width="17.140625" hidden="1"/>
    <col min="1580" max="1584" width="11.42578125" hidden="1"/>
    <col min="1585" max="1585" width="24.7109375" hidden="1"/>
    <col min="1586" max="1829" width="11.42578125" hidden="1"/>
    <col min="1830" max="1830" width="24.140625" hidden="1"/>
    <col min="1831" max="1833" width="16.7109375" hidden="1"/>
    <col min="1834" max="1834" width="16.5703125" hidden="1"/>
    <col min="1835" max="1835" width="17.140625" hidden="1"/>
    <col min="1836" max="1840" width="11.42578125" hidden="1"/>
    <col min="1841" max="1841" width="24.7109375" hidden="1"/>
    <col min="1842" max="2085" width="11.42578125" hidden="1"/>
    <col min="2086" max="2086" width="24.140625" hidden="1"/>
    <col min="2087" max="2089" width="16.7109375" hidden="1"/>
    <col min="2090" max="2090" width="16.5703125" hidden="1"/>
    <col min="2091" max="2091" width="17.140625" hidden="1"/>
    <col min="2092" max="2096" width="11.42578125" hidden="1"/>
    <col min="2097" max="2097" width="24.7109375" hidden="1"/>
    <col min="2098" max="2341" width="11.42578125" hidden="1"/>
    <col min="2342" max="2342" width="24.140625" hidden="1"/>
    <col min="2343" max="2345" width="16.7109375" hidden="1"/>
    <col min="2346" max="2346" width="16.5703125" hidden="1"/>
    <col min="2347" max="2347" width="17.140625" hidden="1"/>
    <col min="2348" max="2352" width="11.42578125" hidden="1"/>
    <col min="2353" max="2353" width="24.7109375" hidden="1"/>
    <col min="2354" max="2597" width="11.42578125" hidden="1"/>
    <col min="2598" max="2598" width="24.140625" hidden="1"/>
    <col min="2599" max="2601" width="16.7109375" hidden="1"/>
    <col min="2602" max="2602" width="16.5703125" hidden="1"/>
    <col min="2603" max="2603" width="17.140625" hidden="1"/>
    <col min="2604" max="2608" width="11.42578125" hidden="1"/>
    <col min="2609" max="2609" width="24.7109375" hidden="1"/>
    <col min="2610" max="2853" width="11.42578125" hidden="1"/>
    <col min="2854" max="2854" width="24.140625" hidden="1"/>
    <col min="2855" max="2857" width="16.7109375" hidden="1"/>
    <col min="2858" max="2858" width="16.5703125" hidden="1"/>
    <col min="2859" max="2859" width="17.140625" hidden="1"/>
    <col min="2860" max="2864" width="11.42578125" hidden="1"/>
    <col min="2865" max="2865" width="24.7109375" hidden="1"/>
    <col min="2866" max="3109" width="11.42578125" hidden="1"/>
    <col min="3110" max="3110" width="24.140625" hidden="1"/>
    <col min="3111" max="3113" width="16.7109375" hidden="1"/>
    <col min="3114" max="3114" width="16.5703125" hidden="1"/>
    <col min="3115" max="3115" width="17.140625" hidden="1"/>
    <col min="3116" max="3120" width="11.42578125" hidden="1"/>
    <col min="3121" max="3121" width="24.7109375" hidden="1"/>
    <col min="3122" max="3365" width="11.42578125" hidden="1"/>
    <col min="3366" max="3366" width="24.140625" hidden="1"/>
    <col min="3367" max="3369" width="16.7109375" hidden="1"/>
    <col min="3370" max="3370" width="16.5703125" hidden="1"/>
    <col min="3371" max="3371" width="17.140625" hidden="1"/>
    <col min="3372" max="3376" width="11.42578125" hidden="1"/>
    <col min="3377" max="3377" width="24.7109375" hidden="1"/>
    <col min="3378" max="3621" width="11.42578125" hidden="1"/>
    <col min="3622" max="3622" width="24.140625" hidden="1"/>
    <col min="3623" max="3625" width="16.7109375" hidden="1"/>
    <col min="3626" max="3626" width="16.5703125" hidden="1"/>
    <col min="3627" max="3627" width="17.140625" hidden="1"/>
    <col min="3628" max="3632" width="11.42578125" hidden="1"/>
    <col min="3633" max="3633" width="24.7109375" hidden="1"/>
    <col min="3634" max="3877" width="11.42578125" hidden="1"/>
    <col min="3878" max="3878" width="24.140625" hidden="1"/>
    <col min="3879" max="3881" width="16.7109375" hidden="1"/>
    <col min="3882" max="3882" width="16.5703125" hidden="1"/>
    <col min="3883" max="3883" width="17.140625" hidden="1"/>
    <col min="3884" max="3888" width="11.42578125" hidden="1"/>
    <col min="3889" max="3889" width="24.7109375" hidden="1"/>
    <col min="3890" max="4133" width="11.42578125" hidden="1"/>
    <col min="4134" max="4134" width="24.140625" hidden="1"/>
    <col min="4135" max="4137" width="16.7109375" hidden="1"/>
    <col min="4138" max="4138" width="16.5703125" hidden="1"/>
    <col min="4139" max="4139" width="17.140625" hidden="1"/>
    <col min="4140" max="4144" width="11.42578125" hidden="1"/>
    <col min="4145" max="4145" width="24.7109375" hidden="1"/>
    <col min="4146" max="4389" width="11.42578125" hidden="1"/>
    <col min="4390" max="4390" width="24.140625" hidden="1"/>
    <col min="4391" max="4393" width="16.7109375" hidden="1"/>
    <col min="4394" max="4394" width="16.5703125" hidden="1"/>
    <col min="4395" max="4395" width="17.140625" hidden="1"/>
    <col min="4396" max="4400" width="11.42578125" hidden="1"/>
    <col min="4401" max="4401" width="24.7109375" hidden="1"/>
    <col min="4402" max="4645" width="11.42578125" hidden="1"/>
    <col min="4646" max="4646" width="24.140625" hidden="1"/>
    <col min="4647" max="4649" width="16.7109375" hidden="1"/>
    <col min="4650" max="4650" width="16.5703125" hidden="1"/>
    <col min="4651" max="4651" width="17.140625" hidden="1"/>
    <col min="4652" max="4656" width="11.42578125" hidden="1"/>
    <col min="4657" max="4657" width="24.7109375" hidden="1"/>
    <col min="4658" max="4901" width="11.42578125" hidden="1"/>
    <col min="4902" max="4902" width="24.140625" hidden="1"/>
    <col min="4903" max="4905" width="16.7109375" hidden="1"/>
    <col min="4906" max="4906" width="16.5703125" hidden="1"/>
    <col min="4907" max="4907" width="17.140625" hidden="1"/>
    <col min="4908" max="4912" width="11.42578125" hidden="1"/>
    <col min="4913" max="4913" width="24.7109375" hidden="1"/>
    <col min="4914" max="5157" width="11.42578125" hidden="1"/>
    <col min="5158" max="5158" width="24.140625" hidden="1"/>
    <col min="5159" max="5161" width="16.7109375" hidden="1"/>
    <col min="5162" max="5162" width="16.5703125" hidden="1"/>
    <col min="5163" max="5163" width="17.140625" hidden="1"/>
    <col min="5164" max="5168" width="11.42578125" hidden="1"/>
    <col min="5169" max="5169" width="24.7109375" hidden="1"/>
    <col min="5170" max="5413" width="11.42578125" hidden="1"/>
    <col min="5414" max="5414" width="24.140625" hidden="1"/>
    <col min="5415" max="5417" width="16.7109375" hidden="1"/>
    <col min="5418" max="5418" width="16.5703125" hidden="1"/>
    <col min="5419" max="5419" width="17.140625" hidden="1"/>
    <col min="5420" max="5424" width="11.42578125" hidden="1"/>
    <col min="5425" max="5425" width="24.7109375" hidden="1"/>
    <col min="5426" max="5669" width="11.42578125" hidden="1"/>
    <col min="5670" max="5670" width="24.140625" hidden="1"/>
    <col min="5671" max="5673" width="16.7109375" hidden="1"/>
    <col min="5674" max="5674" width="16.5703125" hidden="1"/>
    <col min="5675" max="5675" width="17.140625" hidden="1"/>
    <col min="5676" max="5680" width="11.42578125" hidden="1"/>
    <col min="5681" max="5681" width="24.7109375" hidden="1"/>
    <col min="5682" max="5925" width="11.42578125" hidden="1"/>
    <col min="5926" max="5926" width="24.140625" hidden="1"/>
    <col min="5927" max="5929" width="16.7109375" hidden="1"/>
    <col min="5930" max="5930" width="16.5703125" hidden="1"/>
    <col min="5931" max="5931" width="17.140625" hidden="1"/>
    <col min="5932" max="5936" width="11.42578125" hidden="1"/>
    <col min="5937" max="5937" width="24.7109375" hidden="1"/>
    <col min="5938" max="6181" width="11.42578125" hidden="1"/>
    <col min="6182" max="6182" width="24.140625" hidden="1"/>
    <col min="6183" max="6185" width="16.7109375" hidden="1"/>
    <col min="6186" max="6186" width="16.5703125" hidden="1"/>
    <col min="6187" max="6187" width="17.140625" hidden="1"/>
    <col min="6188" max="6192" width="11.42578125" hidden="1"/>
    <col min="6193" max="6193" width="24.7109375" hidden="1"/>
    <col min="6194" max="6437" width="11.42578125" hidden="1"/>
    <col min="6438" max="6438" width="24.140625" hidden="1"/>
    <col min="6439" max="6441" width="16.7109375" hidden="1"/>
    <col min="6442" max="6442" width="16.5703125" hidden="1"/>
    <col min="6443" max="6443" width="17.140625" hidden="1"/>
    <col min="6444" max="6448" width="11.42578125" hidden="1"/>
    <col min="6449" max="6449" width="24.7109375" hidden="1"/>
    <col min="6450" max="6693" width="11.42578125" hidden="1"/>
    <col min="6694" max="6694" width="24.140625" hidden="1"/>
    <col min="6695" max="6697" width="16.7109375" hidden="1"/>
    <col min="6698" max="6698" width="16.5703125" hidden="1"/>
    <col min="6699" max="6699" width="17.140625" hidden="1"/>
    <col min="6700" max="6704" width="11.42578125" hidden="1"/>
    <col min="6705" max="6705" width="24.7109375" hidden="1"/>
    <col min="6706" max="6949" width="11.42578125" hidden="1"/>
    <col min="6950" max="6950" width="24.140625" hidden="1"/>
    <col min="6951" max="6953" width="16.7109375" hidden="1"/>
    <col min="6954" max="6954" width="16.5703125" hidden="1"/>
    <col min="6955" max="6955" width="17.140625" hidden="1"/>
    <col min="6956" max="6960" width="11.42578125" hidden="1"/>
    <col min="6961" max="6961" width="24.7109375" hidden="1"/>
    <col min="6962" max="7205" width="11.42578125" hidden="1"/>
    <col min="7206" max="7206" width="24.140625" hidden="1"/>
    <col min="7207" max="7209" width="16.7109375" hidden="1"/>
    <col min="7210" max="7210" width="16.5703125" hidden="1"/>
    <col min="7211" max="7211" width="17.140625" hidden="1"/>
    <col min="7212" max="7216" width="11.42578125" hidden="1"/>
    <col min="7217" max="7217" width="24.7109375" hidden="1"/>
    <col min="7218" max="7461" width="11.42578125" hidden="1"/>
    <col min="7462" max="7462" width="24.140625" hidden="1"/>
    <col min="7463" max="7465" width="16.7109375" hidden="1"/>
    <col min="7466" max="7466" width="16.5703125" hidden="1"/>
    <col min="7467" max="7467" width="17.140625" hidden="1"/>
    <col min="7468" max="7472" width="11.42578125" hidden="1"/>
    <col min="7473" max="7473" width="24.7109375" hidden="1"/>
    <col min="7474" max="7717" width="11.42578125" hidden="1"/>
    <col min="7718" max="7718" width="24.140625" hidden="1"/>
    <col min="7719" max="7721" width="16.7109375" hidden="1"/>
    <col min="7722" max="7722" width="16.5703125" hidden="1"/>
    <col min="7723" max="7723" width="17.140625" hidden="1"/>
    <col min="7724" max="7728" width="11.42578125" hidden="1"/>
    <col min="7729" max="7729" width="24.7109375" hidden="1"/>
    <col min="7730" max="7973" width="11.42578125" hidden="1"/>
    <col min="7974" max="7974" width="24.140625" hidden="1"/>
    <col min="7975" max="7977" width="16.7109375" hidden="1"/>
    <col min="7978" max="7978" width="16.5703125" hidden="1"/>
    <col min="7979" max="7979" width="17.140625" hidden="1"/>
    <col min="7980" max="7984" width="11.42578125" hidden="1"/>
    <col min="7985" max="7985" width="24.7109375" hidden="1"/>
    <col min="7986" max="8229" width="11.42578125" hidden="1"/>
    <col min="8230" max="8230" width="24.140625" hidden="1"/>
    <col min="8231" max="8233" width="16.7109375" hidden="1"/>
    <col min="8234" max="8234" width="16.5703125" hidden="1"/>
    <col min="8235" max="8235" width="17.140625" hidden="1"/>
    <col min="8236" max="8240" width="11.42578125" hidden="1"/>
    <col min="8241" max="8241" width="24.7109375" hidden="1"/>
    <col min="8242" max="8485" width="11.42578125" hidden="1"/>
    <col min="8486" max="8486" width="24.140625" hidden="1"/>
    <col min="8487" max="8489" width="16.7109375" hidden="1"/>
    <col min="8490" max="8490" width="16.5703125" hidden="1"/>
    <col min="8491" max="8491" width="17.140625" hidden="1"/>
    <col min="8492" max="8496" width="11.42578125" hidden="1"/>
    <col min="8497" max="8497" width="24.7109375" hidden="1"/>
    <col min="8498" max="8741" width="11.42578125" hidden="1"/>
    <col min="8742" max="8742" width="24.140625" hidden="1"/>
    <col min="8743" max="8745" width="16.7109375" hidden="1"/>
    <col min="8746" max="8746" width="16.5703125" hidden="1"/>
    <col min="8747" max="8747" width="17.140625" hidden="1"/>
    <col min="8748" max="8752" width="11.42578125" hidden="1"/>
    <col min="8753" max="8753" width="24.7109375" hidden="1"/>
    <col min="8754" max="8997" width="11.42578125" hidden="1"/>
    <col min="8998" max="8998" width="24.140625" hidden="1"/>
    <col min="8999" max="9001" width="16.7109375" hidden="1"/>
    <col min="9002" max="9002" width="16.5703125" hidden="1"/>
    <col min="9003" max="9003" width="17.140625" hidden="1"/>
    <col min="9004" max="9008" width="11.42578125" hidden="1"/>
    <col min="9009" max="9009" width="24.7109375" hidden="1"/>
    <col min="9010" max="9253" width="11.42578125" hidden="1"/>
    <col min="9254" max="9254" width="24.140625" hidden="1"/>
    <col min="9255" max="9257" width="16.7109375" hidden="1"/>
    <col min="9258" max="9258" width="16.5703125" hidden="1"/>
    <col min="9259" max="9259" width="17.140625" hidden="1"/>
    <col min="9260" max="9264" width="11.42578125" hidden="1"/>
    <col min="9265" max="9265" width="24.7109375" hidden="1"/>
    <col min="9266" max="9509" width="11.42578125" hidden="1"/>
    <col min="9510" max="9510" width="24.140625" hidden="1"/>
    <col min="9511" max="9513" width="16.7109375" hidden="1"/>
    <col min="9514" max="9514" width="16.5703125" hidden="1"/>
    <col min="9515" max="9515" width="17.140625" hidden="1"/>
    <col min="9516" max="9520" width="11.42578125" hidden="1"/>
    <col min="9521" max="9521" width="24.7109375" hidden="1"/>
    <col min="9522" max="9765" width="11.42578125" hidden="1"/>
    <col min="9766" max="9766" width="24.140625" hidden="1"/>
    <col min="9767" max="9769" width="16.7109375" hidden="1"/>
    <col min="9770" max="9770" width="16.5703125" hidden="1"/>
    <col min="9771" max="9771" width="17.140625" hidden="1"/>
    <col min="9772" max="9776" width="11.42578125" hidden="1"/>
    <col min="9777" max="9777" width="24.7109375" hidden="1"/>
    <col min="9778" max="10021" width="11.42578125" hidden="1"/>
    <col min="10022" max="10022" width="24.140625" hidden="1"/>
    <col min="10023" max="10025" width="16.7109375" hidden="1"/>
    <col min="10026" max="10026" width="16.5703125" hidden="1"/>
    <col min="10027" max="10027" width="17.140625" hidden="1"/>
    <col min="10028" max="10032" width="11.42578125" hidden="1"/>
    <col min="10033" max="10033" width="24.7109375" hidden="1"/>
    <col min="10034" max="10277" width="11.42578125" hidden="1"/>
    <col min="10278" max="10278" width="24.140625" hidden="1"/>
    <col min="10279" max="10281" width="16.7109375" hidden="1"/>
    <col min="10282" max="10282" width="16.5703125" hidden="1"/>
    <col min="10283" max="10283" width="17.140625" hidden="1"/>
    <col min="10284" max="10288" width="11.42578125" hidden="1"/>
    <col min="10289" max="10289" width="24.7109375" hidden="1"/>
    <col min="10290" max="10533" width="11.42578125" hidden="1"/>
    <col min="10534" max="10534" width="24.140625" hidden="1"/>
    <col min="10535" max="10537" width="16.7109375" hidden="1"/>
    <col min="10538" max="10538" width="16.5703125" hidden="1"/>
    <col min="10539" max="10539" width="17.140625" hidden="1"/>
    <col min="10540" max="10544" width="11.42578125" hidden="1"/>
    <col min="10545" max="10545" width="24.7109375" hidden="1"/>
    <col min="10546" max="10789" width="11.42578125" hidden="1"/>
    <col min="10790" max="10790" width="24.140625" hidden="1"/>
    <col min="10791" max="10793" width="16.7109375" hidden="1"/>
    <col min="10794" max="10794" width="16.5703125" hidden="1"/>
    <col min="10795" max="10795" width="17.140625" hidden="1"/>
    <col min="10796" max="10800" width="11.42578125" hidden="1"/>
    <col min="10801" max="10801" width="24.7109375" hidden="1"/>
    <col min="10802" max="11045" width="11.42578125" hidden="1"/>
    <col min="11046" max="11046" width="24.140625" hidden="1"/>
    <col min="11047" max="11049" width="16.7109375" hidden="1"/>
    <col min="11050" max="11050" width="16.5703125" hidden="1"/>
    <col min="11051" max="11051" width="17.140625" hidden="1"/>
    <col min="11052" max="11056" width="11.42578125" hidden="1"/>
    <col min="11057" max="11057" width="24.7109375" hidden="1"/>
    <col min="11058" max="11301" width="11.42578125" hidden="1"/>
    <col min="11302" max="11302" width="24.140625" hidden="1"/>
    <col min="11303" max="11305" width="16.7109375" hidden="1"/>
    <col min="11306" max="11306" width="16.5703125" hidden="1"/>
    <col min="11307" max="11307" width="17.140625" hidden="1"/>
    <col min="11308" max="11312" width="11.42578125" hidden="1"/>
    <col min="11313" max="11313" width="24.7109375" hidden="1"/>
    <col min="11314" max="11557" width="11.42578125" hidden="1"/>
    <col min="11558" max="11558" width="24.140625" hidden="1"/>
    <col min="11559" max="11561" width="16.7109375" hidden="1"/>
    <col min="11562" max="11562" width="16.5703125" hidden="1"/>
    <col min="11563" max="11563" width="17.140625" hidden="1"/>
    <col min="11564" max="11568" width="11.42578125" hidden="1"/>
    <col min="11569" max="11569" width="24.7109375" hidden="1"/>
    <col min="11570" max="11813" width="11.42578125" hidden="1"/>
    <col min="11814" max="11814" width="24.140625" hidden="1"/>
    <col min="11815" max="11817" width="16.7109375" hidden="1"/>
    <col min="11818" max="11818" width="16.5703125" hidden="1"/>
    <col min="11819" max="11819" width="17.140625" hidden="1"/>
    <col min="11820" max="11824" width="11.42578125" hidden="1"/>
    <col min="11825" max="11825" width="24.7109375" hidden="1"/>
    <col min="11826" max="12069" width="11.42578125" hidden="1"/>
    <col min="12070" max="12070" width="24.140625" hidden="1"/>
    <col min="12071" max="12073" width="16.7109375" hidden="1"/>
    <col min="12074" max="12074" width="16.5703125" hidden="1"/>
    <col min="12075" max="12075" width="17.140625" hidden="1"/>
    <col min="12076" max="12080" width="11.42578125" hidden="1"/>
    <col min="12081" max="12081" width="24.7109375" hidden="1"/>
    <col min="12082" max="12325" width="11.42578125" hidden="1"/>
    <col min="12326" max="12326" width="24.140625" hidden="1"/>
    <col min="12327" max="12329" width="16.7109375" hidden="1"/>
    <col min="12330" max="12330" width="16.5703125" hidden="1"/>
    <col min="12331" max="12331" width="17.140625" hidden="1"/>
    <col min="12332" max="12336" width="11.42578125" hidden="1"/>
    <col min="12337" max="12337" width="24.7109375" hidden="1"/>
    <col min="12338" max="12581" width="11.42578125" hidden="1"/>
    <col min="12582" max="12582" width="24.140625" hidden="1"/>
    <col min="12583" max="12585" width="16.7109375" hidden="1"/>
    <col min="12586" max="12586" width="16.5703125" hidden="1"/>
    <col min="12587" max="12587" width="17.140625" hidden="1"/>
    <col min="12588" max="12592" width="11.42578125" hidden="1"/>
    <col min="12593" max="12593" width="24.7109375" hidden="1"/>
    <col min="12594" max="12837" width="11.42578125" hidden="1"/>
    <col min="12838" max="12838" width="24.140625" hidden="1"/>
    <col min="12839" max="12841" width="16.7109375" hidden="1"/>
    <col min="12842" max="12842" width="16.5703125" hidden="1"/>
    <col min="12843" max="12843" width="17.140625" hidden="1"/>
    <col min="12844" max="12848" width="11.42578125" hidden="1"/>
    <col min="12849" max="12849" width="24.7109375" hidden="1"/>
    <col min="12850" max="13093" width="11.42578125" hidden="1"/>
    <col min="13094" max="13094" width="24.140625" hidden="1"/>
    <col min="13095" max="13097" width="16.7109375" hidden="1"/>
    <col min="13098" max="13098" width="16.5703125" hidden="1"/>
    <col min="13099" max="13099" width="17.140625" hidden="1"/>
    <col min="13100" max="13104" width="11.42578125" hidden="1"/>
    <col min="13105" max="13105" width="24.7109375" hidden="1"/>
    <col min="13106" max="13349" width="11.42578125" hidden="1"/>
    <col min="13350" max="13350" width="24.140625" hidden="1"/>
    <col min="13351" max="13353" width="16.7109375" hidden="1"/>
    <col min="13354" max="13354" width="16.5703125" hidden="1"/>
    <col min="13355" max="13355" width="17.140625" hidden="1"/>
    <col min="13356" max="13360" width="11.42578125" hidden="1"/>
    <col min="13361" max="13361" width="24.7109375" hidden="1"/>
    <col min="13362" max="13605" width="11.42578125" hidden="1"/>
    <col min="13606" max="13606" width="24.140625" hidden="1"/>
    <col min="13607" max="13609" width="16.7109375" hidden="1"/>
    <col min="13610" max="13610" width="16.5703125" hidden="1"/>
    <col min="13611" max="13611" width="17.140625" hidden="1"/>
    <col min="13612" max="13616" width="11.42578125" hidden="1"/>
    <col min="13617" max="13617" width="24.7109375" hidden="1"/>
    <col min="13618" max="13861" width="11.42578125" hidden="1"/>
    <col min="13862" max="13862" width="24.140625" hidden="1"/>
    <col min="13863" max="13865" width="16.7109375" hidden="1"/>
    <col min="13866" max="13866" width="16.5703125" hidden="1"/>
    <col min="13867" max="13867" width="17.140625" hidden="1"/>
    <col min="13868" max="13872" width="11.42578125" hidden="1"/>
    <col min="13873" max="13873" width="24.7109375" hidden="1"/>
    <col min="13874" max="14117" width="11.42578125" hidden="1"/>
    <col min="14118" max="14118" width="24.140625" hidden="1"/>
    <col min="14119" max="14121" width="16.7109375" hidden="1"/>
    <col min="14122" max="14122" width="16.5703125" hidden="1"/>
    <col min="14123" max="14123" width="17.140625" hidden="1"/>
    <col min="14124" max="14128" width="11.42578125" hidden="1"/>
    <col min="14129" max="14129" width="24.7109375" hidden="1"/>
    <col min="14130" max="14373" width="11.42578125" hidden="1"/>
    <col min="14374" max="14374" width="24.140625" hidden="1"/>
    <col min="14375" max="14377" width="16.7109375" hidden="1"/>
    <col min="14378" max="14378" width="16.5703125" hidden="1"/>
    <col min="14379" max="14379" width="17.140625" hidden="1"/>
    <col min="14380" max="14384" width="11.42578125" hidden="1"/>
    <col min="14385" max="14385" width="24.7109375" hidden="1"/>
    <col min="14386" max="14629" width="11.42578125" hidden="1"/>
    <col min="14630" max="14630" width="24.140625" hidden="1"/>
    <col min="14631" max="14633" width="16.7109375" hidden="1"/>
    <col min="14634" max="14634" width="16.5703125" hidden="1"/>
    <col min="14635" max="14635" width="17.140625" hidden="1"/>
    <col min="14636" max="14640" width="11.42578125" hidden="1"/>
    <col min="14641" max="14641" width="24.7109375" hidden="1"/>
    <col min="14642" max="14885" width="11.42578125" hidden="1"/>
    <col min="14886" max="14886" width="24.140625" hidden="1"/>
    <col min="14887" max="14889" width="16.7109375" hidden="1"/>
    <col min="14890" max="14890" width="16.5703125" hidden="1"/>
    <col min="14891" max="14891" width="17.140625" hidden="1"/>
    <col min="14892" max="14896" width="11.42578125" hidden="1"/>
    <col min="14897" max="14897" width="24.7109375" hidden="1"/>
    <col min="14898" max="15141" width="11.42578125" hidden="1"/>
    <col min="15142" max="15142" width="24.140625" hidden="1"/>
    <col min="15143" max="15145" width="16.7109375" hidden="1"/>
    <col min="15146" max="15146" width="16.5703125" hidden="1"/>
    <col min="15147" max="15147" width="17.140625" hidden="1"/>
    <col min="15148" max="15152" width="11.42578125" hidden="1"/>
    <col min="15153" max="15153" width="24.7109375" hidden="1"/>
    <col min="15154" max="15397" width="11.42578125" hidden="1"/>
    <col min="15398" max="15398" width="24.140625" hidden="1"/>
    <col min="15399" max="15401" width="16.7109375" hidden="1"/>
    <col min="15402" max="15402" width="16.5703125" hidden="1"/>
    <col min="15403" max="15403" width="17.140625" hidden="1"/>
    <col min="15404" max="15408" width="11.42578125" hidden="1"/>
    <col min="15409" max="15409" width="24.7109375" hidden="1"/>
    <col min="15410" max="15653" width="11.42578125" hidden="1"/>
    <col min="15654" max="15654" width="24.140625" hidden="1"/>
    <col min="15655" max="15657" width="16.7109375" hidden="1"/>
    <col min="15658" max="15658" width="16.5703125" hidden="1"/>
    <col min="15659" max="15659" width="17.140625" hidden="1"/>
    <col min="15660" max="15664" width="11.42578125" hidden="1"/>
    <col min="15665" max="15665" width="24.7109375" hidden="1"/>
    <col min="15666" max="15909" width="11.42578125" hidden="1"/>
    <col min="15910" max="15910" width="24.140625" hidden="1"/>
    <col min="15911" max="15913" width="16.7109375" hidden="1"/>
    <col min="15914" max="15914" width="16.5703125" hidden="1"/>
    <col min="15915" max="15915" width="17.140625" hidden="1"/>
    <col min="15916" max="15920" width="11.42578125" hidden="1"/>
    <col min="15921" max="15921" width="24.7109375" hidden="1"/>
    <col min="15922" max="16165" width="11.42578125" hidden="1"/>
    <col min="16166" max="16166" width="24.140625" hidden="1"/>
    <col min="16167" max="16169" width="16.7109375" hidden="1"/>
    <col min="16170" max="16170" width="16.5703125" hidden="1"/>
    <col min="16171" max="16171" width="17.140625" hidden="1"/>
    <col min="16172" max="16176" width="11.42578125" hidden="1"/>
    <col min="16177" max="16177" width="24.7109375" hidden="1"/>
    <col min="16178" max="16384" width="11.42578125" hidden="1"/>
  </cols>
  <sheetData>
    <row r="1" spans="2:55" ht="42.75" customHeight="1">
      <c r="B1" s="1672" t="s">
        <v>306</v>
      </c>
      <c r="C1" s="1672"/>
      <c r="D1" s="1672"/>
      <c r="E1" s="1672"/>
      <c r="F1" s="1672"/>
      <c r="G1" s="1672"/>
      <c r="H1" s="1672"/>
      <c r="I1" s="1672"/>
      <c r="J1" s="1672"/>
      <c r="K1" s="1672"/>
      <c r="L1" s="1672"/>
      <c r="M1" s="1672"/>
      <c r="N1" s="1672"/>
      <c r="O1" s="1672"/>
      <c r="P1" s="1672"/>
      <c r="Q1" s="1672"/>
      <c r="R1" s="1076"/>
      <c r="S1" s="1076"/>
      <c r="T1" s="1672" t="s">
        <v>306</v>
      </c>
      <c r="U1" s="1672"/>
      <c r="V1" s="1672"/>
      <c r="W1" s="1672"/>
      <c r="X1" s="1672"/>
      <c r="Y1" s="1672"/>
      <c r="Z1" s="1672"/>
      <c r="AA1" s="1672"/>
      <c r="AB1" s="1672"/>
      <c r="AC1" s="1672"/>
      <c r="AD1" s="1672"/>
      <c r="AE1" s="1672"/>
      <c r="AF1" s="1672"/>
      <c r="AG1" s="1672"/>
      <c r="AH1" s="1672"/>
      <c r="AI1" s="1672"/>
      <c r="AJ1" s="1076"/>
      <c r="AK1" s="1076"/>
      <c r="AL1" s="1672" t="s">
        <v>306</v>
      </c>
      <c r="AM1" s="1672"/>
      <c r="AN1" s="1672"/>
      <c r="AO1" s="1672"/>
      <c r="AP1" s="1672"/>
      <c r="AQ1" s="1672"/>
      <c r="AR1" s="1672"/>
      <c r="AS1" s="1672"/>
      <c r="AT1" s="1672"/>
      <c r="AU1" s="1672"/>
      <c r="AV1" s="1672"/>
      <c r="AW1" s="1672"/>
      <c r="AX1" s="1672"/>
      <c r="AY1" s="1672"/>
      <c r="AZ1" s="1672"/>
      <c r="BA1" s="1672"/>
    </row>
    <row r="2" spans="2:55" ht="30" customHeight="1" thickBot="1">
      <c r="B2" s="505" t="s">
        <v>307</v>
      </c>
      <c r="C2" s="506"/>
      <c r="D2" s="507"/>
      <c r="E2" s="508"/>
      <c r="F2" s="508"/>
      <c r="G2" s="509" t="s">
        <v>308</v>
      </c>
      <c r="H2" s="506"/>
      <c r="I2" s="510"/>
      <c r="J2" s="507"/>
      <c r="K2" s="564"/>
      <c r="L2" s="565"/>
      <c r="M2" s="507"/>
      <c r="N2" s="511"/>
      <c r="Q2" s="504"/>
      <c r="R2" s="504"/>
      <c r="S2" s="1108"/>
      <c r="T2" s="505" t="s">
        <v>307</v>
      </c>
      <c r="U2" s="506"/>
      <c r="V2" s="507"/>
      <c r="W2" s="508"/>
      <c r="X2" s="508"/>
      <c r="Y2" s="509" t="s">
        <v>308</v>
      </c>
      <c r="Z2" s="506"/>
      <c r="AA2" s="510"/>
      <c r="AB2" s="507"/>
      <c r="AC2" s="564"/>
      <c r="AD2" s="565"/>
      <c r="AE2" s="507"/>
      <c r="AF2" s="511"/>
      <c r="AI2" s="504"/>
      <c r="AJ2" s="1108"/>
      <c r="AK2" s="1108"/>
      <c r="AL2" s="505" t="s">
        <v>307</v>
      </c>
      <c r="AM2" s="506"/>
      <c r="AN2" s="507"/>
      <c r="AO2" s="508"/>
      <c r="AP2" s="508"/>
      <c r="AQ2" s="509" t="s">
        <v>308</v>
      </c>
      <c r="AR2" s="506"/>
      <c r="AS2" s="510"/>
      <c r="AT2" s="507"/>
      <c r="AU2" s="564"/>
      <c r="AV2" s="565"/>
      <c r="AW2" s="507"/>
      <c r="AX2" s="511"/>
      <c r="BA2" s="504"/>
    </row>
    <row r="3" spans="2:55" ht="29.25" customHeight="1" thickBot="1">
      <c r="B3" s="505" t="s">
        <v>885</v>
      </c>
      <c r="C3" s="511"/>
      <c r="D3" s="507"/>
      <c r="E3" s="508"/>
      <c r="F3" s="508"/>
      <c r="G3" s="511" t="s">
        <v>309</v>
      </c>
      <c r="H3" s="511"/>
      <c r="I3" s="510"/>
      <c r="J3" s="566"/>
      <c r="L3" s="561" t="s">
        <v>310</v>
      </c>
      <c r="M3" s="563"/>
      <c r="N3" s="570"/>
      <c r="Q3" s="504"/>
      <c r="R3" s="504"/>
      <c r="S3" s="1108"/>
      <c r="T3" s="505" t="s">
        <v>885</v>
      </c>
      <c r="U3" s="511"/>
      <c r="V3" s="507"/>
      <c r="W3" s="508"/>
      <c r="X3" s="508"/>
      <c r="Y3" s="511" t="s">
        <v>309</v>
      </c>
      <c r="Z3" s="511"/>
      <c r="AA3" s="510"/>
      <c r="AB3" s="566"/>
      <c r="AD3" s="561" t="s">
        <v>310</v>
      </c>
      <c r="AE3" s="563"/>
      <c r="AF3" s="570"/>
      <c r="AI3" s="504"/>
      <c r="AJ3" s="1108"/>
      <c r="AK3" s="1108"/>
      <c r="AL3" s="505" t="s">
        <v>885</v>
      </c>
      <c r="AM3" s="511"/>
      <c r="AN3" s="507"/>
      <c r="AO3" s="508"/>
      <c r="AP3" s="508"/>
      <c r="AQ3" s="511" t="s">
        <v>309</v>
      </c>
      <c r="AR3" s="511"/>
      <c r="AS3" s="510"/>
      <c r="AT3" s="566"/>
      <c r="AV3" s="561" t="s">
        <v>310</v>
      </c>
      <c r="AW3" s="563"/>
      <c r="AX3" s="570"/>
      <c r="BA3" s="504"/>
    </row>
    <row r="4" spans="2:55" ht="32.25" customHeight="1" thickBot="1">
      <c r="B4" s="507"/>
      <c r="C4" s="507"/>
      <c r="D4" s="507"/>
      <c r="F4" s="512" t="s">
        <v>311</v>
      </c>
      <c r="G4" s="513" t="s">
        <v>247</v>
      </c>
      <c r="H4" s="507"/>
      <c r="I4" s="514" t="s">
        <v>312</v>
      </c>
      <c r="J4" s="507"/>
      <c r="L4" s="561" t="s">
        <v>313</v>
      </c>
      <c r="N4" s="1679" t="s">
        <v>314</v>
      </c>
      <c r="O4" s="1680"/>
      <c r="P4" s="1680"/>
      <c r="Q4" s="1681"/>
      <c r="R4" s="1105"/>
      <c r="S4" s="1105"/>
      <c r="T4" s="507"/>
      <c r="U4" s="507"/>
      <c r="V4" s="507"/>
      <c r="X4" s="512" t="s">
        <v>311</v>
      </c>
      <c r="Y4" s="513" t="s">
        <v>247</v>
      </c>
      <c r="Z4" s="507"/>
      <c r="AA4" s="514" t="s">
        <v>312</v>
      </c>
      <c r="AB4" s="507"/>
      <c r="AD4" s="561" t="s">
        <v>313</v>
      </c>
      <c r="AF4" s="1673" t="s">
        <v>314</v>
      </c>
      <c r="AG4" s="1674"/>
      <c r="AH4" s="1674"/>
      <c r="AI4" s="1675"/>
      <c r="AJ4" s="1105"/>
      <c r="AK4" s="1105"/>
      <c r="AL4" s="507"/>
      <c r="AM4" s="507"/>
      <c r="AN4" s="507"/>
      <c r="AP4" s="512" t="s">
        <v>311</v>
      </c>
      <c r="AQ4" s="513" t="s">
        <v>247</v>
      </c>
      <c r="AR4" s="507"/>
      <c r="AS4" s="514" t="s">
        <v>312</v>
      </c>
      <c r="AT4" s="507"/>
      <c r="AV4" s="561" t="s">
        <v>313</v>
      </c>
      <c r="AX4" s="1679" t="s">
        <v>314</v>
      </c>
      <c r="AY4" s="1680"/>
      <c r="AZ4" s="1680"/>
      <c r="BA4" s="1680"/>
      <c r="BB4" s="571"/>
    </row>
    <row r="5" spans="2:55" ht="30" customHeight="1" thickBot="1">
      <c r="B5" s="556" t="str">
        <f ca="1">'ETAT-PAY-PERM'!F10</f>
        <v>أجـــرة شهـــر جوان 2019</v>
      </c>
      <c r="C5" s="557"/>
      <c r="D5" s="557"/>
      <c r="E5" s="515"/>
      <c r="F5" s="515"/>
      <c r="G5" s="516">
        <f>'ورقة العمل'!Y3</f>
        <v>70</v>
      </c>
      <c r="H5" s="507"/>
      <c r="I5" s="517" t="s">
        <v>107</v>
      </c>
      <c r="J5" s="562"/>
      <c r="L5" s="568" t="s">
        <v>315</v>
      </c>
      <c r="N5" s="1676" t="s">
        <v>561</v>
      </c>
      <c r="O5" s="1677"/>
      <c r="P5" s="1677"/>
      <c r="Q5" s="1678"/>
      <c r="R5" s="1106"/>
      <c r="S5" s="1106"/>
      <c r="T5" s="556" t="str">
        <f ca="1">B5</f>
        <v>أجـــرة شهـــر جوان 2019</v>
      </c>
      <c r="U5" s="557"/>
      <c r="V5" s="557"/>
      <c r="W5" s="515"/>
      <c r="X5" s="515"/>
      <c r="Y5" s="516">
        <f>AQ5+1</f>
        <v>72</v>
      </c>
      <c r="Z5" s="507"/>
      <c r="AA5" s="517" t="s">
        <v>107</v>
      </c>
      <c r="AB5" s="562"/>
      <c r="AD5" s="568" t="s">
        <v>315</v>
      </c>
      <c r="AF5" s="1676" t="s">
        <v>648</v>
      </c>
      <c r="AG5" s="1677"/>
      <c r="AH5" s="1677"/>
      <c r="AI5" s="1678"/>
      <c r="AJ5" s="1106"/>
      <c r="AK5" s="1106"/>
      <c r="AL5" s="556" t="str">
        <f ca="1">T5</f>
        <v>أجـــرة شهـــر جوان 2019</v>
      </c>
      <c r="AM5" s="557"/>
      <c r="AN5" s="557"/>
      <c r="AO5" s="515"/>
      <c r="AP5" s="515"/>
      <c r="AQ5" s="516">
        <f>G5+1</f>
        <v>71</v>
      </c>
      <c r="AR5" s="507"/>
      <c r="AS5" s="517" t="s">
        <v>107</v>
      </c>
      <c r="AT5" s="562"/>
      <c r="AV5" s="568" t="s">
        <v>315</v>
      </c>
      <c r="AX5" s="1676" t="s">
        <v>548</v>
      </c>
      <c r="AY5" s="1677"/>
      <c r="AZ5" s="1677"/>
      <c r="BA5" s="1677"/>
      <c r="BB5" s="571"/>
    </row>
    <row r="6" spans="2:55" ht="10.5" customHeight="1" thickBot="1">
      <c r="B6" s="503"/>
      <c r="C6" s="518"/>
      <c r="D6" s="503"/>
      <c r="E6" s="503"/>
      <c r="F6" s="503"/>
      <c r="G6" s="503"/>
      <c r="H6" s="503"/>
      <c r="I6" s="503"/>
      <c r="J6" s="503"/>
      <c r="K6" s="567"/>
      <c r="L6" s="503"/>
      <c r="M6" s="569"/>
      <c r="N6" s="503"/>
      <c r="O6" s="503"/>
      <c r="P6" s="503"/>
      <c r="Q6" s="504"/>
      <c r="R6" s="504"/>
      <c r="S6" s="1108"/>
      <c r="T6" s="1115"/>
      <c r="U6" s="1114"/>
      <c r="V6" s="503"/>
      <c r="W6" s="503"/>
      <c r="X6" s="503"/>
      <c r="Y6" s="503"/>
      <c r="Z6" s="503"/>
      <c r="AA6" s="503"/>
      <c r="AB6" s="503"/>
      <c r="AC6" s="567"/>
      <c r="AD6" s="503"/>
      <c r="AE6" s="569"/>
      <c r="AF6" s="503"/>
      <c r="AG6" s="503"/>
      <c r="AH6" s="503"/>
      <c r="AI6" s="504"/>
      <c r="AJ6" s="1108"/>
      <c r="AK6" s="1108"/>
      <c r="AL6" s="503"/>
      <c r="AM6" s="518"/>
      <c r="AN6" s="503"/>
      <c r="AO6" s="503"/>
      <c r="AP6" s="503"/>
      <c r="AQ6" s="503"/>
      <c r="AR6" s="503"/>
      <c r="AS6" s="503"/>
      <c r="AT6" s="503"/>
      <c r="AU6" s="567"/>
      <c r="AV6" s="503"/>
      <c r="AW6" s="569"/>
      <c r="AX6" s="503"/>
      <c r="AY6" s="503"/>
      <c r="AZ6" s="503"/>
      <c r="BA6" s="504"/>
    </row>
    <row r="7" spans="2:55" ht="20.25" customHeight="1" thickBot="1">
      <c r="B7" s="1644" t="s">
        <v>7</v>
      </c>
      <c r="C7" s="1653" t="s">
        <v>316</v>
      </c>
      <c r="D7" s="1655" t="s">
        <v>317</v>
      </c>
      <c r="E7" s="1656"/>
      <c r="F7" s="1656"/>
      <c r="G7" s="1656"/>
      <c r="H7" s="1656"/>
      <c r="I7" s="1656"/>
      <c r="J7" s="1657" t="s">
        <v>318</v>
      </c>
      <c r="K7" s="1658"/>
      <c r="L7" s="1659"/>
      <c r="M7" s="1663" t="s">
        <v>319</v>
      </c>
      <c r="N7" s="1665" t="s">
        <v>320</v>
      </c>
      <c r="O7" s="1666"/>
      <c r="P7" s="1667"/>
      <c r="Q7" s="1644" t="s">
        <v>19</v>
      </c>
      <c r="R7" s="1107"/>
      <c r="S7" s="1107"/>
      <c r="T7" s="1644" t="s">
        <v>7</v>
      </c>
      <c r="U7" s="1659" t="s">
        <v>316</v>
      </c>
      <c r="V7" s="1655" t="s">
        <v>317</v>
      </c>
      <c r="W7" s="1656"/>
      <c r="X7" s="1656"/>
      <c r="Y7" s="1656"/>
      <c r="Z7" s="1656"/>
      <c r="AA7" s="1656"/>
      <c r="AB7" s="1657" t="s">
        <v>318</v>
      </c>
      <c r="AC7" s="1658"/>
      <c r="AD7" s="1659"/>
      <c r="AE7" s="1663" t="s">
        <v>319</v>
      </c>
      <c r="AF7" s="1665" t="s">
        <v>320</v>
      </c>
      <c r="AG7" s="1666"/>
      <c r="AH7" s="1667"/>
      <c r="AI7" s="1665" t="s">
        <v>19</v>
      </c>
      <c r="AJ7" s="1111"/>
      <c r="AK7" s="1107"/>
      <c r="AL7" s="1644" t="s">
        <v>7</v>
      </c>
      <c r="AM7" s="1653" t="s">
        <v>316</v>
      </c>
      <c r="AN7" s="1655" t="s">
        <v>317</v>
      </c>
      <c r="AO7" s="1656"/>
      <c r="AP7" s="1656"/>
      <c r="AQ7" s="1656"/>
      <c r="AR7" s="1656"/>
      <c r="AS7" s="1656"/>
      <c r="AT7" s="1657" t="s">
        <v>318</v>
      </c>
      <c r="AU7" s="1658"/>
      <c r="AV7" s="1659"/>
      <c r="AW7" s="1663" t="s">
        <v>319</v>
      </c>
      <c r="AX7" s="1665" t="s">
        <v>320</v>
      </c>
      <c r="AY7" s="1666"/>
      <c r="AZ7" s="1667"/>
      <c r="BA7" s="1644" t="s">
        <v>19</v>
      </c>
    </row>
    <row r="8" spans="2:55" ht="20.25" customHeight="1" thickBot="1">
      <c r="B8" s="1645"/>
      <c r="C8" s="1654"/>
      <c r="D8" s="1075" t="s">
        <v>26</v>
      </c>
      <c r="E8" s="1075" t="s">
        <v>321</v>
      </c>
      <c r="F8" s="519" t="s">
        <v>322</v>
      </c>
      <c r="G8" s="519" t="s">
        <v>323</v>
      </c>
      <c r="H8" s="520" t="s">
        <v>24</v>
      </c>
      <c r="I8" s="521"/>
      <c r="J8" s="1660"/>
      <c r="K8" s="1661"/>
      <c r="L8" s="1662"/>
      <c r="M8" s="1664"/>
      <c r="N8" s="1668"/>
      <c r="O8" s="1669"/>
      <c r="P8" s="1670"/>
      <c r="Q8" s="1645"/>
      <c r="R8" s="1107"/>
      <c r="S8" s="1107"/>
      <c r="T8" s="1645"/>
      <c r="U8" s="1662"/>
      <c r="V8" s="1075" t="s">
        <v>26</v>
      </c>
      <c r="W8" s="1075" t="s">
        <v>321</v>
      </c>
      <c r="X8" s="519" t="s">
        <v>322</v>
      </c>
      <c r="Y8" s="519" t="s">
        <v>323</v>
      </c>
      <c r="Z8" s="520" t="s">
        <v>24</v>
      </c>
      <c r="AA8" s="521"/>
      <c r="AB8" s="1660"/>
      <c r="AC8" s="1661"/>
      <c r="AD8" s="1662"/>
      <c r="AE8" s="1664"/>
      <c r="AF8" s="1668"/>
      <c r="AG8" s="1669"/>
      <c r="AH8" s="1670"/>
      <c r="AI8" s="1668"/>
      <c r="AJ8" s="1111"/>
      <c r="AK8" s="1107"/>
      <c r="AL8" s="1645"/>
      <c r="AM8" s="1654"/>
      <c r="AN8" s="1075" t="s">
        <v>26</v>
      </c>
      <c r="AO8" s="1075" t="s">
        <v>321</v>
      </c>
      <c r="AP8" s="519" t="s">
        <v>322</v>
      </c>
      <c r="AQ8" s="519" t="s">
        <v>323</v>
      </c>
      <c r="AR8" s="520" t="s">
        <v>24</v>
      </c>
      <c r="AS8" s="521"/>
      <c r="AT8" s="1660"/>
      <c r="AU8" s="1661"/>
      <c r="AV8" s="1662"/>
      <c r="AW8" s="1664"/>
      <c r="AX8" s="1668"/>
      <c r="AY8" s="1669"/>
      <c r="AZ8" s="1670"/>
      <c r="BA8" s="1645"/>
    </row>
    <row r="9" spans="2:55" s="1098" customFormat="1" ht="98.25" customHeight="1" thickBot="1">
      <c r="B9" s="1126">
        <f>LOOKUP(Q9,'ETAT-PAY-PERM'!$AI$15:$AI$93,'ETAT-PAY-PERM'!$N$15:$N$93)</f>
        <v>215751.75</v>
      </c>
      <c r="C9" s="1126">
        <f>LOOKUP(Q9,'ETAT-PAY-PERM'!$AI$15:$AI$93,'ETAT-PAY-PERM'!$G$15:$G$93)</f>
        <v>5000</v>
      </c>
      <c r="D9" s="1127">
        <f>LOOKUP(Q9,'ETAT-PAY-PERM'!$AI$15:$AI$93,'ETAT-PAY-PERM'!$J$15:$J$93)</f>
        <v>0</v>
      </c>
      <c r="E9" s="1127">
        <f>LOOKUP(Q9,'ETAT-PAY-PERM'!$AI$15:$AI$93,'ETAT-PAY-PERM'!$I$15:$I$93)</f>
        <v>26192.75</v>
      </c>
      <c r="F9" s="1128">
        <f>LOOKUP(Q9,'ETAT-PAY-PERM'!$AI$15:$AI$93,'ETAT-PAY-PERM'!$L$15:$L$93)</f>
        <v>2057.1799999999998</v>
      </c>
      <c r="G9" s="1129">
        <f>LOOKUP(Q9,'ETAT-PAY-PERM'!$AI$15:$AI$93,'ETAT-PAY-PERM'!$M$15:$M$93)</f>
        <v>3085.77</v>
      </c>
      <c r="H9" s="1646">
        <f>LOOKUP(Q9,'ETAT-PAY-PERM'!$AI$15:$AI$93,'ETAT-PAY-PERM'!$H$15:$H$93)</f>
        <v>18514.62</v>
      </c>
      <c r="I9" s="1647"/>
      <c r="J9" s="1646">
        <f>LOOKUP(Q9,'ETAT-PAY-PERM'!$AI$15:$AI$93,'ETAT-PAY-PERM'!$F$15:$F$93)</f>
        <v>151377.62</v>
      </c>
      <c r="K9" s="1648"/>
      <c r="L9" s="1649"/>
      <c r="M9" s="1130">
        <f>LOOKUP(Q9,'ETAT-PAY-PERM'!$AI$15:$AI$93,'ETAT-PAY-PERM'!$E$15:$E$93)</f>
        <v>326532</v>
      </c>
      <c r="N9" s="1650" t="str">
        <f>LOOKUP(Q9,'ETAT-PAY-PERM'!$AI$15:$AI$93,'ETAT-PAY-PERM'!$C$15:$C$93)</f>
        <v>فففففففففففففففففففف</v>
      </c>
      <c r="O9" s="1651"/>
      <c r="P9" s="1652"/>
      <c r="Q9" s="1118">
        <v>1</v>
      </c>
      <c r="R9" s="1109"/>
      <c r="S9" s="1109"/>
      <c r="T9" s="1126">
        <f>LOOKUP(AI9,'ETAT-PAY-PERM'!$AH$15:$AH$93,'ETAT-PAY-PERM'!$N$15:$N$93)</f>
        <v>112698.5</v>
      </c>
      <c r="U9" s="1126">
        <f>LOOKUP(AI9,'ETAT-PAY-PERM'!$AH$15:$AH$93,'ETAT-PAY-PERM'!$G$15:$G$93)</f>
        <v>5000</v>
      </c>
      <c r="V9" s="1127">
        <f>LOOKUP(AI9,'ETAT-PAY-PERM'!$AH$15:$AH$93,'ETAT-PAY-PERM'!$J$15:$J$93)</f>
        <v>0</v>
      </c>
      <c r="W9" s="1127">
        <f>LOOKUP(AI9,'ETAT-PAY-PERM'!$AH$15:$AH$93,'ETAT-PAY-PERM'!$I$15:$I$93)</f>
        <v>11918.1</v>
      </c>
      <c r="X9" s="1128">
        <f>LOOKUP(AI9,'ETAT-PAY-PERM'!$AH$15:$AH$93,'ETAT-PAY-PERM'!$L$15:$L$93)</f>
        <v>0</v>
      </c>
      <c r="Y9" s="1129">
        <f>LOOKUP(AI9,'ETAT-PAY-PERM'!$AH$15:$AH$93,'ETAT-PAY-PERM'!$M$15:$M$93)</f>
        <v>0</v>
      </c>
      <c r="Z9" s="1646">
        <f>LOOKUP(AI9,'ETAT-PAY-PERM'!$AH$15:$AH$93,'ETAT-PAY-PERM'!$H$15:$H$93)</f>
        <v>9960.84</v>
      </c>
      <c r="AA9" s="1647"/>
      <c r="AB9" s="1646">
        <f>LOOKUP(AI9,'ETAT-PAY-PERM'!$AH$15:$AH$93,'ETAT-PAY-PERM'!$F$15:$F$93)</f>
        <v>85819.56</v>
      </c>
      <c r="AC9" s="1648"/>
      <c r="AD9" s="1649"/>
      <c r="AE9" s="1130">
        <f>LOOKUP(AI9,'ETAT-PAY-PERM'!$AH$15:$AH$93,'ETAT-PAY-PERM'!$E$15:$E$93)</f>
        <v>7777777777</v>
      </c>
      <c r="AF9" s="1650" t="str">
        <f>LOOKUP(AI9,'ETAT-PAY-PERM'!$AH$15:$AH$93,'ETAT-PAY-PERM'!$C$15:$C$93)</f>
        <v>ففففففففلللللللللللللل</v>
      </c>
      <c r="AG9" s="1651"/>
      <c r="AH9" s="1652"/>
      <c r="AI9" s="1118">
        <v>1</v>
      </c>
      <c r="AJ9" s="1109"/>
      <c r="AK9" s="1109"/>
      <c r="AL9" s="1126">
        <f>LOOKUP(BA9,'ETAT-PAY-PERM'!$AG$15:$AG$93,'ETAT-PAY-PERM'!$N$15:$N$93)</f>
        <v>240370</v>
      </c>
      <c r="AM9" s="1126">
        <f>LOOKUP(BA9,'ETAT-PAY-PERM'!$AG$15:$AG$93,'ETAT-PAY-PERM'!$G$15:$G$93)</f>
        <v>5000</v>
      </c>
      <c r="AN9" s="1127">
        <f>LOOKUP(BA9,'ETAT-PAY-PERM'!$AG$15:$AG$93,'ETAT-PAY-PERM'!$J$15:$J$93)</f>
        <v>0</v>
      </c>
      <c r="AO9" s="1127">
        <f>LOOKUP(BA9,'ETAT-PAY-PERM'!$AG$15:$AG$93,'ETAT-PAY-PERM'!$I$15:$I$93)</f>
        <v>30081.17</v>
      </c>
      <c r="AP9" s="1128">
        <f>LOOKUP(BA9,'ETAT-PAY-PERM'!$AG$15:$AG$93,'ETAT-PAY-PERM'!$L$15:$L$93)</f>
        <v>2323.6999999999998</v>
      </c>
      <c r="AQ9" s="1129">
        <f>LOOKUP(BA9,'ETAT-PAY-PERM'!$AG$15:$AG$93,'ETAT-PAY-PERM'!$M$15:$M$93)</f>
        <v>3485.55</v>
      </c>
      <c r="AR9" s="1646">
        <f>LOOKUP(BA9,'ETAT-PAY-PERM'!$AG$15:$AG$93,'ETAT-PAY-PERM'!$H$15:$H$93)</f>
        <v>20913.3</v>
      </c>
      <c r="AS9" s="1647"/>
      <c r="AT9" s="1646">
        <f>LOOKUP(BA9,'ETAT-PAY-PERM'!$AG$15:$AG$93,'ETAT-PAY-PERM'!$F$15:$F$93)</f>
        <v>178566.28</v>
      </c>
      <c r="AU9" s="1648"/>
      <c r="AV9" s="1649"/>
      <c r="AW9" s="1130">
        <f>LOOKUP(BA9,'ETAT-PAY-PERM'!$AG$15:$AG$93,'ETAT-PAY-PERM'!$E$15:$E$93)</f>
        <v>2525252</v>
      </c>
      <c r="AX9" s="1650" t="str">
        <f>LOOKUP(BA9,'ETAT-PAY-PERM'!$AG$15:$AG$93,'ETAT-PAY-PERM'!$C$15:$C$93)</f>
        <v>لللللللللللللللللللللل</v>
      </c>
      <c r="AY9" s="1651"/>
      <c r="AZ9" s="1652"/>
      <c r="BA9" s="1118">
        <v>1</v>
      </c>
    </row>
    <row r="10" spans="2:55" s="1103" customFormat="1" ht="21.75" customHeight="1">
      <c r="B10" s="1099"/>
      <c r="C10" s="1100"/>
      <c r="D10" s="1099"/>
      <c r="E10" s="1099"/>
      <c r="F10" s="1099"/>
      <c r="G10" s="1101"/>
      <c r="H10" s="1099"/>
      <c r="I10" s="1099"/>
      <c r="J10" s="1099"/>
      <c r="K10" s="1102"/>
      <c r="L10" s="1102"/>
      <c r="M10" s="558"/>
      <c r="N10" s="559"/>
      <c r="O10" s="559"/>
      <c r="P10" s="559"/>
      <c r="Q10" s="560"/>
      <c r="R10" s="1104"/>
      <c r="S10" s="1104"/>
      <c r="T10" s="1099"/>
      <c r="U10" s="1100"/>
      <c r="V10" s="1099"/>
      <c r="W10" s="1099"/>
      <c r="X10" s="1099"/>
      <c r="Y10" s="1101"/>
      <c r="Z10" s="1099"/>
      <c r="AA10" s="1099"/>
      <c r="AB10" s="1099"/>
      <c r="AC10" s="1102"/>
      <c r="AD10" s="1102"/>
      <c r="AE10" s="558"/>
      <c r="AF10" s="559"/>
      <c r="AG10" s="559"/>
      <c r="AH10" s="559"/>
      <c r="AI10" s="560"/>
      <c r="AJ10" s="1104"/>
      <c r="AK10" s="1104"/>
      <c r="AL10" s="1099"/>
      <c r="AM10" s="1100"/>
      <c r="AN10" s="1099"/>
      <c r="AO10" s="1099"/>
      <c r="AP10" s="1099"/>
      <c r="AQ10" s="1101"/>
      <c r="AR10" s="1099"/>
      <c r="AS10" s="1099"/>
      <c r="AT10" s="1099"/>
      <c r="AU10" s="1102"/>
      <c r="AV10" s="1102"/>
      <c r="AW10" s="558"/>
      <c r="AX10" s="559"/>
      <c r="AY10" s="559"/>
      <c r="AZ10" s="559"/>
      <c r="BA10" s="560"/>
    </row>
    <row r="11" spans="2:55" ht="42.75" customHeight="1">
      <c r="B11" s="1671" t="s">
        <v>306</v>
      </c>
      <c r="C11" s="1672"/>
      <c r="D11" s="1671"/>
      <c r="E11" s="1671"/>
      <c r="F11" s="1671"/>
      <c r="G11" s="1671"/>
      <c r="H11" s="1671"/>
      <c r="I11" s="1671"/>
      <c r="J11" s="1671"/>
      <c r="K11" s="1671"/>
      <c r="L11" s="1671"/>
      <c r="M11" s="1671"/>
      <c r="N11" s="1671"/>
      <c r="O11" s="1671"/>
      <c r="P11" s="1671"/>
      <c r="Q11" s="1671"/>
      <c r="R11" s="1076"/>
      <c r="S11" s="1076"/>
      <c r="T11" s="1671" t="s">
        <v>306</v>
      </c>
      <c r="U11" s="1672"/>
      <c r="V11" s="1671"/>
      <c r="W11" s="1671"/>
      <c r="X11" s="1671"/>
      <c r="Y11" s="1671"/>
      <c r="Z11" s="1671"/>
      <c r="AA11" s="1671"/>
      <c r="AB11" s="1671"/>
      <c r="AC11" s="1671"/>
      <c r="AD11" s="1671"/>
      <c r="AE11" s="1671"/>
      <c r="AF11" s="1671"/>
      <c r="AG11" s="1671"/>
      <c r="AH11" s="1671"/>
      <c r="AI11" s="1671"/>
      <c r="AJ11" s="1076"/>
      <c r="AK11" s="1076"/>
      <c r="AL11" s="1149"/>
      <c r="AM11" s="1149"/>
      <c r="AN11" s="1149"/>
      <c r="AO11" s="1149"/>
      <c r="AP11" s="1149"/>
      <c r="AQ11" s="1149"/>
      <c r="AR11" s="1149"/>
      <c r="AS11" s="1149"/>
      <c r="AT11" s="1149"/>
      <c r="AU11" s="1149"/>
      <c r="AV11" s="1149"/>
      <c r="AW11" s="1149"/>
      <c r="AX11" s="1149"/>
      <c r="AY11" s="1149"/>
      <c r="AZ11" s="1149"/>
      <c r="BA11" s="1149"/>
      <c r="BB11" s="3"/>
      <c r="BC11" s="3"/>
    </row>
    <row r="12" spans="2:55" ht="30" customHeight="1" thickBot="1">
      <c r="B12" s="505" t="s">
        <v>307</v>
      </c>
      <c r="C12" s="506"/>
      <c r="D12" s="507"/>
      <c r="E12" s="508"/>
      <c r="F12" s="508"/>
      <c r="G12" s="509" t="s">
        <v>308</v>
      </c>
      <c r="H12" s="506"/>
      <c r="I12" s="510"/>
      <c r="J12" s="507"/>
      <c r="K12" s="564"/>
      <c r="L12" s="565"/>
      <c r="M12" s="507"/>
      <c r="N12" s="511"/>
      <c r="Q12" s="504"/>
      <c r="R12" s="504"/>
      <c r="S12" s="1108"/>
      <c r="T12" s="505" t="s">
        <v>307</v>
      </c>
      <c r="U12" s="506"/>
      <c r="V12" s="507"/>
      <c r="W12" s="508"/>
      <c r="X12" s="508"/>
      <c r="Y12" s="509" t="s">
        <v>308</v>
      </c>
      <c r="Z12" s="506"/>
      <c r="AA12" s="510"/>
      <c r="AB12" s="507"/>
      <c r="AC12" s="564"/>
      <c r="AD12" s="565"/>
      <c r="AE12" s="507"/>
      <c r="AF12" s="511"/>
      <c r="AI12" s="504"/>
      <c r="AJ12" s="1108"/>
      <c r="AK12" s="1108"/>
      <c r="AL12" s="1131"/>
      <c r="AM12" s="1105"/>
      <c r="AN12" s="1132"/>
      <c r="AO12" s="1133"/>
      <c r="AP12" s="1133"/>
      <c r="AQ12" s="1134"/>
      <c r="AR12" s="1105"/>
      <c r="AS12" s="1135"/>
      <c r="AT12" s="1132"/>
      <c r="AU12" s="1136"/>
      <c r="AV12" s="1132"/>
      <c r="AW12" s="1132"/>
      <c r="AX12" s="1105"/>
      <c r="AY12" s="3"/>
      <c r="AZ12" s="3"/>
      <c r="BA12" s="1108"/>
      <c r="BB12" s="3"/>
      <c r="BC12" s="3"/>
    </row>
    <row r="13" spans="2:55" ht="29.25" customHeight="1" thickBot="1">
      <c r="B13" s="505" t="s">
        <v>885</v>
      </c>
      <c r="C13" s="511"/>
      <c r="D13" s="507"/>
      <c r="E13" s="508"/>
      <c r="F13" s="508"/>
      <c r="G13" s="511" t="s">
        <v>309</v>
      </c>
      <c r="H13" s="511"/>
      <c r="I13" s="510"/>
      <c r="J13" s="566"/>
      <c r="L13" s="561" t="s">
        <v>310</v>
      </c>
      <c r="M13" s="563"/>
      <c r="N13" s="570"/>
      <c r="Q13" s="504"/>
      <c r="R13" s="504"/>
      <c r="S13" s="1108"/>
      <c r="T13" s="505" t="s">
        <v>885</v>
      </c>
      <c r="U13" s="511"/>
      <c r="V13" s="507"/>
      <c r="W13" s="508"/>
      <c r="X13" s="508"/>
      <c r="Y13" s="511" t="s">
        <v>309</v>
      </c>
      <c r="Z13" s="511"/>
      <c r="AA13" s="510"/>
      <c r="AB13" s="566"/>
      <c r="AD13" s="561" t="s">
        <v>310</v>
      </c>
      <c r="AE13" s="563"/>
      <c r="AF13" s="570"/>
      <c r="AI13" s="504"/>
      <c r="AJ13" s="1108"/>
      <c r="AK13" s="1108"/>
      <c r="AL13" s="1131"/>
      <c r="AM13" s="1105"/>
      <c r="AN13" s="1132"/>
      <c r="AO13" s="1133"/>
      <c r="AP13" s="1133"/>
      <c r="AQ13" s="1105"/>
      <c r="AR13" s="1105"/>
      <c r="AS13" s="1135"/>
      <c r="AT13" s="1132"/>
      <c r="AU13" s="3"/>
      <c r="AV13" s="1150"/>
      <c r="AW13" s="1132"/>
      <c r="AX13" s="1132"/>
      <c r="AY13" s="3"/>
      <c r="AZ13" s="3"/>
      <c r="BA13" s="1108"/>
      <c r="BB13" s="3"/>
      <c r="BC13" s="3"/>
    </row>
    <row r="14" spans="2:55" ht="32.25" customHeight="1" thickBot="1">
      <c r="B14" s="507"/>
      <c r="C14" s="507"/>
      <c r="D14" s="507"/>
      <c r="F14" s="512" t="s">
        <v>311</v>
      </c>
      <c r="G14" s="513" t="s">
        <v>247</v>
      </c>
      <c r="H14" s="507"/>
      <c r="I14" s="514" t="s">
        <v>312</v>
      </c>
      <c r="J14" s="507"/>
      <c r="L14" s="561" t="s">
        <v>313</v>
      </c>
      <c r="N14" s="1679" t="s">
        <v>314</v>
      </c>
      <c r="O14" s="1680"/>
      <c r="P14" s="1680"/>
      <c r="Q14" s="1681"/>
      <c r="R14" s="1105"/>
      <c r="S14" s="1105"/>
      <c r="T14" s="507"/>
      <c r="U14" s="507"/>
      <c r="V14" s="507"/>
      <c r="X14" s="512" t="s">
        <v>311</v>
      </c>
      <c r="Y14" s="513" t="s">
        <v>247</v>
      </c>
      <c r="Z14" s="507"/>
      <c r="AA14" s="514" t="s">
        <v>312</v>
      </c>
      <c r="AB14" s="507"/>
      <c r="AD14" s="561" t="s">
        <v>313</v>
      </c>
      <c r="AF14" s="1679" t="s">
        <v>314</v>
      </c>
      <c r="AG14" s="1680"/>
      <c r="AH14" s="1680"/>
      <c r="AI14" s="1680"/>
      <c r="AJ14" s="1113"/>
      <c r="AK14" s="1105"/>
      <c r="AL14" s="1132"/>
      <c r="AM14" s="1132"/>
      <c r="AN14" s="1132"/>
      <c r="AO14" s="3"/>
      <c r="AP14" s="1105"/>
      <c r="AQ14" s="1105"/>
      <c r="AR14" s="1132"/>
      <c r="AS14" s="1105"/>
      <c r="AT14" s="1132"/>
      <c r="AU14" s="3"/>
      <c r="AV14" s="1150"/>
      <c r="AW14" s="3"/>
      <c r="AX14" s="1137"/>
      <c r="AY14" s="1137"/>
      <c r="AZ14" s="1137"/>
      <c r="BA14" s="1137"/>
      <c r="BB14" s="3"/>
      <c r="BC14" s="3"/>
    </row>
    <row r="15" spans="2:55" ht="30" customHeight="1" thickBot="1">
      <c r="B15" s="556" t="str">
        <f ca="1">B5</f>
        <v>أجـــرة شهـــر جوان 2019</v>
      </c>
      <c r="C15" s="557"/>
      <c r="D15" s="557"/>
      <c r="E15" s="515"/>
      <c r="F15" s="515"/>
      <c r="G15" s="516">
        <f>G5</f>
        <v>70</v>
      </c>
      <c r="H15" s="507"/>
      <c r="I15" s="517" t="s">
        <v>107</v>
      </c>
      <c r="J15" s="562"/>
      <c r="L15" s="568" t="s">
        <v>315</v>
      </c>
      <c r="N15" s="1676" t="s">
        <v>561</v>
      </c>
      <c r="O15" s="1677"/>
      <c r="P15" s="1677"/>
      <c r="Q15" s="1678"/>
      <c r="R15" s="1112"/>
      <c r="S15" s="1110"/>
      <c r="T15" s="557" t="str">
        <f ca="1">T5</f>
        <v>أجـــرة شهـــر جوان 2019</v>
      </c>
      <c r="U15" s="557"/>
      <c r="V15" s="557"/>
      <c r="W15" s="515"/>
      <c r="X15" s="515"/>
      <c r="Y15" s="516">
        <f>Y5</f>
        <v>72</v>
      </c>
      <c r="Z15" s="507"/>
      <c r="AA15" s="517" t="s">
        <v>107</v>
      </c>
      <c r="AB15" s="562"/>
      <c r="AD15" s="568" t="s">
        <v>315</v>
      </c>
      <c r="AF15" s="1676" t="s">
        <v>648</v>
      </c>
      <c r="AG15" s="1677"/>
      <c r="AH15" s="1677"/>
      <c r="AI15" s="1678"/>
      <c r="AJ15" s="1112"/>
      <c r="AK15" s="1106"/>
      <c r="AL15" s="1137"/>
      <c r="AM15" s="1137"/>
      <c r="AN15" s="1137"/>
      <c r="AO15" s="1132"/>
      <c r="AP15" s="1132"/>
      <c r="AQ15" s="1138"/>
      <c r="AR15" s="1132"/>
      <c r="AS15" s="1134"/>
      <c r="AT15" s="1132"/>
      <c r="AU15" s="3"/>
      <c r="AV15" s="1150"/>
      <c r="AW15" s="3"/>
      <c r="AX15" s="1151"/>
      <c r="AY15" s="1151"/>
      <c r="AZ15" s="1151"/>
      <c r="BA15" s="1151"/>
      <c r="BB15" s="3"/>
      <c r="BC15" s="3"/>
    </row>
    <row r="16" spans="2:55" ht="10.5" customHeight="1" thickBot="1">
      <c r="B16" s="503"/>
      <c r="C16" s="518"/>
      <c r="D16" s="503"/>
      <c r="E16" s="503"/>
      <c r="F16" s="503"/>
      <c r="G16" s="503"/>
      <c r="H16" s="503"/>
      <c r="I16" s="503"/>
      <c r="J16" s="503"/>
      <c r="K16" s="567"/>
      <c r="L16" s="503"/>
      <c r="M16" s="569"/>
      <c r="N16" s="503"/>
      <c r="O16" s="503"/>
      <c r="P16" s="503"/>
      <c r="Q16" s="504"/>
      <c r="R16" s="504"/>
      <c r="S16" s="1108"/>
      <c r="T16" s="503"/>
      <c r="U16" s="518"/>
      <c r="V16" s="503"/>
      <c r="W16" s="503"/>
      <c r="X16" s="503"/>
      <c r="Y16" s="503"/>
      <c r="Z16" s="503"/>
      <c r="AA16" s="503"/>
      <c r="AB16" s="503"/>
      <c r="AC16" s="567"/>
      <c r="AD16" s="503"/>
      <c r="AE16" s="569"/>
      <c r="AF16" s="503"/>
      <c r="AG16" s="503"/>
      <c r="AH16" s="503"/>
      <c r="AI16" s="504"/>
      <c r="AJ16" s="1108"/>
      <c r="AK16" s="1108"/>
      <c r="AL16" s="1139"/>
      <c r="AM16" s="1140"/>
      <c r="AN16" s="1139"/>
      <c r="AO16" s="1139"/>
      <c r="AP16" s="1139"/>
      <c r="AQ16" s="1139"/>
      <c r="AR16" s="1139"/>
      <c r="AS16" s="1139"/>
      <c r="AT16" s="1139"/>
      <c r="AU16" s="1141"/>
      <c r="AV16" s="1139"/>
      <c r="AW16" s="1142"/>
      <c r="AX16" s="1139"/>
      <c r="AY16" s="1139"/>
      <c r="AZ16" s="1139"/>
      <c r="BA16" s="1108"/>
      <c r="BB16" s="3"/>
      <c r="BC16" s="3"/>
    </row>
    <row r="17" spans="2:55" ht="20.25" customHeight="1" thickBot="1">
      <c r="B17" s="1644" t="s">
        <v>7</v>
      </c>
      <c r="C17" s="1653" t="s">
        <v>316</v>
      </c>
      <c r="D17" s="1655" t="s">
        <v>317</v>
      </c>
      <c r="E17" s="1656"/>
      <c r="F17" s="1656"/>
      <c r="G17" s="1656"/>
      <c r="H17" s="1656"/>
      <c r="I17" s="1656"/>
      <c r="J17" s="1657" t="s">
        <v>318</v>
      </c>
      <c r="K17" s="1658"/>
      <c r="L17" s="1659"/>
      <c r="M17" s="1663" t="s">
        <v>319</v>
      </c>
      <c r="N17" s="1665" t="s">
        <v>320</v>
      </c>
      <c r="O17" s="1666"/>
      <c r="P17" s="1667"/>
      <c r="Q17" s="1644" t="s">
        <v>19</v>
      </c>
      <c r="R17" s="1107"/>
      <c r="S17" s="1107"/>
      <c r="T17" s="1644" t="s">
        <v>7</v>
      </c>
      <c r="U17" s="1653" t="s">
        <v>316</v>
      </c>
      <c r="V17" s="1655" t="s">
        <v>317</v>
      </c>
      <c r="W17" s="1656"/>
      <c r="X17" s="1656"/>
      <c r="Y17" s="1656"/>
      <c r="Z17" s="1656"/>
      <c r="AA17" s="1656"/>
      <c r="AB17" s="1657" t="s">
        <v>318</v>
      </c>
      <c r="AC17" s="1658"/>
      <c r="AD17" s="1659"/>
      <c r="AE17" s="1663" t="s">
        <v>319</v>
      </c>
      <c r="AF17" s="1665" t="s">
        <v>320</v>
      </c>
      <c r="AG17" s="1666"/>
      <c r="AH17" s="1667"/>
      <c r="AI17" s="1665" t="s">
        <v>19</v>
      </c>
      <c r="AJ17" s="1111"/>
      <c r="AK17" s="1107"/>
      <c r="AL17" s="1152"/>
      <c r="AM17" s="1153"/>
      <c r="AN17" s="1152"/>
      <c r="AO17" s="1152"/>
      <c r="AP17" s="1152"/>
      <c r="AQ17" s="1152"/>
      <c r="AR17" s="1152"/>
      <c r="AS17" s="1152"/>
      <c r="AT17" s="1153"/>
      <c r="AU17" s="1153"/>
      <c r="AV17" s="1153"/>
      <c r="AW17" s="1154"/>
      <c r="AX17" s="1152"/>
      <c r="AY17" s="1152"/>
      <c r="AZ17" s="1152"/>
      <c r="BA17" s="1152"/>
      <c r="BB17" s="3"/>
      <c r="BC17" s="3"/>
    </row>
    <row r="18" spans="2:55" ht="20.25" customHeight="1" thickBot="1">
      <c r="B18" s="1645"/>
      <c r="C18" s="1654"/>
      <c r="D18" s="1075" t="s">
        <v>26</v>
      </c>
      <c r="E18" s="1075" t="s">
        <v>321</v>
      </c>
      <c r="F18" s="519" t="s">
        <v>322</v>
      </c>
      <c r="G18" s="519" t="s">
        <v>323</v>
      </c>
      <c r="H18" s="520" t="s">
        <v>24</v>
      </c>
      <c r="I18" s="521"/>
      <c r="J18" s="1660"/>
      <c r="K18" s="1661"/>
      <c r="L18" s="1662"/>
      <c r="M18" s="1664"/>
      <c r="N18" s="1668"/>
      <c r="O18" s="1669"/>
      <c r="P18" s="1670"/>
      <c r="Q18" s="1645"/>
      <c r="R18" s="1107"/>
      <c r="S18" s="1107"/>
      <c r="T18" s="1645"/>
      <c r="U18" s="1654"/>
      <c r="V18" s="1075" t="s">
        <v>26</v>
      </c>
      <c r="W18" s="1075" t="s">
        <v>321</v>
      </c>
      <c r="X18" s="519" t="s">
        <v>322</v>
      </c>
      <c r="Y18" s="519" t="s">
        <v>323</v>
      </c>
      <c r="Z18" s="520" t="s">
        <v>24</v>
      </c>
      <c r="AA18" s="521"/>
      <c r="AB18" s="1660"/>
      <c r="AC18" s="1661"/>
      <c r="AD18" s="1662"/>
      <c r="AE18" s="1664"/>
      <c r="AF18" s="1668"/>
      <c r="AG18" s="1669"/>
      <c r="AH18" s="1670"/>
      <c r="AI18" s="1668"/>
      <c r="AJ18" s="1111"/>
      <c r="AK18" s="1107"/>
      <c r="AL18" s="1152"/>
      <c r="AM18" s="1153"/>
      <c r="AN18" s="1107"/>
      <c r="AO18" s="1107"/>
      <c r="AP18" s="1107"/>
      <c r="AQ18" s="1107"/>
      <c r="AR18" s="1155"/>
      <c r="AS18" s="1107"/>
      <c r="AT18" s="1153"/>
      <c r="AU18" s="1153"/>
      <c r="AV18" s="1153"/>
      <c r="AW18" s="1154"/>
      <c r="AX18" s="1152"/>
      <c r="AY18" s="1152"/>
      <c r="AZ18" s="1152"/>
      <c r="BA18" s="1152"/>
      <c r="BB18" s="3"/>
      <c r="BC18" s="3"/>
    </row>
    <row r="19" spans="2:55" s="1098" customFormat="1" ht="98.25" customHeight="1" thickBot="1">
      <c r="B19" s="1126">
        <f>LOOKUP(Q19,'ETAT-PAY-PERM'!$AI$15:$AI$93,'ETAT-PAY-PERM'!$N$15:$N$93)</f>
        <v>119237.25</v>
      </c>
      <c r="C19" s="1126">
        <f>LOOKUP(Q19,'ETAT-PAY-PERM'!$AI$15:$AI$93,'ETAT-PAY-PERM'!$G$15:$G$93)</f>
        <v>0</v>
      </c>
      <c r="D19" s="1127">
        <f>LOOKUP(Q19,'ETAT-PAY-PERM'!$AI$15:$AI$93,'ETAT-PAY-PERM'!$J$15:$J$93)</f>
        <v>0</v>
      </c>
      <c r="E19" s="1127">
        <f>LOOKUP(Q19,'ETAT-PAY-PERM'!$AI$15:$AI$93,'ETAT-PAY-PERM'!$I$15:$I$93)</f>
        <v>12757.99</v>
      </c>
      <c r="F19" s="1128">
        <f>LOOKUP(Q19,'ETAT-PAY-PERM'!$AI$15:$AI$93,'ETAT-PAY-PERM'!$L$15:$L$93)</f>
        <v>0</v>
      </c>
      <c r="G19" s="1129">
        <f>LOOKUP(Q19,'ETAT-PAY-PERM'!$AI$15:$AI$93,'ETAT-PAY-PERM'!$M$15:$M$93)</f>
        <v>0</v>
      </c>
      <c r="H19" s="1646">
        <f>LOOKUP(Q19,'ETAT-PAY-PERM'!$AI$15:$AI$93,'ETAT-PAY-PERM'!$H$15:$H$93)</f>
        <v>10648.33</v>
      </c>
      <c r="I19" s="1647"/>
      <c r="J19" s="1646">
        <f>LOOKUP(Q19,'ETAT-PAY-PERM'!$AI$15:$AI$93,'ETAT-PAY-PERM'!$F$15:$F$93)</f>
        <v>95830.93</v>
      </c>
      <c r="K19" s="1648"/>
      <c r="L19" s="1649"/>
      <c r="M19" s="1130">
        <f>LOOKUP(Q19,'ETAT-PAY-PERM'!$AI$15:$AI$93,'ETAT-PAY-PERM'!$E$15:$E$93)</f>
        <v>7777777777</v>
      </c>
      <c r="N19" s="1650" t="str">
        <f>LOOKUP(Q19,'ETAT-PAY-PERM'!$AI$15:$AI$93,'ETAT-PAY-PERM'!$C$15:$C$93)</f>
        <v>سييييييييفففففففففففف</v>
      </c>
      <c r="O19" s="1651"/>
      <c r="P19" s="1652"/>
      <c r="Q19" s="1118">
        <f>Q9+1</f>
        <v>2</v>
      </c>
      <c r="R19" s="1109"/>
      <c r="S19" s="1109"/>
      <c r="T19" s="1126">
        <f>LOOKUP(AI19,'ETAT-PAY-PERM'!$AH$15:$AH$93,'ETAT-PAY-PERM'!$N$15:$N$93)</f>
        <v>58838.5</v>
      </c>
      <c r="U19" s="1126">
        <f>LOOKUP(AI19,'ETAT-PAY-PERM'!$AH$15:$AH$93,'ETAT-PAY-PERM'!$G$15:$G$93)</f>
        <v>5000</v>
      </c>
      <c r="V19" s="1127">
        <f>LOOKUP(AI19,'ETAT-PAY-PERM'!$AH$15:$AH$93,'ETAT-PAY-PERM'!$J$15:$J$93)</f>
        <v>0</v>
      </c>
      <c r="W19" s="1127">
        <f>LOOKUP(AI19,'ETAT-PAY-PERM'!$AH$15:$AH$93,'ETAT-PAY-PERM'!$I$15:$I$93)</f>
        <v>4612.78</v>
      </c>
      <c r="X19" s="1128">
        <f>LOOKUP(AI19,'ETAT-PAY-PERM'!$AH$15:$AH$93,'ETAT-PAY-PERM'!$L$15:$L$93)</f>
        <v>0</v>
      </c>
      <c r="Y19" s="1129">
        <f>LOOKUP(AI19,'ETAT-PAY-PERM'!$AH$15:$AH$93,'ETAT-PAY-PERM'!$M$15:$M$93)</f>
        <v>0</v>
      </c>
      <c r="Z19" s="1646">
        <f>LOOKUP(AI19,'ETAT-PAY-PERM'!$AH$15:$AH$93,'ETAT-PAY-PERM'!$H$15:$H$93)</f>
        <v>5212.4399999999996</v>
      </c>
      <c r="AA19" s="1647"/>
      <c r="AB19" s="1646">
        <f>LOOKUP(AI19,'ETAT-PAY-PERM'!$AH$15:$AH$93,'ETAT-PAY-PERM'!$F$15:$F$93)</f>
        <v>44013.279999999999</v>
      </c>
      <c r="AC19" s="1648"/>
      <c r="AD19" s="1649"/>
      <c r="AE19" s="1130">
        <f>LOOKUP(AI19,'ETAT-PAY-PERM'!$AH$15:$AH$93,'ETAT-PAY-PERM'!$E$15:$E$93)</f>
        <v>11111111111</v>
      </c>
      <c r="AF19" s="1650" t="str">
        <f>LOOKUP(AI19,'ETAT-PAY-PERM'!$AH$15:$AH$93,'ETAT-PAY-PERM'!$C$15:$C$93)</f>
        <v>لللللللللللللللللللللل</v>
      </c>
      <c r="AG19" s="1651"/>
      <c r="AH19" s="1652"/>
      <c r="AI19" s="1118">
        <f>AI9+1</f>
        <v>2</v>
      </c>
      <c r="AJ19" s="1109"/>
      <c r="AK19" s="1109"/>
      <c r="AL19" s="1143"/>
      <c r="AM19" s="1143"/>
      <c r="AN19" s="1143"/>
      <c r="AO19" s="1143"/>
      <c r="AP19" s="1143"/>
      <c r="AQ19" s="1144"/>
      <c r="AR19" s="1156"/>
      <c r="AS19" s="1156"/>
      <c r="AT19" s="1156"/>
      <c r="AU19" s="1157"/>
      <c r="AV19" s="1157"/>
      <c r="AW19" s="1145"/>
      <c r="AX19" s="1158"/>
      <c r="AY19" s="1159"/>
      <c r="AZ19" s="1159"/>
      <c r="BA19" s="1146"/>
      <c r="BB19" s="1147"/>
      <c r="BC19" s="1147"/>
    </row>
    <row r="20" spans="2:55" s="1103" customFormat="1" ht="13.5" customHeight="1">
      <c r="B20" s="1099"/>
      <c r="C20" s="1099"/>
      <c r="D20" s="1099"/>
      <c r="E20" s="1099"/>
      <c r="F20" s="1099"/>
      <c r="G20" s="1101"/>
      <c r="H20" s="1099"/>
      <c r="I20" s="1099"/>
      <c r="J20" s="1099"/>
      <c r="K20" s="1102"/>
      <c r="L20" s="1102"/>
      <c r="M20" s="558"/>
      <c r="N20" s="559"/>
      <c r="O20" s="559"/>
      <c r="P20" s="559"/>
      <c r="Q20" s="560"/>
      <c r="R20" s="1104"/>
      <c r="S20" s="1104"/>
      <c r="T20" s="1099"/>
      <c r="U20" s="1099"/>
      <c r="V20" s="1099"/>
      <c r="W20" s="1099"/>
      <c r="X20" s="1099"/>
      <c r="Y20" s="1101"/>
      <c r="Z20" s="1099"/>
      <c r="AA20" s="1099"/>
      <c r="AB20" s="1099"/>
      <c r="AC20" s="1102"/>
      <c r="AD20" s="1102"/>
      <c r="AE20" s="558"/>
      <c r="AF20" s="559"/>
      <c r="AG20" s="559"/>
      <c r="AH20" s="559"/>
      <c r="AI20" s="560"/>
      <c r="AJ20" s="1104"/>
      <c r="AK20" s="1104"/>
      <c r="AL20" s="1099"/>
      <c r="AM20" s="1099"/>
      <c r="AN20" s="1099"/>
      <c r="AO20" s="1099"/>
      <c r="AP20" s="1099"/>
      <c r="AQ20" s="1101"/>
      <c r="AR20" s="1099"/>
      <c r="AS20" s="1099"/>
      <c r="AT20" s="1099"/>
      <c r="AU20" s="1102"/>
      <c r="AV20" s="1102"/>
      <c r="AW20" s="558"/>
      <c r="AX20" s="559"/>
      <c r="AY20" s="559"/>
      <c r="AZ20" s="559"/>
      <c r="BA20" s="1104"/>
      <c r="BB20" s="1148"/>
      <c r="BC20" s="1148"/>
    </row>
    <row r="21" spans="2:55" ht="42.75" customHeight="1">
      <c r="B21" s="1671" t="s">
        <v>306</v>
      </c>
      <c r="C21" s="1672"/>
      <c r="D21" s="1671"/>
      <c r="E21" s="1671"/>
      <c r="F21" s="1671"/>
      <c r="G21" s="1671"/>
      <c r="H21" s="1671"/>
      <c r="I21" s="1671"/>
      <c r="J21" s="1671"/>
      <c r="K21" s="1671"/>
      <c r="L21" s="1671"/>
      <c r="M21" s="1671"/>
      <c r="N21" s="1671"/>
      <c r="O21" s="1671"/>
      <c r="P21" s="1671"/>
      <c r="Q21" s="1671"/>
      <c r="R21" s="1076"/>
      <c r="S21" s="1076"/>
      <c r="T21" s="1671" t="s">
        <v>306</v>
      </c>
      <c r="U21" s="1672"/>
      <c r="V21" s="1671"/>
      <c r="W21" s="1671"/>
      <c r="X21" s="1671"/>
      <c r="Y21" s="1671"/>
      <c r="Z21" s="1671"/>
      <c r="AA21" s="1671"/>
      <c r="AB21" s="1671"/>
      <c r="AC21" s="1671"/>
      <c r="AD21" s="1671"/>
      <c r="AE21" s="1671"/>
      <c r="AF21" s="1671"/>
      <c r="AG21" s="1671"/>
      <c r="AH21" s="1671"/>
      <c r="AI21" s="1671"/>
      <c r="AJ21" s="1076"/>
      <c r="AK21" s="1076"/>
      <c r="AL21" s="1149"/>
      <c r="AM21" s="1149"/>
      <c r="AN21" s="1149"/>
      <c r="AO21" s="1149"/>
      <c r="AP21" s="1149"/>
      <c r="AQ21" s="1149"/>
      <c r="AR21" s="1149"/>
      <c r="AS21" s="1149"/>
      <c r="AT21" s="1149"/>
      <c r="AU21" s="1149"/>
      <c r="AV21" s="1149"/>
      <c r="AW21" s="1149"/>
      <c r="AX21" s="1149"/>
      <c r="AY21" s="1149"/>
      <c r="AZ21" s="1149"/>
      <c r="BA21" s="1149"/>
      <c r="BB21" s="3"/>
      <c r="BC21" s="3"/>
    </row>
    <row r="22" spans="2:55" ht="30" customHeight="1" thickBot="1">
      <c r="B22" s="505" t="s">
        <v>307</v>
      </c>
      <c r="C22" s="506"/>
      <c r="D22" s="507"/>
      <c r="E22" s="508"/>
      <c r="F22" s="508"/>
      <c r="G22" s="509" t="s">
        <v>308</v>
      </c>
      <c r="H22" s="506"/>
      <c r="I22" s="510"/>
      <c r="J22" s="507"/>
      <c r="K22" s="564"/>
      <c r="L22" s="565"/>
      <c r="M22" s="507"/>
      <c r="N22" s="511"/>
      <c r="Q22" s="504"/>
      <c r="R22" s="504"/>
      <c r="S22" s="1108"/>
      <c r="T22" s="505" t="s">
        <v>307</v>
      </c>
      <c r="U22" s="506"/>
      <c r="V22" s="507"/>
      <c r="W22" s="508"/>
      <c r="X22" s="508"/>
      <c r="Y22" s="509" t="s">
        <v>308</v>
      </c>
      <c r="Z22" s="506"/>
      <c r="AA22" s="510"/>
      <c r="AB22" s="507"/>
      <c r="AC22" s="564"/>
      <c r="AD22" s="565"/>
      <c r="AE22" s="507"/>
      <c r="AF22" s="511"/>
      <c r="AI22" s="504"/>
      <c r="AJ22" s="1108"/>
      <c r="AK22" s="1108"/>
      <c r="AL22" s="1131"/>
      <c r="AM22" s="1105"/>
      <c r="AN22" s="1132"/>
      <c r="AO22" s="1133"/>
      <c r="AP22" s="1133"/>
      <c r="AQ22" s="1134"/>
      <c r="AR22" s="1105"/>
      <c r="AS22" s="1135"/>
      <c r="AT22" s="1132"/>
      <c r="AU22" s="1136"/>
      <c r="AV22" s="1132"/>
      <c r="AW22" s="1132"/>
      <c r="AX22" s="1105"/>
      <c r="AY22" s="3"/>
      <c r="AZ22" s="3"/>
      <c r="BA22" s="1108"/>
      <c r="BB22" s="3"/>
      <c r="BC22" s="3"/>
    </row>
    <row r="23" spans="2:55" ht="29.25" customHeight="1" thickBot="1">
      <c r="B23" s="505" t="s">
        <v>885</v>
      </c>
      <c r="C23" s="511"/>
      <c r="D23" s="507"/>
      <c r="E23" s="508"/>
      <c r="F23" s="508"/>
      <c r="G23" s="511" t="s">
        <v>309</v>
      </c>
      <c r="H23" s="511"/>
      <c r="I23" s="510"/>
      <c r="J23" s="566"/>
      <c r="L23" s="561" t="s">
        <v>310</v>
      </c>
      <c r="M23" s="563"/>
      <c r="N23" s="570"/>
      <c r="Q23" s="504"/>
      <c r="R23" s="504"/>
      <c r="S23" s="1108"/>
      <c r="T23" s="505" t="s">
        <v>885</v>
      </c>
      <c r="U23" s="511"/>
      <c r="V23" s="507"/>
      <c r="W23" s="508"/>
      <c r="X23" s="508"/>
      <c r="Y23" s="511" t="s">
        <v>309</v>
      </c>
      <c r="Z23" s="511"/>
      <c r="AA23" s="510"/>
      <c r="AB23" s="566"/>
      <c r="AD23" s="561" t="s">
        <v>310</v>
      </c>
      <c r="AE23" s="563"/>
      <c r="AF23" s="570"/>
      <c r="AI23" s="504"/>
      <c r="AJ23" s="1108"/>
      <c r="AK23" s="1108"/>
      <c r="AL23" s="1131"/>
      <c r="AM23" s="1105"/>
      <c r="AN23" s="1132"/>
      <c r="AO23" s="1133"/>
      <c r="AP23" s="1133"/>
      <c r="AQ23" s="1105"/>
      <c r="AR23" s="1105"/>
      <c r="AS23" s="1135"/>
      <c r="AT23" s="1132"/>
      <c r="AU23" s="3"/>
      <c r="AV23" s="1150"/>
      <c r="AW23" s="1132"/>
      <c r="AX23" s="1132"/>
      <c r="AY23" s="3"/>
      <c r="AZ23" s="3"/>
      <c r="BA23" s="1108"/>
      <c r="BB23" s="3"/>
      <c r="BC23" s="3"/>
    </row>
    <row r="24" spans="2:55" ht="32.25" customHeight="1" thickBot="1">
      <c r="B24" s="507"/>
      <c r="C24" s="507"/>
      <c r="D24" s="507"/>
      <c r="F24" s="512" t="s">
        <v>311</v>
      </c>
      <c r="G24" s="513" t="s">
        <v>247</v>
      </c>
      <c r="H24" s="507"/>
      <c r="I24" s="514" t="s">
        <v>312</v>
      </c>
      <c r="J24" s="507"/>
      <c r="L24" s="561" t="s">
        <v>313</v>
      </c>
      <c r="N24" s="1679" t="s">
        <v>314</v>
      </c>
      <c r="O24" s="1680"/>
      <c r="P24" s="1680"/>
      <c r="Q24" s="1681"/>
      <c r="R24" s="1105"/>
      <c r="S24" s="1105"/>
      <c r="T24" s="507"/>
      <c r="U24" s="507"/>
      <c r="V24" s="507"/>
      <c r="X24" s="512" t="s">
        <v>311</v>
      </c>
      <c r="Y24" s="513" t="s">
        <v>247</v>
      </c>
      <c r="Z24" s="507"/>
      <c r="AA24" s="514" t="s">
        <v>312</v>
      </c>
      <c r="AB24" s="507"/>
      <c r="AD24" s="561" t="s">
        <v>313</v>
      </c>
      <c r="AF24" s="1673" t="s">
        <v>314</v>
      </c>
      <c r="AG24" s="1674"/>
      <c r="AH24" s="1674"/>
      <c r="AI24" s="1675"/>
      <c r="AJ24" s="1105"/>
      <c r="AK24" s="1105"/>
      <c r="AL24" s="1132"/>
      <c r="AM24" s="1132"/>
      <c r="AN24" s="1132"/>
      <c r="AO24" s="3"/>
      <c r="AP24" s="1105"/>
      <c r="AQ24" s="1105"/>
      <c r="AR24" s="1132"/>
      <c r="AS24" s="1105"/>
      <c r="AT24" s="1132"/>
      <c r="AU24" s="3"/>
      <c r="AV24" s="1150"/>
      <c r="AW24" s="3"/>
      <c r="AX24" s="1137"/>
      <c r="AY24" s="1137"/>
      <c r="AZ24" s="1137"/>
      <c r="BA24" s="1137"/>
      <c r="BB24" s="3"/>
      <c r="BC24" s="3"/>
    </row>
    <row r="25" spans="2:55" ht="30" customHeight="1" thickBot="1">
      <c r="B25" s="556" t="str">
        <f ca="1">B15</f>
        <v>أجـــرة شهـــر جوان 2019</v>
      </c>
      <c r="C25" s="557"/>
      <c r="D25" s="557"/>
      <c r="E25" s="515"/>
      <c r="F25" s="515"/>
      <c r="G25" s="516">
        <f>G15</f>
        <v>70</v>
      </c>
      <c r="H25" s="507"/>
      <c r="I25" s="517" t="s">
        <v>107</v>
      </c>
      <c r="J25" s="562"/>
      <c r="L25" s="568" t="s">
        <v>315</v>
      </c>
      <c r="N25" s="1676" t="s">
        <v>561</v>
      </c>
      <c r="O25" s="1677"/>
      <c r="P25" s="1677"/>
      <c r="Q25" s="1678"/>
      <c r="R25" s="1106"/>
      <c r="S25" s="1106"/>
      <c r="T25" s="556" t="str">
        <f ca="1">T15</f>
        <v>أجـــرة شهـــر جوان 2019</v>
      </c>
      <c r="U25" s="557"/>
      <c r="V25" s="557"/>
      <c r="W25" s="515"/>
      <c r="X25" s="515"/>
      <c r="Y25" s="516">
        <f>Y15</f>
        <v>72</v>
      </c>
      <c r="Z25" s="507"/>
      <c r="AA25" s="517" t="s">
        <v>107</v>
      </c>
      <c r="AB25" s="562"/>
      <c r="AD25" s="568" t="s">
        <v>315</v>
      </c>
      <c r="AF25" s="1676" t="s">
        <v>648</v>
      </c>
      <c r="AG25" s="1677"/>
      <c r="AH25" s="1677"/>
      <c r="AI25" s="1678"/>
      <c r="AJ25" s="1106"/>
      <c r="AK25" s="1106"/>
      <c r="AL25" s="1137"/>
      <c r="AM25" s="1137"/>
      <c r="AN25" s="1137"/>
      <c r="AO25" s="1132"/>
      <c r="AP25" s="1132"/>
      <c r="AQ25" s="1138"/>
      <c r="AR25" s="1132"/>
      <c r="AS25" s="1134"/>
      <c r="AT25" s="1132"/>
      <c r="AU25" s="3"/>
      <c r="AV25" s="1150"/>
      <c r="AW25" s="3"/>
      <c r="AX25" s="1151"/>
      <c r="AY25" s="1151"/>
      <c r="AZ25" s="1151"/>
      <c r="BA25" s="1151"/>
      <c r="BB25" s="3"/>
      <c r="BC25" s="3"/>
    </row>
    <row r="26" spans="2:55" ht="10.5" customHeight="1" thickBot="1">
      <c r="B26" s="503"/>
      <c r="C26" s="518"/>
      <c r="D26" s="503"/>
      <c r="E26" s="503"/>
      <c r="F26" s="503"/>
      <c r="G26" s="503"/>
      <c r="H26" s="503"/>
      <c r="I26" s="503"/>
      <c r="J26" s="503"/>
      <c r="K26" s="567"/>
      <c r="L26" s="503"/>
      <c r="M26" s="569"/>
      <c r="N26" s="503"/>
      <c r="O26" s="503"/>
      <c r="P26" s="503"/>
      <c r="Q26" s="504"/>
      <c r="R26" s="504"/>
      <c r="S26" s="1108"/>
      <c r="T26" s="503"/>
      <c r="U26" s="518"/>
      <c r="V26" s="503"/>
      <c r="W26" s="503"/>
      <c r="X26" s="503"/>
      <c r="Y26" s="503"/>
      <c r="Z26" s="503"/>
      <c r="AA26" s="503"/>
      <c r="AB26" s="503"/>
      <c r="AC26" s="567"/>
      <c r="AD26" s="503"/>
      <c r="AE26" s="569"/>
      <c r="AF26" s="503"/>
      <c r="AG26" s="503"/>
      <c r="AH26" s="503"/>
      <c r="AI26" s="504"/>
      <c r="AJ26" s="1108"/>
      <c r="AK26" s="1108"/>
      <c r="AL26" s="1139"/>
      <c r="AM26" s="1140"/>
      <c r="AN26" s="1139"/>
      <c r="AO26" s="1139"/>
      <c r="AP26" s="1139"/>
      <c r="AQ26" s="1139"/>
      <c r="AR26" s="1139"/>
      <c r="AS26" s="1139"/>
      <c r="AT26" s="1139"/>
      <c r="AU26" s="1141"/>
      <c r="AV26" s="1139"/>
      <c r="AW26" s="1142"/>
      <c r="AX26" s="1139"/>
      <c r="AY26" s="1139"/>
      <c r="AZ26" s="1139"/>
      <c r="BA26" s="1108"/>
      <c r="BB26" s="3"/>
      <c r="BC26" s="3"/>
    </row>
    <row r="27" spans="2:55" ht="20.25" customHeight="1" thickBot="1">
      <c r="B27" s="1644" t="s">
        <v>7</v>
      </c>
      <c r="C27" s="1653" t="s">
        <v>316</v>
      </c>
      <c r="D27" s="1655" t="s">
        <v>317</v>
      </c>
      <c r="E27" s="1656"/>
      <c r="F27" s="1656"/>
      <c r="G27" s="1656"/>
      <c r="H27" s="1656"/>
      <c r="I27" s="1656"/>
      <c r="J27" s="1657" t="s">
        <v>318</v>
      </c>
      <c r="K27" s="1658"/>
      <c r="L27" s="1659"/>
      <c r="M27" s="1663" t="s">
        <v>319</v>
      </c>
      <c r="N27" s="1665" t="s">
        <v>320</v>
      </c>
      <c r="O27" s="1666"/>
      <c r="P27" s="1667"/>
      <c r="Q27" s="1644" t="s">
        <v>19</v>
      </c>
      <c r="R27" s="1107"/>
      <c r="S27" s="1107"/>
      <c r="T27" s="1644" t="s">
        <v>7</v>
      </c>
      <c r="U27" s="1653" t="s">
        <v>316</v>
      </c>
      <c r="V27" s="1655" t="s">
        <v>317</v>
      </c>
      <c r="W27" s="1656"/>
      <c r="X27" s="1656"/>
      <c r="Y27" s="1656"/>
      <c r="Z27" s="1656"/>
      <c r="AA27" s="1656"/>
      <c r="AB27" s="1657" t="s">
        <v>318</v>
      </c>
      <c r="AC27" s="1658"/>
      <c r="AD27" s="1659"/>
      <c r="AE27" s="1663" t="s">
        <v>319</v>
      </c>
      <c r="AF27" s="1665" t="s">
        <v>320</v>
      </c>
      <c r="AG27" s="1666"/>
      <c r="AH27" s="1667"/>
      <c r="AI27" s="1644" t="s">
        <v>19</v>
      </c>
      <c r="AJ27" s="1107"/>
      <c r="AK27" s="1107"/>
      <c r="AL27" s="1152"/>
      <c r="AM27" s="1153"/>
      <c r="AN27" s="1152"/>
      <c r="AO27" s="1152"/>
      <c r="AP27" s="1152"/>
      <c r="AQ27" s="1152"/>
      <c r="AR27" s="1152"/>
      <c r="AS27" s="1152"/>
      <c r="AT27" s="1153"/>
      <c r="AU27" s="1153"/>
      <c r="AV27" s="1153"/>
      <c r="AW27" s="1154"/>
      <c r="AX27" s="1152"/>
      <c r="AY27" s="1152"/>
      <c r="AZ27" s="1152"/>
      <c r="BA27" s="1152"/>
      <c r="BB27" s="3"/>
      <c r="BC27" s="3"/>
    </row>
    <row r="28" spans="2:55" ht="20.25" customHeight="1" thickBot="1">
      <c r="B28" s="1645"/>
      <c r="C28" s="1654"/>
      <c r="D28" s="1075" t="s">
        <v>26</v>
      </c>
      <c r="E28" s="1075" t="s">
        <v>321</v>
      </c>
      <c r="F28" s="519" t="s">
        <v>322</v>
      </c>
      <c r="G28" s="519" t="s">
        <v>323</v>
      </c>
      <c r="H28" s="520" t="s">
        <v>24</v>
      </c>
      <c r="I28" s="521"/>
      <c r="J28" s="1660"/>
      <c r="K28" s="1661"/>
      <c r="L28" s="1662"/>
      <c r="M28" s="1664"/>
      <c r="N28" s="1668"/>
      <c r="O28" s="1669"/>
      <c r="P28" s="1670"/>
      <c r="Q28" s="1645"/>
      <c r="R28" s="1107"/>
      <c r="S28" s="1107"/>
      <c r="T28" s="1645"/>
      <c r="U28" s="1654"/>
      <c r="V28" s="1075" t="s">
        <v>26</v>
      </c>
      <c r="W28" s="1075" t="s">
        <v>321</v>
      </c>
      <c r="X28" s="519" t="s">
        <v>322</v>
      </c>
      <c r="Y28" s="519" t="s">
        <v>323</v>
      </c>
      <c r="Z28" s="520" t="s">
        <v>24</v>
      </c>
      <c r="AA28" s="521"/>
      <c r="AB28" s="1660"/>
      <c r="AC28" s="1661"/>
      <c r="AD28" s="1662"/>
      <c r="AE28" s="1664"/>
      <c r="AF28" s="1668"/>
      <c r="AG28" s="1669"/>
      <c r="AH28" s="1670"/>
      <c r="AI28" s="1645"/>
      <c r="AJ28" s="1107"/>
      <c r="AK28" s="1107"/>
      <c r="AL28" s="1152"/>
      <c r="AM28" s="1153"/>
      <c r="AN28" s="1107"/>
      <c r="AO28" s="1107"/>
      <c r="AP28" s="1107"/>
      <c r="AQ28" s="1107"/>
      <c r="AR28" s="1155"/>
      <c r="AS28" s="1107"/>
      <c r="AT28" s="1153"/>
      <c r="AU28" s="1153"/>
      <c r="AV28" s="1153"/>
      <c r="AW28" s="1154"/>
      <c r="AX28" s="1152"/>
      <c r="AY28" s="1152"/>
      <c r="AZ28" s="1152"/>
      <c r="BA28" s="1152"/>
      <c r="BB28" s="3"/>
      <c r="BC28" s="3"/>
    </row>
    <row r="29" spans="2:55" s="1098" customFormat="1" ht="98.25" customHeight="1" thickBot="1">
      <c r="B29" s="1126">
        <f>LOOKUP(Q29,'ETAT-PAY-PERM'!$AI$15:$AI$93,'ETAT-PAY-PERM'!$N$15:$N$93)</f>
        <v>65779</v>
      </c>
      <c r="C29" s="1126">
        <f>LOOKUP(Q29,'ETAT-PAY-PERM'!$AI$15:$AI$93,'ETAT-PAY-PERM'!$G$15:$G$93)</f>
        <v>5000</v>
      </c>
      <c r="D29" s="1127">
        <f>LOOKUP(Q29,'ETAT-PAY-PERM'!$AI$15:$AI$93,'ETAT-PAY-PERM'!$J$15:$J$93)</f>
        <v>0</v>
      </c>
      <c r="E29" s="1127">
        <f>LOOKUP(Q29,'ETAT-PAY-PERM'!$AI$15:$AI$93,'ETAT-PAY-PERM'!$I$15:$I$93)</f>
        <v>5237.88</v>
      </c>
      <c r="F29" s="1128">
        <f>LOOKUP(Q29,'ETAT-PAY-PERM'!$AI$15:$AI$93,'ETAT-PAY-PERM'!$L$15:$L$93)</f>
        <v>0</v>
      </c>
      <c r="G29" s="1129">
        <f>LOOKUP(Q29,'ETAT-PAY-PERM'!$AI$15:$AI$93,'ETAT-PAY-PERM'!$M$15:$M$93)</f>
        <v>970.19</v>
      </c>
      <c r="H29" s="1646">
        <f>LOOKUP(Q29,'ETAT-PAY-PERM'!$AI$15:$AI$93,'ETAT-PAY-PERM'!$H$15:$H$93)</f>
        <v>5821.11</v>
      </c>
      <c r="I29" s="1647"/>
      <c r="J29" s="1646">
        <f>LOOKUP(Q29,'ETAT-PAY-PERM'!$AI$15:$AI$93,'ETAT-PAY-PERM'!$F$15:$F$93)</f>
        <v>48749.82</v>
      </c>
      <c r="K29" s="1648"/>
      <c r="L29" s="1649"/>
      <c r="M29" s="1130">
        <f>LOOKUP(Q29,'ETAT-PAY-PERM'!$AI$15:$AI$93,'ETAT-PAY-PERM'!$E$15:$E$93)</f>
        <v>11111111111</v>
      </c>
      <c r="N29" s="1650" t="str">
        <f>LOOKUP(Q29,'ETAT-PAY-PERM'!$AI$15:$AI$93,'ETAT-PAY-PERM'!$C$15:$C$93)</f>
        <v>بيسلبيليبسلصثقثصقثصقصث</v>
      </c>
      <c r="O29" s="1651"/>
      <c r="P29" s="1652"/>
      <c r="Q29" s="1118">
        <f>Q19+1</f>
        <v>3</v>
      </c>
      <c r="R29" s="1109"/>
      <c r="S29" s="1109"/>
      <c r="T29" s="1126">
        <f>LOOKUP(AI29,'ETAT-PAY-PERM'!$AH$15:$AH$93,'ETAT-PAY-PERM'!$N$15:$N$93)</f>
        <v>88593.5</v>
      </c>
      <c r="U29" s="1126">
        <f>LOOKUP(AI29,'ETAT-PAY-PERM'!$AH$15:$AH$93,'ETAT-PAY-PERM'!$G$15:$G$93)</f>
        <v>5000</v>
      </c>
      <c r="V29" s="1127">
        <f>LOOKUP(AI29,'ETAT-PAY-PERM'!$AH$15:$AH$93,'ETAT-PAY-PERM'!$J$15:$J$93)</f>
        <v>0</v>
      </c>
      <c r="W29" s="1127">
        <f>LOOKUP(AI29,'ETAT-PAY-PERM'!$AH$15:$AH$93,'ETAT-PAY-PERM'!$I$15:$I$93)</f>
        <v>8585.61</v>
      </c>
      <c r="X29" s="1128">
        <f>LOOKUP(AI29,'ETAT-PAY-PERM'!$AH$15:$AH$93,'ETAT-PAY-PERM'!$L$15:$L$93)</f>
        <v>0</v>
      </c>
      <c r="Y29" s="1129">
        <f>LOOKUP(AI29,'ETAT-PAY-PERM'!$AH$15:$AH$93,'ETAT-PAY-PERM'!$M$15:$M$93)</f>
        <v>0</v>
      </c>
      <c r="Z29" s="1646">
        <f>LOOKUP(AI29,'ETAT-PAY-PERM'!$AH$15:$AH$93,'ETAT-PAY-PERM'!$H$15:$H$93)</f>
        <v>7820.42</v>
      </c>
      <c r="AA29" s="1647"/>
      <c r="AB29" s="1646">
        <f>LOOKUP(AI29,'ETAT-PAY-PERM'!$AH$15:$AH$93,'ETAT-PAY-PERM'!$F$15:$F$93)</f>
        <v>67187.47</v>
      </c>
      <c r="AC29" s="1648"/>
      <c r="AD29" s="1649"/>
      <c r="AE29" s="1130">
        <f>LOOKUP(AI29,'ETAT-PAY-PERM'!$AH$15:$AH$93,'ETAT-PAY-PERM'!$E$15:$E$93)</f>
        <v>11111111111</v>
      </c>
      <c r="AF29" s="1650" t="str">
        <f>LOOKUP(AI29,'ETAT-PAY-PERM'!$AH$15:$AH$93,'ETAT-PAY-PERM'!$C$15:$C$93)</f>
        <v>فففففففففففففففففففف</v>
      </c>
      <c r="AG29" s="1651"/>
      <c r="AH29" s="1652"/>
      <c r="AI29" s="1118">
        <f>AI19+1</f>
        <v>3</v>
      </c>
      <c r="AJ29" s="1109"/>
      <c r="AK29" s="1109"/>
      <c r="AL29" s="1143"/>
      <c r="AM29" s="1143"/>
      <c r="AN29" s="1143"/>
      <c r="AO29" s="1143"/>
      <c r="AP29" s="1143"/>
      <c r="AQ29" s="1144"/>
      <c r="AR29" s="1156"/>
      <c r="AS29" s="1156"/>
      <c r="AT29" s="1156"/>
      <c r="AU29" s="1157"/>
      <c r="AV29" s="1157"/>
      <c r="AW29" s="1145"/>
      <c r="AX29" s="1158"/>
      <c r="AY29" s="1159"/>
      <c r="AZ29" s="1159"/>
      <c r="BA29" s="1146"/>
      <c r="BB29" s="1147"/>
      <c r="BC29" s="1147"/>
    </row>
    <row r="30" spans="2:55">
      <c r="AL30" s="3"/>
      <c r="AM30" s="3"/>
      <c r="AN30" s="3"/>
      <c r="AO30" s="3"/>
      <c r="AP30" s="3"/>
      <c r="AQ30" s="3"/>
      <c r="AR30" s="3"/>
      <c r="AS30" s="3"/>
      <c r="AT30" s="3"/>
      <c r="AU30" s="3"/>
      <c r="AV30" s="3"/>
      <c r="AW30" s="3"/>
      <c r="AX30" s="3"/>
      <c r="AY30" s="3"/>
      <c r="AZ30" s="3"/>
      <c r="BA30" s="3"/>
      <c r="BB30" s="3"/>
      <c r="BC30" s="3"/>
    </row>
    <row r="31" spans="2:55" ht="42.75" customHeight="1">
      <c r="B31" s="1672" t="s">
        <v>306</v>
      </c>
      <c r="C31" s="1672"/>
      <c r="D31" s="1672"/>
      <c r="E31" s="1672"/>
      <c r="F31" s="1672"/>
      <c r="G31" s="1672"/>
      <c r="H31" s="1672"/>
      <c r="I31" s="1672"/>
      <c r="J31" s="1672"/>
      <c r="K31" s="1672"/>
      <c r="L31" s="1672"/>
      <c r="M31" s="1672"/>
      <c r="N31" s="1672"/>
      <c r="O31" s="1672"/>
      <c r="P31" s="1672"/>
      <c r="Q31" s="1672"/>
      <c r="R31" s="1076"/>
      <c r="S31" s="1076"/>
      <c r="T31" s="1672" t="s">
        <v>306</v>
      </c>
      <c r="U31" s="1672"/>
      <c r="V31" s="1672"/>
      <c r="W31" s="1672"/>
      <c r="X31" s="1672"/>
      <c r="Y31" s="1672"/>
      <c r="Z31" s="1672"/>
      <c r="AA31" s="1672"/>
      <c r="AB31" s="1672"/>
      <c r="AC31" s="1672"/>
      <c r="AD31" s="1672"/>
      <c r="AE31" s="1672"/>
      <c r="AF31" s="1672"/>
      <c r="AG31" s="1672"/>
      <c r="AH31" s="1672"/>
      <c r="AI31" s="1672"/>
      <c r="AJ31" s="1076"/>
      <c r="AK31" s="1076"/>
      <c r="AL31" s="1149"/>
      <c r="AM31" s="1149"/>
      <c r="AN31" s="1149"/>
      <c r="AO31" s="1149"/>
      <c r="AP31" s="1149"/>
      <c r="AQ31" s="1149"/>
      <c r="AR31" s="1149"/>
      <c r="AS31" s="1149"/>
      <c r="AT31" s="1149"/>
      <c r="AU31" s="1149"/>
      <c r="AV31" s="1149"/>
      <c r="AW31" s="1149"/>
      <c r="AX31" s="1149"/>
      <c r="AY31" s="1149"/>
      <c r="AZ31" s="1149"/>
      <c r="BA31" s="1149"/>
    </row>
    <row r="32" spans="2:55" ht="30" customHeight="1" thickBot="1">
      <c r="B32" s="505" t="s">
        <v>307</v>
      </c>
      <c r="C32" s="506"/>
      <c r="D32" s="507"/>
      <c r="E32" s="508"/>
      <c r="F32" s="508"/>
      <c r="G32" s="509" t="s">
        <v>308</v>
      </c>
      <c r="H32" s="506"/>
      <c r="I32" s="510"/>
      <c r="J32" s="507"/>
      <c r="K32" s="564"/>
      <c r="L32" s="565"/>
      <c r="M32" s="507"/>
      <c r="N32" s="511"/>
      <c r="Q32" s="504"/>
      <c r="R32" s="504"/>
      <c r="S32" s="1108"/>
      <c r="T32" s="505" t="s">
        <v>307</v>
      </c>
      <c r="U32" s="506"/>
      <c r="V32" s="507"/>
      <c r="W32" s="508"/>
      <c r="X32" s="508"/>
      <c r="Y32" s="509" t="s">
        <v>308</v>
      </c>
      <c r="Z32" s="506"/>
      <c r="AA32" s="510"/>
      <c r="AB32" s="507"/>
      <c r="AC32" s="564"/>
      <c r="AD32" s="565"/>
      <c r="AE32" s="507"/>
      <c r="AF32" s="511"/>
      <c r="AI32" s="504"/>
      <c r="AJ32" s="1108"/>
      <c r="AK32" s="1108"/>
      <c r="AL32" s="1131"/>
      <c r="AM32" s="1105"/>
      <c r="AN32" s="1132"/>
      <c r="AO32" s="1133"/>
      <c r="AP32" s="1133"/>
      <c r="AQ32" s="1134"/>
      <c r="AR32" s="1105"/>
      <c r="AS32" s="1135"/>
      <c r="AT32" s="1132"/>
      <c r="AU32" s="1136"/>
      <c r="AV32" s="1132"/>
      <c r="AW32" s="1132"/>
      <c r="AX32" s="1105"/>
      <c r="AY32" s="3"/>
      <c r="AZ32" s="3"/>
      <c r="BA32" s="1108"/>
    </row>
    <row r="33" spans="2:55" ht="29.25" customHeight="1" thickBot="1">
      <c r="B33" s="505" t="s">
        <v>885</v>
      </c>
      <c r="C33" s="511"/>
      <c r="D33" s="507"/>
      <c r="E33" s="508"/>
      <c r="F33" s="508"/>
      <c r="G33" s="511" t="s">
        <v>309</v>
      </c>
      <c r="H33" s="511"/>
      <c r="I33" s="510"/>
      <c r="J33" s="566"/>
      <c r="L33" s="561" t="s">
        <v>310</v>
      </c>
      <c r="M33" s="563"/>
      <c r="N33" s="570"/>
      <c r="Q33" s="504"/>
      <c r="R33" s="504"/>
      <c r="S33" s="1108"/>
      <c r="T33" s="505" t="s">
        <v>885</v>
      </c>
      <c r="U33" s="511"/>
      <c r="V33" s="507"/>
      <c r="W33" s="508"/>
      <c r="X33" s="508"/>
      <c r="Y33" s="511" t="s">
        <v>309</v>
      </c>
      <c r="Z33" s="511"/>
      <c r="AA33" s="510"/>
      <c r="AB33" s="566"/>
      <c r="AD33" s="561" t="s">
        <v>310</v>
      </c>
      <c r="AE33" s="563"/>
      <c r="AF33" s="570"/>
      <c r="AI33" s="504"/>
      <c r="AJ33" s="1108"/>
      <c r="AK33" s="1108"/>
      <c r="AL33" s="1131"/>
      <c r="AM33" s="1105"/>
      <c r="AN33" s="1132"/>
      <c r="AO33" s="1133"/>
      <c r="AP33" s="1133"/>
      <c r="AQ33" s="1105"/>
      <c r="AR33" s="1105"/>
      <c r="AS33" s="1135"/>
      <c r="AT33" s="1132"/>
      <c r="AU33" s="3"/>
      <c r="AV33" s="1150"/>
      <c r="AW33" s="1132"/>
      <c r="AX33" s="1132"/>
      <c r="AY33" s="3"/>
      <c r="AZ33" s="3"/>
      <c r="BA33" s="1108"/>
    </row>
    <row r="34" spans="2:55" ht="32.25" customHeight="1" thickBot="1">
      <c r="B34" s="507"/>
      <c r="C34" s="507"/>
      <c r="D34" s="507"/>
      <c r="F34" s="512" t="s">
        <v>311</v>
      </c>
      <c r="G34" s="513" t="s">
        <v>247</v>
      </c>
      <c r="H34" s="507"/>
      <c r="I34" s="514" t="s">
        <v>312</v>
      </c>
      <c r="J34" s="507"/>
      <c r="L34" s="561" t="s">
        <v>313</v>
      </c>
      <c r="N34" s="1679" t="s">
        <v>314</v>
      </c>
      <c r="O34" s="1680"/>
      <c r="P34" s="1680"/>
      <c r="Q34" s="1681"/>
      <c r="R34" s="1105"/>
      <c r="S34" s="1105"/>
      <c r="T34" s="507"/>
      <c r="U34" s="507"/>
      <c r="V34" s="507"/>
      <c r="X34" s="512" t="s">
        <v>311</v>
      </c>
      <c r="Y34" s="513" t="s">
        <v>247</v>
      </c>
      <c r="Z34" s="507"/>
      <c r="AA34" s="514" t="s">
        <v>312</v>
      </c>
      <c r="AB34" s="507"/>
      <c r="AD34" s="561" t="s">
        <v>313</v>
      </c>
      <c r="AF34" s="1673" t="s">
        <v>314</v>
      </c>
      <c r="AG34" s="1674"/>
      <c r="AH34" s="1674"/>
      <c r="AI34" s="1675"/>
      <c r="AJ34" s="1105"/>
      <c r="AK34" s="1105"/>
      <c r="AL34" s="1132"/>
      <c r="AM34" s="1132"/>
      <c r="AN34" s="1132"/>
      <c r="AO34" s="3"/>
      <c r="AP34" s="1105"/>
      <c r="AQ34" s="1105"/>
      <c r="AR34" s="1132"/>
      <c r="AS34" s="1105"/>
      <c r="AT34" s="1132"/>
      <c r="AU34" s="3"/>
      <c r="AV34" s="1150"/>
      <c r="AW34" s="3"/>
      <c r="AX34" s="1137"/>
      <c r="AY34" s="1137"/>
      <c r="AZ34" s="1137"/>
      <c r="BA34" s="1137"/>
      <c r="BB34" s="3"/>
    </row>
    <row r="35" spans="2:55" ht="30" customHeight="1" thickBot="1">
      <c r="B35" s="556" t="str">
        <f ca="1">B25</f>
        <v>أجـــرة شهـــر جوان 2019</v>
      </c>
      <c r="C35" s="557"/>
      <c r="D35" s="557"/>
      <c r="E35" s="515"/>
      <c r="F35" s="515"/>
      <c r="G35" s="516">
        <f>G25</f>
        <v>70</v>
      </c>
      <c r="H35" s="507"/>
      <c r="I35" s="517" t="s">
        <v>107</v>
      </c>
      <c r="J35" s="562"/>
      <c r="L35" s="568" t="s">
        <v>315</v>
      </c>
      <c r="N35" s="1676" t="s">
        <v>561</v>
      </c>
      <c r="O35" s="1677"/>
      <c r="P35" s="1677"/>
      <c r="Q35" s="1678"/>
      <c r="R35" s="1106"/>
      <c r="S35" s="1106"/>
      <c r="T35" s="556" t="str">
        <f ca="1">T25</f>
        <v>أجـــرة شهـــر جوان 2019</v>
      </c>
      <c r="U35" s="557"/>
      <c r="V35" s="557"/>
      <c r="W35" s="515"/>
      <c r="X35" s="515"/>
      <c r="Y35" s="516">
        <f>Y25</f>
        <v>72</v>
      </c>
      <c r="Z35" s="507"/>
      <c r="AA35" s="517" t="s">
        <v>107</v>
      </c>
      <c r="AB35" s="562"/>
      <c r="AD35" s="568" t="s">
        <v>315</v>
      </c>
      <c r="AF35" s="1676" t="s">
        <v>648</v>
      </c>
      <c r="AG35" s="1677"/>
      <c r="AH35" s="1677"/>
      <c r="AI35" s="1678"/>
      <c r="AJ35" s="1106"/>
      <c r="AK35" s="1106"/>
      <c r="AL35" s="1137"/>
      <c r="AM35" s="1137"/>
      <c r="AN35" s="1137"/>
      <c r="AO35" s="1132"/>
      <c r="AP35" s="1132"/>
      <c r="AQ35" s="1138"/>
      <c r="AR35" s="1132"/>
      <c r="AS35" s="1134"/>
      <c r="AT35" s="1132"/>
      <c r="AU35" s="3"/>
      <c r="AV35" s="1150"/>
      <c r="AW35" s="3"/>
      <c r="AX35" s="1151"/>
      <c r="AY35" s="1151"/>
      <c r="AZ35" s="1151"/>
      <c r="BA35" s="1151"/>
      <c r="BB35" s="3"/>
    </row>
    <row r="36" spans="2:55" ht="10.5" customHeight="1" thickBot="1">
      <c r="B36" s="503"/>
      <c r="C36" s="518"/>
      <c r="D36" s="503"/>
      <c r="E36" s="503"/>
      <c r="F36" s="503"/>
      <c r="G36" s="503"/>
      <c r="H36" s="503"/>
      <c r="I36" s="503"/>
      <c r="J36" s="503"/>
      <c r="K36" s="567"/>
      <c r="L36" s="503"/>
      <c r="M36" s="569"/>
      <c r="N36" s="503"/>
      <c r="O36" s="503"/>
      <c r="P36" s="503"/>
      <c r="Q36" s="504"/>
      <c r="R36" s="504"/>
      <c r="S36" s="1108"/>
      <c r="T36" s="1115"/>
      <c r="U36" s="1114"/>
      <c r="V36" s="503"/>
      <c r="W36" s="503"/>
      <c r="X36" s="503"/>
      <c r="Y36" s="503"/>
      <c r="Z36" s="503"/>
      <c r="AA36" s="503"/>
      <c r="AB36" s="503"/>
      <c r="AC36" s="567"/>
      <c r="AD36" s="503"/>
      <c r="AE36" s="569"/>
      <c r="AF36" s="503"/>
      <c r="AG36" s="503"/>
      <c r="AH36" s="503"/>
      <c r="AI36" s="504"/>
      <c r="AJ36" s="1108"/>
      <c r="AK36" s="1108"/>
      <c r="AL36" s="1139"/>
      <c r="AM36" s="1140"/>
      <c r="AN36" s="1139"/>
      <c r="AO36" s="1139"/>
      <c r="AP36" s="1139"/>
      <c r="AQ36" s="1139"/>
      <c r="AR36" s="1139"/>
      <c r="AS36" s="1139"/>
      <c r="AT36" s="1139"/>
      <c r="AU36" s="1141"/>
      <c r="AV36" s="1139"/>
      <c r="AW36" s="1142"/>
      <c r="AX36" s="1139"/>
      <c r="AY36" s="1139"/>
      <c r="AZ36" s="1139"/>
      <c r="BA36" s="1108"/>
    </row>
    <row r="37" spans="2:55" ht="20.25" customHeight="1" thickBot="1">
      <c r="B37" s="1644" t="s">
        <v>7</v>
      </c>
      <c r="C37" s="1653" t="s">
        <v>316</v>
      </c>
      <c r="D37" s="1655" t="s">
        <v>317</v>
      </c>
      <c r="E37" s="1656"/>
      <c r="F37" s="1656"/>
      <c r="G37" s="1656"/>
      <c r="H37" s="1656"/>
      <c r="I37" s="1656"/>
      <c r="J37" s="1657" t="s">
        <v>318</v>
      </c>
      <c r="K37" s="1658"/>
      <c r="L37" s="1659"/>
      <c r="M37" s="1663" t="s">
        <v>319</v>
      </c>
      <c r="N37" s="1665" t="s">
        <v>320</v>
      </c>
      <c r="O37" s="1666"/>
      <c r="P37" s="1667"/>
      <c r="Q37" s="1644" t="s">
        <v>19</v>
      </c>
      <c r="R37" s="1107"/>
      <c r="S37" s="1107"/>
      <c r="T37" s="1644" t="s">
        <v>7</v>
      </c>
      <c r="U37" s="1659" t="s">
        <v>316</v>
      </c>
      <c r="V37" s="1655" t="s">
        <v>317</v>
      </c>
      <c r="W37" s="1656"/>
      <c r="X37" s="1656"/>
      <c r="Y37" s="1656"/>
      <c r="Z37" s="1656"/>
      <c r="AA37" s="1656"/>
      <c r="AB37" s="1657" t="s">
        <v>318</v>
      </c>
      <c r="AC37" s="1658"/>
      <c r="AD37" s="1659"/>
      <c r="AE37" s="1663" t="s">
        <v>319</v>
      </c>
      <c r="AF37" s="1665" t="s">
        <v>320</v>
      </c>
      <c r="AG37" s="1666"/>
      <c r="AH37" s="1667"/>
      <c r="AI37" s="1665" t="s">
        <v>19</v>
      </c>
      <c r="AJ37" s="1111"/>
      <c r="AK37" s="1107"/>
      <c r="AL37" s="1152"/>
      <c r="AM37" s="1153"/>
      <c r="AN37" s="1152"/>
      <c r="AO37" s="1152"/>
      <c r="AP37" s="1152"/>
      <c r="AQ37" s="1152"/>
      <c r="AR37" s="1152"/>
      <c r="AS37" s="1152"/>
      <c r="AT37" s="1153"/>
      <c r="AU37" s="1153"/>
      <c r="AV37" s="1153"/>
      <c r="AW37" s="1154"/>
      <c r="AX37" s="1152"/>
      <c r="AY37" s="1152"/>
      <c r="AZ37" s="1152"/>
      <c r="BA37" s="1152"/>
    </row>
    <row r="38" spans="2:55" ht="20.25" customHeight="1" thickBot="1">
      <c r="B38" s="1645"/>
      <c r="C38" s="1654"/>
      <c r="D38" s="1075" t="s">
        <v>26</v>
      </c>
      <c r="E38" s="1075" t="s">
        <v>321</v>
      </c>
      <c r="F38" s="519" t="s">
        <v>322</v>
      </c>
      <c r="G38" s="519" t="s">
        <v>323</v>
      </c>
      <c r="H38" s="520" t="s">
        <v>24</v>
      </c>
      <c r="I38" s="521"/>
      <c r="J38" s="1660"/>
      <c r="K38" s="1661"/>
      <c r="L38" s="1662"/>
      <c r="M38" s="1664"/>
      <c r="N38" s="1668"/>
      <c r="O38" s="1669"/>
      <c r="P38" s="1670"/>
      <c r="Q38" s="1645"/>
      <c r="R38" s="1107"/>
      <c r="S38" s="1107"/>
      <c r="T38" s="1645"/>
      <c r="U38" s="1662"/>
      <c r="V38" s="1075" t="s">
        <v>26</v>
      </c>
      <c r="W38" s="1075" t="s">
        <v>321</v>
      </c>
      <c r="X38" s="519" t="s">
        <v>322</v>
      </c>
      <c r="Y38" s="519" t="s">
        <v>323</v>
      </c>
      <c r="Z38" s="520" t="s">
        <v>24</v>
      </c>
      <c r="AA38" s="521"/>
      <c r="AB38" s="1660"/>
      <c r="AC38" s="1661"/>
      <c r="AD38" s="1662"/>
      <c r="AE38" s="1664"/>
      <c r="AF38" s="1668"/>
      <c r="AG38" s="1669"/>
      <c r="AH38" s="1670"/>
      <c r="AI38" s="1668"/>
      <c r="AJ38" s="1111"/>
      <c r="AK38" s="1107"/>
      <c r="AL38" s="1152"/>
      <c r="AM38" s="1153"/>
      <c r="AN38" s="1107"/>
      <c r="AO38" s="1107"/>
      <c r="AP38" s="1107"/>
      <c r="AQ38" s="1107"/>
      <c r="AR38" s="1155"/>
      <c r="AS38" s="1107"/>
      <c r="AT38" s="1153"/>
      <c r="AU38" s="1153"/>
      <c r="AV38" s="1153"/>
      <c r="AW38" s="1154"/>
      <c r="AX38" s="1152"/>
      <c r="AY38" s="1152"/>
      <c r="AZ38" s="1152"/>
      <c r="BA38" s="1152"/>
    </row>
    <row r="39" spans="2:55" s="1098" customFormat="1" ht="98.25" customHeight="1" thickBot="1">
      <c r="B39" s="1126">
        <f>LOOKUP(Q39,'ETAT-PAY-PERM'!$AI$15:$AI$93,'ETAT-PAY-PERM'!$N$15:$N$93)</f>
        <v>65779</v>
      </c>
      <c r="C39" s="1126">
        <f>LOOKUP(Q39,'ETAT-PAY-PERM'!$AI$15:$AI$93,'ETAT-PAY-PERM'!$G$15:$G$93)</f>
        <v>5000</v>
      </c>
      <c r="D39" s="1127">
        <f>LOOKUP(Q39,'ETAT-PAY-PERM'!$AI$15:$AI$93,'ETAT-PAY-PERM'!$J$15:$J$93)</f>
        <v>0</v>
      </c>
      <c r="E39" s="1127">
        <f>LOOKUP(Q39,'ETAT-PAY-PERM'!$AI$15:$AI$93,'ETAT-PAY-PERM'!$I$15:$I$93)</f>
        <v>5237.88</v>
      </c>
      <c r="F39" s="1128">
        <f>LOOKUP(Q39,'ETAT-PAY-PERM'!$AI$15:$AI$93,'ETAT-PAY-PERM'!$L$15:$L$93)</f>
        <v>0</v>
      </c>
      <c r="G39" s="1129">
        <f>LOOKUP(Q39,'ETAT-PAY-PERM'!$AI$15:$AI$93,'ETAT-PAY-PERM'!$M$15:$M$93)</f>
        <v>970.19</v>
      </c>
      <c r="H39" s="1646">
        <f>LOOKUP(Q39,'ETAT-PAY-PERM'!$AI$15:$AI$93,'ETAT-PAY-PERM'!$H$15:$H$93)</f>
        <v>5821.11</v>
      </c>
      <c r="I39" s="1647"/>
      <c r="J39" s="1646">
        <f>LOOKUP(Q39,'ETAT-PAY-PERM'!$AI$15:$AI$93,'ETAT-PAY-PERM'!$F$15:$F$93)</f>
        <v>48749.82</v>
      </c>
      <c r="K39" s="1648"/>
      <c r="L39" s="1649"/>
      <c r="M39" s="1130">
        <f>LOOKUP(Q39,'ETAT-PAY-PERM'!$AI$15:$AI$93,'ETAT-PAY-PERM'!$E$15:$E$93)</f>
        <v>11111111111</v>
      </c>
      <c r="N39" s="1650" t="str">
        <f>LOOKUP(Q39,'ETAT-PAY-PERM'!$AI$15:$AI$93,'ETAT-PAY-PERM'!$C$15:$C$93)</f>
        <v>بيسلبيليبسلصثقثصقثصقصث</v>
      </c>
      <c r="O39" s="1651"/>
      <c r="P39" s="1652"/>
      <c r="Q39" s="1118">
        <f>Q29+1</f>
        <v>4</v>
      </c>
      <c r="R39" s="1109"/>
      <c r="S39" s="1109"/>
      <c r="T39" s="1126">
        <f>LOOKUP(AI39,'ETAT-PAY-PERM'!$AH$15:$AH$93,'ETAT-PAY-PERM'!$N$15:$N$93)</f>
        <v>56195.5</v>
      </c>
      <c r="U39" s="1126">
        <f>LOOKUP(AI39,'ETAT-PAY-PERM'!$AH$15:$AH$93,'ETAT-PAY-PERM'!$G$15:$G$93)</f>
        <v>5000</v>
      </c>
      <c r="V39" s="1127">
        <f>LOOKUP(AI39,'ETAT-PAY-PERM'!$AH$15:$AH$93,'ETAT-PAY-PERM'!$J$15:$J$93)</f>
        <v>0</v>
      </c>
      <c r="W39" s="1127">
        <f>LOOKUP(AI39,'ETAT-PAY-PERM'!$AH$15:$AH$93,'ETAT-PAY-PERM'!$I$15:$I$93)</f>
        <v>3931.39</v>
      </c>
      <c r="X39" s="1128">
        <f>LOOKUP(AI39,'ETAT-PAY-PERM'!$AH$15:$AH$93,'ETAT-PAY-PERM'!$L$15:$L$93)</f>
        <v>0</v>
      </c>
      <c r="Y39" s="1129">
        <f>LOOKUP(AI39,'ETAT-PAY-PERM'!$AH$15:$AH$93,'ETAT-PAY-PERM'!$M$15:$M$93)</f>
        <v>824.6</v>
      </c>
      <c r="Z39" s="1646">
        <f>LOOKUP(AI39,'ETAT-PAY-PERM'!$AH$15:$AH$93,'ETAT-PAY-PERM'!$H$15:$H$93)</f>
        <v>4947.57</v>
      </c>
      <c r="AA39" s="1647"/>
      <c r="AB39" s="1646">
        <f>LOOKUP(AI39,'ETAT-PAY-PERM'!$AH$15:$AH$93,'ETAT-PAY-PERM'!$F$15:$F$93)</f>
        <v>41491.94</v>
      </c>
      <c r="AC39" s="1648"/>
      <c r="AD39" s="1649"/>
      <c r="AE39" s="1130">
        <f>LOOKUP(AI39,'ETAT-PAY-PERM'!$AH$15:$AH$93,'ETAT-PAY-PERM'!$E$15:$E$93)</f>
        <v>11111111111</v>
      </c>
      <c r="AF39" s="1650" t="str">
        <f>LOOKUP(AI39,'ETAT-PAY-PERM'!$AH$15:$AH$93,'ETAT-PAY-PERM'!$C$15:$C$93)</f>
        <v>ررءرءؤرؤءرلللللللللللللل</v>
      </c>
      <c r="AG39" s="1651"/>
      <c r="AH39" s="1652"/>
      <c r="AI39" s="1118">
        <f>AI29+1</f>
        <v>4</v>
      </c>
      <c r="AJ39" s="1109"/>
      <c r="AK39" s="1109"/>
      <c r="AL39" s="1143"/>
      <c r="AM39" s="1143"/>
      <c r="AN39" s="1143"/>
      <c r="AO39" s="1143"/>
      <c r="AP39" s="1143"/>
      <c r="AQ39" s="1144"/>
      <c r="AR39" s="1156"/>
      <c r="AS39" s="1156"/>
      <c r="AT39" s="1156"/>
      <c r="AU39" s="1157"/>
      <c r="AV39" s="1157"/>
      <c r="AW39" s="1145"/>
      <c r="AX39" s="1158"/>
      <c r="AY39" s="1159"/>
      <c r="AZ39" s="1159"/>
      <c r="BA39" s="1146"/>
    </row>
    <row r="40" spans="2:55" s="1103" customFormat="1" ht="21.75" customHeight="1">
      <c r="B40" s="1099"/>
      <c r="C40" s="1100"/>
      <c r="D40" s="1099"/>
      <c r="E40" s="1099"/>
      <c r="F40" s="1099"/>
      <c r="G40" s="1101"/>
      <c r="H40" s="1099"/>
      <c r="I40" s="1099"/>
      <c r="J40" s="1099"/>
      <c r="K40" s="1102"/>
      <c r="L40" s="1102"/>
      <c r="M40" s="558"/>
      <c r="N40" s="559"/>
      <c r="O40" s="559"/>
      <c r="P40" s="559"/>
      <c r="Q40" s="560"/>
      <c r="R40" s="1104"/>
      <c r="S40" s="1104"/>
      <c r="T40" s="1099"/>
      <c r="U40" s="1100"/>
      <c r="V40" s="1099"/>
      <c r="W40" s="1099"/>
      <c r="X40" s="1099"/>
      <c r="Y40" s="1101"/>
      <c r="Z40" s="1099"/>
      <c r="AA40" s="1099"/>
      <c r="AB40" s="1099"/>
      <c r="AC40" s="1102"/>
      <c r="AD40" s="1102"/>
      <c r="AE40" s="558"/>
      <c r="AF40" s="559"/>
      <c r="AG40" s="559"/>
      <c r="AH40" s="559"/>
      <c r="AI40" s="560"/>
      <c r="AJ40" s="1104"/>
      <c r="AK40" s="1104"/>
      <c r="AL40" s="1099"/>
      <c r="AM40" s="1100"/>
      <c r="AN40" s="1099"/>
      <c r="AO40" s="1099"/>
      <c r="AP40" s="1099"/>
      <c r="AQ40" s="1101"/>
      <c r="AR40" s="1099"/>
      <c r="AS40" s="1099"/>
      <c r="AT40" s="1099"/>
      <c r="AU40" s="1102"/>
      <c r="AV40" s="1102"/>
      <c r="AW40" s="558"/>
      <c r="AX40" s="559"/>
      <c r="AY40" s="559"/>
      <c r="AZ40" s="559"/>
      <c r="BA40" s="1104"/>
    </row>
    <row r="41" spans="2:55" ht="42.75" customHeight="1">
      <c r="B41" s="1671" t="s">
        <v>306</v>
      </c>
      <c r="C41" s="1672"/>
      <c r="D41" s="1671"/>
      <c r="E41" s="1671"/>
      <c r="F41" s="1671"/>
      <c r="G41" s="1671"/>
      <c r="H41" s="1671"/>
      <c r="I41" s="1671"/>
      <c r="J41" s="1671"/>
      <c r="K41" s="1671"/>
      <c r="L41" s="1671"/>
      <c r="M41" s="1671"/>
      <c r="N41" s="1671"/>
      <c r="O41" s="1671"/>
      <c r="P41" s="1671"/>
      <c r="Q41" s="1671"/>
      <c r="R41" s="1076"/>
      <c r="S41" s="1076"/>
      <c r="T41" s="1671" t="s">
        <v>306</v>
      </c>
      <c r="U41" s="1672"/>
      <c r="V41" s="1671"/>
      <c r="W41" s="1671"/>
      <c r="X41" s="1671"/>
      <c r="Y41" s="1671"/>
      <c r="Z41" s="1671"/>
      <c r="AA41" s="1671"/>
      <c r="AB41" s="1671"/>
      <c r="AC41" s="1671"/>
      <c r="AD41" s="1671"/>
      <c r="AE41" s="1671"/>
      <c r="AF41" s="1671"/>
      <c r="AG41" s="1671"/>
      <c r="AH41" s="1671"/>
      <c r="AI41" s="1671"/>
      <c r="AJ41" s="1076"/>
      <c r="AK41" s="1076"/>
      <c r="AL41" s="1149"/>
      <c r="AM41" s="1149"/>
      <c r="AN41" s="1149"/>
      <c r="AO41" s="1149"/>
      <c r="AP41" s="1149"/>
      <c r="AQ41" s="1149"/>
      <c r="AR41" s="1149"/>
      <c r="AS41" s="1149"/>
      <c r="AT41" s="1149"/>
      <c r="AU41" s="1149"/>
      <c r="AV41" s="1149"/>
      <c r="AW41" s="1149"/>
      <c r="AX41" s="1149"/>
      <c r="AY41" s="1149"/>
      <c r="AZ41" s="1149"/>
      <c r="BA41" s="1149"/>
      <c r="BB41" s="3"/>
      <c r="BC41" s="3"/>
    </row>
    <row r="42" spans="2:55" ht="30" customHeight="1" thickBot="1">
      <c r="B42" s="505" t="s">
        <v>307</v>
      </c>
      <c r="C42" s="506"/>
      <c r="D42" s="507"/>
      <c r="E42" s="508"/>
      <c r="F42" s="508"/>
      <c r="G42" s="509" t="s">
        <v>308</v>
      </c>
      <c r="H42" s="506"/>
      <c r="I42" s="510"/>
      <c r="J42" s="507"/>
      <c r="K42" s="564"/>
      <c r="L42" s="565"/>
      <c r="M42" s="507"/>
      <c r="N42" s="511"/>
      <c r="Q42" s="504"/>
      <c r="R42" s="504"/>
      <c r="S42" s="1108"/>
      <c r="T42" s="505" t="s">
        <v>307</v>
      </c>
      <c r="U42" s="506"/>
      <c r="V42" s="507"/>
      <c r="W42" s="508"/>
      <c r="X42" s="508"/>
      <c r="Y42" s="509" t="s">
        <v>308</v>
      </c>
      <c r="Z42" s="506"/>
      <c r="AA42" s="510"/>
      <c r="AB42" s="507"/>
      <c r="AC42" s="564"/>
      <c r="AD42" s="565"/>
      <c r="AE42" s="507"/>
      <c r="AF42" s="511"/>
      <c r="AI42" s="504"/>
      <c r="AJ42" s="1108"/>
      <c r="AK42" s="1108"/>
      <c r="AL42" s="1131"/>
      <c r="AM42" s="1105"/>
      <c r="AN42" s="1132"/>
      <c r="AO42" s="1133"/>
      <c r="AP42" s="1133"/>
      <c r="AQ42" s="1134"/>
      <c r="AR42" s="1105"/>
      <c r="AS42" s="1135"/>
      <c r="AT42" s="1132"/>
      <c r="AU42" s="1136"/>
      <c r="AV42" s="1132"/>
      <c r="AW42" s="1132"/>
      <c r="AX42" s="1105"/>
      <c r="AY42" s="3"/>
      <c r="AZ42" s="3"/>
      <c r="BA42" s="1108"/>
      <c r="BB42" s="3"/>
      <c r="BC42" s="3"/>
    </row>
    <row r="43" spans="2:55" ht="29.25" customHeight="1" thickBot="1">
      <c r="B43" s="505" t="s">
        <v>885</v>
      </c>
      <c r="C43" s="511"/>
      <c r="D43" s="507"/>
      <c r="E43" s="508"/>
      <c r="F43" s="508"/>
      <c r="G43" s="511" t="s">
        <v>309</v>
      </c>
      <c r="H43" s="511"/>
      <c r="I43" s="510"/>
      <c r="J43" s="566"/>
      <c r="L43" s="561" t="s">
        <v>310</v>
      </c>
      <c r="M43" s="563"/>
      <c r="N43" s="570"/>
      <c r="Q43" s="504"/>
      <c r="R43" s="504"/>
      <c r="S43" s="1108"/>
      <c r="T43" s="505" t="s">
        <v>885</v>
      </c>
      <c r="U43" s="511"/>
      <c r="V43" s="507"/>
      <c r="W43" s="508"/>
      <c r="X43" s="508"/>
      <c r="Y43" s="511" t="s">
        <v>309</v>
      </c>
      <c r="Z43" s="511"/>
      <c r="AA43" s="510"/>
      <c r="AB43" s="566"/>
      <c r="AD43" s="561" t="s">
        <v>310</v>
      </c>
      <c r="AE43" s="563"/>
      <c r="AF43" s="570"/>
      <c r="AI43" s="504"/>
      <c r="AJ43" s="1108"/>
      <c r="AK43" s="1108"/>
      <c r="AL43" s="1131"/>
      <c r="AM43" s="1105"/>
      <c r="AN43" s="1132"/>
      <c r="AO43" s="1133"/>
      <c r="AP43" s="1133"/>
      <c r="AQ43" s="1105"/>
      <c r="AR43" s="1105"/>
      <c r="AS43" s="1135"/>
      <c r="AT43" s="1132"/>
      <c r="AU43" s="3"/>
      <c r="AV43" s="1150"/>
      <c r="AW43" s="1132"/>
      <c r="AX43" s="1132"/>
      <c r="AY43" s="3"/>
      <c r="AZ43" s="3"/>
      <c r="BA43" s="1108"/>
      <c r="BB43" s="3"/>
      <c r="BC43" s="3"/>
    </row>
    <row r="44" spans="2:55" ht="32.25" customHeight="1" thickBot="1">
      <c r="B44" s="507"/>
      <c r="C44" s="507"/>
      <c r="D44" s="507"/>
      <c r="F44" s="512" t="s">
        <v>311</v>
      </c>
      <c r="G44" s="513" t="s">
        <v>247</v>
      </c>
      <c r="H44" s="507"/>
      <c r="I44" s="514" t="s">
        <v>312</v>
      </c>
      <c r="J44" s="507"/>
      <c r="L44" s="561" t="s">
        <v>313</v>
      </c>
      <c r="N44" s="1679" t="s">
        <v>314</v>
      </c>
      <c r="O44" s="1680"/>
      <c r="P44" s="1680"/>
      <c r="Q44" s="1681"/>
      <c r="R44" s="1105"/>
      <c r="S44" s="1105"/>
      <c r="T44" s="507"/>
      <c r="U44" s="507"/>
      <c r="V44" s="507"/>
      <c r="X44" s="512" t="s">
        <v>311</v>
      </c>
      <c r="Y44" s="513" t="s">
        <v>247</v>
      </c>
      <c r="Z44" s="507"/>
      <c r="AA44" s="514" t="s">
        <v>312</v>
      </c>
      <c r="AB44" s="507"/>
      <c r="AD44" s="561" t="s">
        <v>313</v>
      </c>
      <c r="AF44" s="1679" t="s">
        <v>314</v>
      </c>
      <c r="AG44" s="1680"/>
      <c r="AH44" s="1680"/>
      <c r="AI44" s="1680"/>
      <c r="AJ44" s="1113"/>
      <c r="AK44" s="1105"/>
      <c r="AL44" s="1132"/>
      <c r="AM44" s="1132"/>
      <c r="AN44" s="1132"/>
      <c r="AO44" s="3"/>
      <c r="AP44" s="1105"/>
      <c r="AQ44" s="1105"/>
      <c r="AR44" s="1132"/>
      <c r="AS44" s="1105"/>
      <c r="AT44" s="1132"/>
      <c r="AU44" s="3"/>
      <c r="AV44" s="1150"/>
      <c r="AW44" s="3"/>
      <c r="AX44" s="1137"/>
      <c r="AY44" s="1137"/>
      <c r="AZ44" s="1137"/>
      <c r="BA44" s="1137"/>
      <c r="BB44" s="3"/>
      <c r="BC44" s="3"/>
    </row>
    <row r="45" spans="2:55" ht="30" customHeight="1" thickBot="1">
      <c r="B45" s="556" t="str">
        <f ca="1">B35</f>
        <v>أجـــرة شهـــر جوان 2019</v>
      </c>
      <c r="C45" s="557"/>
      <c r="D45" s="557"/>
      <c r="E45" s="515"/>
      <c r="F45" s="515"/>
      <c r="G45" s="516">
        <f>G35</f>
        <v>70</v>
      </c>
      <c r="H45" s="507"/>
      <c r="I45" s="517" t="s">
        <v>107</v>
      </c>
      <c r="J45" s="562"/>
      <c r="L45" s="568" t="s">
        <v>315</v>
      </c>
      <c r="N45" s="1676" t="s">
        <v>561</v>
      </c>
      <c r="O45" s="1677"/>
      <c r="P45" s="1677"/>
      <c r="Q45" s="1678"/>
      <c r="R45" s="1112"/>
      <c r="S45" s="1110"/>
      <c r="T45" s="557" t="str">
        <f ca="1">T35</f>
        <v>أجـــرة شهـــر جوان 2019</v>
      </c>
      <c r="U45" s="557"/>
      <c r="V45" s="557"/>
      <c r="W45" s="515"/>
      <c r="X45" s="515"/>
      <c r="Y45" s="516">
        <f>Y35</f>
        <v>72</v>
      </c>
      <c r="Z45" s="507"/>
      <c r="AA45" s="517" t="s">
        <v>107</v>
      </c>
      <c r="AB45" s="562"/>
      <c r="AD45" s="568" t="s">
        <v>315</v>
      </c>
      <c r="AF45" s="1676" t="s">
        <v>648</v>
      </c>
      <c r="AG45" s="1677"/>
      <c r="AH45" s="1677"/>
      <c r="AI45" s="1678"/>
      <c r="AJ45" s="1112"/>
      <c r="AK45" s="1106"/>
      <c r="AL45" s="1137"/>
      <c r="AM45" s="1137"/>
      <c r="AN45" s="1137"/>
      <c r="AO45" s="1132"/>
      <c r="AP45" s="1132"/>
      <c r="AQ45" s="1138"/>
      <c r="AR45" s="1132"/>
      <c r="AS45" s="1134"/>
      <c r="AT45" s="1132"/>
      <c r="AU45" s="3"/>
      <c r="AV45" s="1150"/>
      <c r="AW45" s="3"/>
      <c r="AX45" s="1151"/>
      <c r="AY45" s="1151"/>
      <c r="AZ45" s="1151"/>
      <c r="BA45" s="1151"/>
      <c r="BB45" s="3"/>
      <c r="BC45" s="3"/>
    </row>
    <row r="46" spans="2:55" ht="10.5" customHeight="1" thickBot="1">
      <c r="B46" s="503"/>
      <c r="C46" s="518"/>
      <c r="D46" s="503"/>
      <c r="E46" s="503"/>
      <c r="F46" s="503"/>
      <c r="G46" s="503"/>
      <c r="H46" s="503"/>
      <c r="I46" s="503"/>
      <c r="J46" s="503"/>
      <c r="K46" s="567"/>
      <c r="L46" s="503"/>
      <c r="M46" s="569"/>
      <c r="N46" s="503"/>
      <c r="O46" s="503"/>
      <c r="P46" s="503"/>
      <c r="Q46" s="504"/>
      <c r="R46" s="504"/>
      <c r="S46" s="1108"/>
      <c r="T46" s="503"/>
      <c r="U46" s="518"/>
      <c r="V46" s="503"/>
      <c r="W46" s="503"/>
      <c r="X46" s="503"/>
      <c r="Y46" s="503"/>
      <c r="Z46" s="503"/>
      <c r="AA46" s="503"/>
      <c r="AB46" s="503"/>
      <c r="AC46" s="567"/>
      <c r="AD46" s="503"/>
      <c r="AE46" s="569"/>
      <c r="AF46" s="503"/>
      <c r="AG46" s="503"/>
      <c r="AH46" s="503"/>
      <c r="AI46" s="504"/>
      <c r="AJ46" s="1108"/>
      <c r="AK46" s="1108"/>
      <c r="AL46" s="1139"/>
      <c r="AM46" s="1140"/>
      <c r="AN46" s="1139"/>
      <c r="AO46" s="1139"/>
      <c r="AP46" s="1139"/>
      <c r="AQ46" s="1139"/>
      <c r="AR46" s="1139"/>
      <c r="AS46" s="1139"/>
      <c r="AT46" s="1139"/>
      <c r="AU46" s="1141"/>
      <c r="AV46" s="1139"/>
      <c r="AW46" s="1142"/>
      <c r="AX46" s="1139"/>
      <c r="AY46" s="1139"/>
      <c r="AZ46" s="1139"/>
      <c r="BA46" s="1108"/>
      <c r="BB46" s="3"/>
      <c r="BC46" s="3"/>
    </row>
    <row r="47" spans="2:55" ht="20.25" customHeight="1" thickBot="1">
      <c r="B47" s="1644" t="s">
        <v>7</v>
      </c>
      <c r="C47" s="1653" t="s">
        <v>316</v>
      </c>
      <c r="D47" s="1655" t="s">
        <v>317</v>
      </c>
      <c r="E47" s="1656"/>
      <c r="F47" s="1656"/>
      <c r="G47" s="1656"/>
      <c r="H47" s="1656"/>
      <c r="I47" s="1656"/>
      <c r="J47" s="1657" t="s">
        <v>318</v>
      </c>
      <c r="K47" s="1658"/>
      <c r="L47" s="1659"/>
      <c r="M47" s="1663" t="s">
        <v>319</v>
      </c>
      <c r="N47" s="1665" t="s">
        <v>320</v>
      </c>
      <c r="O47" s="1666"/>
      <c r="P47" s="1667"/>
      <c r="Q47" s="1644" t="s">
        <v>19</v>
      </c>
      <c r="R47" s="1107"/>
      <c r="S47" s="1107"/>
      <c r="T47" s="1644" t="s">
        <v>7</v>
      </c>
      <c r="U47" s="1653" t="s">
        <v>316</v>
      </c>
      <c r="V47" s="1655" t="s">
        <v>317</v>
      </c>
      <c r="W47" s="1656"/>
      <c r="X47" s="1656"/>
      <c r="Y47" s="1656"/>
      <c r="Z47" s="1656"/>
      <c r="AA47" s="1656"/>
      <c r="AB47" s="1657" t="s">
        <v>318</v>
      </c>
      <c r="AC47" s="1658"/>
      <c r="AD47" s="1659"/>
      <c r="AE47" s="1663" t="s">
        <v>319</v>
      </c>
      <c r="AF47" s="1665" t="s">
        <v>320</v>
      </c>
      <c r="AG47" s="1666"/>
      <c r="AH47" s="1667"/>
      <c r="AI47" s="1665" t="s">
        <v>19</v>
      </c>
      <c r="AJ47" s="1111"/>
      <c r="AK47" s="1107"/>
      <c r="AL47" s="1152"/>
      <c r="AM47" s="1153"/>
      <c r="AN47" s="1152"/>
      <c r="AO47" s="1152"/>
      <c r="AP47" s="1152"/>
      <c r="AQ47" s="1152"/>
      <c r="AR47" s="1152"/>
      <c r="AS47" s="1152"/>
      <c r="AT47" s="1153"/>
      <c r="AU47" s="1153"/>
      <c r="AV47" s="1153"/>
      <c r="AW47" s="1154"/>
      <c r="AX47" s="1152"/>
      <c r="AY47" s="1152"/>
      <c r="AZ47" s="1152"/>
      <c r="BA47" s="1152"/>
      <c r="BB47" s="3"/>
      <c r="BC47" s="3"/>
    </row>
    <row r="48" spans="2:55" ht="20.25" customHeight="1" thickBot="1">
      <c r="B48" s="1645"/>
      <c r="C48" s="1654"/>
      <c r="D48" s="1075" t="s">
        <v>26</v>
      </c>
      <c r="E48" s="1075" t="s">
        <v>321</v>
      </c>
      <c r="F48" s="519" t="s">
        <v>322</v>
      </c>
      <c r="G48" s="519" t="s">
        <v>323</v>
      </c>
      <c r="H48" s="520" t="s">
        <v>24</v>
      </c>
      <c r="I48" s="521"/>
      <c r="J48" s="1660"/>
      <c r="K48" s="1661"/>
      <c r="L48" s="1662"/>
      <c r="M48" s="1664"/>
      <c r="N48" s="1668"/>
      <c r="O48" s="1669"/>
      <c r="P48" s="1670"/>
      <c r="Q48" s="1645"/>
      <c r="R48" s="1107"/>
      <c r="S48" s="1107"/>
      <c r="T48" s="1645"/>
      <c r="U48" s="1654"/>
      <c r="V48" s="1075" t="s">
        <v>26</v>
      </c>
      <c r="W48" s="1075" t="s">
        <v>321</v>
      </c>
      <c r="X48" s="519" t="s">
        <v>322</v>
      </c>
      <c r="Y48" s="519" t="s">
        <v>323</v>
      </c>
      <c r="Z48" s="520" t="s">
        <v>24</v>
      </c>
      <c r="AA48" s="521"/>
      <c r="AB48" s="1660"/>
      <c r="AC48" s="1661"/>
      <c r="AD48" s="1662"/>
      <c r="AE48" s="1664"/>
      <c r="AF48" s="1668"/>
      <c r="AG48" s="1669"/>
      <c r="AH48" s="1670"/>
      <c r="AI48" s="1668"/>
      <c r="AJ48" s="1111"/>
      <c r="AK48" s="1107"/>
      <c r="AL48" s="1152"/>
      <c r="AM48" s="1153"/>
      <c r="AN48" s="1107"/>
      <c r="AO48" s="1107"/>
      <c r="AP48" s="1107"/>
      <c r="AQ48" s="1107"/>
      <c r="AR48" s="1155"/>
      <c r="AS48" s="1107"/>
      <c r="AT48" s="1153"/>
      <c r="AU48" s="1153"/>
      <c r="AV48" s="1153"/>
      <c r="AW48" s="1154"/>
      <c r="AX48" s="1152"/>
      <c r="AY48" s="1152"/>
      <c r="AZ48" s="1152"/>
      <c r="BA48" s="1152"/>
      <c r="BB48" s="3"/>
      <c r="BC48" s="3"/>
    </row>
    <row r="49" spans="2:55" s="1098" customFormat="1" ht="98.25" customHeight="1" thickBot="1">
      <c r="B49" s="1126">
        <f>LOOKUP(Q49,'ETAT-PAY-PERM'!$AI$15:$AI$93,'ETAT-PAY-PERM'!$N$15:$N$93)</f>
        <v>65779</v>
      </c>
      <c r="C49" s="1126">
        <f>LOOKUP(Q49,'ETAT-PAY-PERM'!$AI$15:$AI$93,'ETAT-PAY-PERM'!$G$15:$G$93)</f>
        <v>5000</v>
      </c>
      <c r="D49" s="1127">
        <f>LOOKUP(Q49,'ETAT-PAY-PERM'!$AI$15:$AI$93,'ETAT-PAY-PERM'!$J$15:$J$93)</f>
        <v>0</v>
      </c>
      <c r="E49" s="1127">
        <f>LOOKUP(Q49,'ETAT-PAY-PERM'!$AI$15:$AI$93,'ETAT-PAY-PERM'!$I$15:$I$93)</f>
        <v>5237.88</v>
      </c>
      <c r="F49" s="1128">
        <f>LOOKUP(Q49,'ETAT-PAY-PERM'!$AI$15:$AI$93,'ETAT-PAY-PERM'!$L$15:$L$93)</f>
        <v>0</v>
      </c>
      <c r="G49" s="1129">
        <f>LOOKUP(Q49,'ETAT-PAY-PERM'!$AI$15:$AI$93,'ETAT-PAY-PERM'!$M$15:$M$93)</f>
        <v>970.19</v>
      </c>
      <c r="H49" s="1646">
        <f>LOOKUP(Q49,'ETAT-PAY-PERM'!$AI$15:$AI$93,'ETAT-PAY-PERM'!$H$15:$H$93)</f>
        <v>5821.11</v>
      </c>
      <c r="I49" s="1647"/>
      <c r="J49" s="1646">
        <f>LOOKUP(Q49,'ETAT-PAY-PERM'!$AI$15:$AI$93,'ETAT-PAY-PERM'!$F$15:$F$93)</f>
        <v>48749.82</v>
      </c>
      <c r="K49" s="1648"/>
      <c r="L49" s="1649"/>
      <c r="M49" s="1130">
        <f>LOOKUP(Q49,'ETAT-PAY-PERM'!$AI$15:$AI$93,'ETAT-PAY-PERM'!$E$15:$E$93)</f>
        <v>11111111111</v>
      </c>
      <c r="N49" s="1650" t="str">
        <f>LOOKUP(Q49,'ETAT-PAY-PERM'!$AI$15:$AI$93,'ETAT-PAY-PERM'!$C$15:$C$93)</f>
        <v>بيسلبيليبسلصثقثصقثصقصث</v>
      </c>
      <c r="O49" s="1651"/>
      <c r="P49" s="1652"/>
      <c r="Q49" s="1118">
        <f>Q39+1</f>
        <v>5</v>
      </c>
      <c r="R49" s="1109"/>
      <c r="S49" s="1109"/>
      <c r="T49" s="1126">
        <f>LOOKUP(AI49,'ETAT-PAY-PERM'!$AH$15:$AH$93,'ETAT-PAY-PERM'!$N$15:$N$93)</f>
        <v>56195.5</v>
      </c>
      <c r="U49" s="1126">
        <f>LOOKUP(AI49,'ETAT-PAY-PERM'!$AH$15:$AH$93,'ETAT-PAY-PERM'!$G$15:$G$93)</f>
        <v>5000</v>
      </c>
      <c r="V49" s="1127">
        <f>LOOKUP(AI49,'ETAT-PAY-PERM'!$AH$15:$AH$93,'ETAT-PAY-PERM'!$J$15:$J$93)</f>
        <v>0</v>
      </c>
      <c r="W49" s="1127">
        <f>LOOKUP(AI49,'ETAT-PAY-PERM'!$AH$15:$AH$93,'ETAT-PAY-PERM'!$I$15:$I$93)</f>
        <v>3931.39</v>
      </c>
      <c r="X49" s="1128">
        <f>LOOKUP(AI49,'ETAT-PAY-PERM'!$AH$15:$AH$93,'ETAT-PAY-PERM'!$L$15:$L$93)</f>
        <v>0</v>
      </c>
      <c r="Y49" s="1129">
        <f>LOOKUP(AI49,'ETAT-PAY-PERM'!$AH$15:$AH$93,'ETAT-PAY-PERM'!$M$15:$M$93)</f>
        <v>824.6</v>
      </c>
      <c r="Z49" s="1646">
        <f>LOOKUP(AI49,'ETAT-PAY-PERM'!$AH$15:$AH$93,'ETAT-PAY-PERM'!$H$15:$H$93)</f>
        <v>4947.57</v>
      </c>
      <c r="AA49" s="1647"/>
      <c r="AB49" s="1646">
        <f>LOOKUP(AI49,'ETAT-PAY-PERM'!$AH$15:$AH$93,'ETAT-PAY-PERM'!$F$15:$F$93)</f>
        <v>41491.94</v>
      </c>
      <c r="AC49" s="1648"/>
      <c r="AD49" s="1649"/>
      <c r="AE49" s="1130">
        <f>LOOKUP(AI49,'ETAT-PAY-PERM'!$AH$15:$AH$93,'ETAT-PAY-PERM'!$E$15:$E$93)</f>
        <v>11111111111</v>
      </c>
      <c r="AF49" s="1650" t="str">
        <f>LOOKUP(AI49,'ETAT-PAY-PERM'!$AH$15:$AH$93,'ETAT-PAY-PERM'!$C$15:$C$93)</f>
        <v>ررءرءؤرؤءرلللللللللللللل</v>
      </c>
      <c r="AG49" s="1651"/>
      <c r="AH49" s="1652"/>
      <c r="AI49" s="1118">
        <f>AI39+1</f>
        <v>5</v>
      </c>
      <c r="AJ49" s="1109"/>
      <c r="AK49" s="1109"/>
      <c r="AL49" s="1143"/>
      <c r="AM49" s="1143"/>
      <c r="AN49" s="1143"/>
      <c r="AO49" s="1143"/>
      <c r="AP49" s="1143"/>
      <c r="AQ49" s="1144"/>
      <c r="AR49" s="1156"/>
      <c r="AS49" s="1156"/>
      <c r="AT49" s="1156"/>
      <c r="AU49" s="1157"/>
      <c r="AV49" s="1157"/>
      <c r="AW49" s="1145"/>
      <c r="AX49" s="1158"/>
      <c r="AY49" s="1159"/>
      <c r="AZ49" s="1159"/>
      <c r="BA49" s="1146"/>
      <c r="BB49" s="1147"/>
      <c r="BC49" s="1147"/>
    </row>
    <row r="50" spans="2:55" s="1103" customFormat="1" ht="13.5" customHeight="1">
      <c r="B50" s="1099"/>
      <c r="C50" s="1099"/>
      <c r="D50" s="1099"/>
      <c r="E50" s="1099"/>
      <c r="F50" s="1099"/>
      <c r="G50" s="1101"/>
      <c r="H50" s="1099"/>
      <c r="I50" s="1099"/>
      <c r="J50" s="1099"/>
      <c r="K50" s="1102"/>
      <c r="L50" s="1102"/>
      <c r="M50" s="558"/>
      <c r="N50" s="559"/>
      <c r="O50" s="559"/>
      <c r="P50" s="559"/>
      <c r="Q50" s="560"/>
      <c r="R50" s="1104"/>
      <c r="S50" s="1104"/>
      <c r="T50" s="1099"/>
      <c r="U50" s="1099"/>
      <c r="V50" s="1099"/>
      <c r="W50" s="1099"/>
      <c r="X50" s="1099"/>
      <c r="Y50" s="1101"/>
      <c r="Z50" s="1099"/>
      <c r="AA50" s="1099"/>
      <c r="AB50" s="1099"/>
      <c r="AC50" s="1102"/>
      <c r="AD50" s="1102"/>
      <c r="AE50" s="558"/>
      <c r="AF50" s="559"/>
      <c r="AG50" s="559"/>
      <c r="AH50" s="559"/>
      <c r="AI50" s="560"/>
      <c r="AJ50" s="1104"/>
      <c r="AK50" s="1104"/>
      <c r="AL50" s="1099"/>
      <c r="AM50" s="1099"/>
      <c r="AN50" s="1099"/>
      <c r="AO50" s="1099"/>
      <c r="AP50" s="1099"/>
      <c r="AQ50" s="1101"/>
      <c r="AR50" s="1099"/>
      <c r="AS50" s="1099"/>
      <c r="AT50" s="1099"/>
      <c r="AU50" s="1102"/>
      <c r="AV50" s="1102"/>
      <c r="AW50" s="558"/>
      <c r="AX50" s="559"/>
      <c r="AY50" s="559"/>
      <c r="AZ50" s="559"/>
      <c r="BA50" s="1104"/>
      <c r="BB50" s="1148"/>
      <c r="BC50" s="1148"/>
    </row>
    <row r="51" spans="2:55" ht="42.75" customHeight="1">
      <c r="B51" s="1184"/>
      <c r="C51" s="1184"/>
      <c r="D51" s="1184"/>
      <c r="E51" s="1184"/>
      <c r="F51" s="1184"/>
      <c r="G51" s="1184"/>
      <c r="H51" s="1184"/>
      <c r="I51" s="1184"/>
      <c r="J51" s="1184"/>
      <c r="K51" s="1184"/>
      <c r="L51" s="1184"/>
      <c r="M51" s="1184"/>
      <c r="N51" s="1184"/>
      <c r="O51" s="1184"/>
      <c r="P51" s="1184"/>
      <c r="Q51" s="1184"/>
      <c r="R51" s="1160"/>
      <c r="S51" s="1076"/>
      <c r="T51" s="1671" t="s">
        <v>306</v>
      </c>
      <c r="U51" s="1672"/>
      <c r="V51" s="1671"/>
      <c r="W51" s="1671"/>
      <c r="X51" s="1671"/>
      <c r="Y51" s="1671"/>
      <c r="Z51" s="1671"/>
      <c r="AA51" s="1671"/>
      <c r="AB51" s="1671"/>
      <c r="AC51" s="1671"/>
      <c r="AD51" s="1671"/>
      <c r="AE51" s="1671"/>
      <c r="AF51" s="1671"/>
      <c r="AG51" s="1671"/>
      <c r="AH51" s="1671"/>
      <c r="AI51" s="1671"/>
      <c r="AJ51" s="1076"/>
      <c r="AK51" s="1076"/>
      <c r="AL51" s="1149"/>
      <c r="AM51" s="1149"/>
      <c r="AN51" s="1149"/>
      <c r="AO51" s="1149"/>
      <c r="AP51" s="1149"/>
      <c r="AQ51" s="1149"/>
      <c r="AR51" s="1149"/>
      <c r="AS51" s="1149"/>
      <c r="AT51" s="1149"/>
      <c r="AU51" s="1149"/>
      <c r="AV51" s="1149"/>
      <c r="AW51" s="1149"/>
      <c r="AX51" s="1149"/>
      <c r="AY51" s="1149"/>
      <c r="AZ51" s="1149"/>
      <c r="BA51" s="1149"/>
      <c r="BB51" s="3"/>
      <c r="BC51" s="3"/>
    </row>
    <row r="52" spans="2:55" ht="30" customHeight="1" thickBot="1">
      <c r="B52" s="1166"/>
      <c r="C52" s="1162"/>
      <c r="D52" s="1167"/>
      <c r="E52" s="1168"/>
      <c r="F52" s="1168"/>
      <c r="G52" s="1169"/>
      <c r="H52" s="1162"/>
      <c r="I52" s="1170"/>
      <c r="J52" s="1167"/>
      <c r="K52" s="1171"/>
      <c r="L52" s="1167"/>
      <c r="M52" s="1167"/>
      <c r="N52" s="1162"/>
      <c r="O52" s="1172"/>
      <c r="P52" s="1172"/>
      <c r="Q52" s="1173"/>
      <c r="R52" s="1161"/>
      <c r="S52" s="1108"/>
      <c r="T52" s="505" t="s">
        <v>307</v>
      </c>
      <c r="U52" s="506"/>
      <c r="V52" s="507"/>
      <c r="W52" s="508"/>
      <c r="X52" s="508"/>
      <c r="Y52" s="509" t="s">
        <v>308</v>
      </c>
      <c r="Z52" s="506"/>
      <c r="AA52" s="510"/>
      <c r="AB52" s="507"/>
      <c r="AC52" s="564"/>
      <c r="AD52" s="565"/>
      <c r="AE52" s="507"/>
      <c r="AF52" s="511"/>
      <c r="AI52" s="504"/>
      <c r="AJ52" s="1108"/>
      <c r="AK52" s="1108"/>
      <c r="AL52" s="1131"/>
      <c r="AM52" s="1105"/>
      <c r="AN52" s="1132"/>
      <c r="AO52" s="1133"/>
      <c r="AP52" s="1133"/>
      <c r="AQ52" s="1134"/>
      <c r="AR52" s="1105"/>
      <c r="AS52" s="1135"/>
      <c r="AT52" s="1132"/>
      <c r="AU52" s="1136"/>
      <c r="AV52" s="1132"/>
      <c r="AW52" s="1132"/>
      <c r="AX52" s="1105"/>
      <c r="AY52" s="3"/>
      <c r="AZ52" s="3"/>
      <c r="BA52" s="1108"/>
      <c r="BB52" s="3"/>
      <c r="BC52" s="3"/>
    </row>
    <row r="53" spans="2:55" ht="29.25" customHeight="1" thickBot="1">
      <c r="B53" s="1166"/>
      <c r="C53" s="1162"/>
      <c r="D53" s="1167"/>
      <c r="E53" s="1168"/>
      <c r="F53" s="1168"/>
      <c r="G53" s="1162"/>
      <c r="H53" s="1162"/>
      <c r="I53" s="1170"/>
      <c r="J53" s="1167"/>
      <c r="K53" s="1172"/>
      <c r="L53" s="1185"/>
      <c r="M53" s="1167"/>
      <c r="N53" s="1167"/>
      <c r="O53" s="1172"/>
      <c r="P53" s="1172"/>
      <c r="Q53" s="1173"/>
      <c r="R53" s="1161"/>
      <c r="S53" s="1108"/>
      <c r="T53" s="505" t="s">
        <v>885</v>
      </c>
      <c r="U53" s="511"/>
      <c r="V53" s="507"/>
      <c r="W53" s="508"/>
      <c r="X53" s="508"/>
      <c r="Y53" s="511" t="s">
        <v>309</v>
      </c>
      <c r="Z53" s="511"/>
      <c r="AA53" s="510"/>
      <c r="AB53" s="566"/>
      <c r="AD53" s="561" t="s">
        <v>310</v>
      </c>
      <c r="AE53" s="563"/>
      <c r="AF53" s="570"/>
      <c r="AI53" s="504"/>
      <c r="AJ53" s="1108"/>
      <c r="AK53" s="1108"/>
      <c r="AL53" s="1131"/>
      <c r="AM53" s="1105"/>
      <c r="AN53" s="1132"/>
      <c r="AO53" s="1133"/>
      <c r="AP53" s="1133"/>
      <c r="AQ53" s="1105"/>
      <c r="AR53" s="1105"/>
      <c r="AS53" s="1135"/>
      <c r="AT53" s="1132"/>
      <c r="AU53" s="3"/>
      <c r="AV53" s="1150"/>
      <c r="AW53" s="1132"/>
      <c r="AX53" s="1132"/>
      <c r="AY53" s="3"/>
      <c r="AZ53" s="3"/>
      <c r="BA53" s="1108"/>
      <c r="BB53" s="3"/>
      <c r="BC53" s="3"/>
    </row>
    <row r="54" spans="2:55" ht="32.25" customHeight="1" thickBot="1">
      <c r="B54" s="1167"/>
      <c r="C54" s="1167"/>
      <c r="D54" s="1167"/>
      <c r="E54" s="1172"/>
      <c r="F54" s="1162"/>
      <c r="G54" s="1162"/>
      <c r="H54" s="1167"/>
      <c r="I54" s="1162"/>
      <c r="J54" s="1167"/>
      <c r="K54" s="1172"/>
      <c r="L54" s="1185"/>
      <c r="M54" s="1172"/>
      <c r="N54" s="1174"/>
      <c r="O54" s="1174"/>
      <c r="P54" s="1174"/>
      <c r="Q54" s="1174"/>
      <c r="R54" s="1162"/>
      <c r="S54" s="1105"/>
      <c r="T54" s="507"/>
      <c r="U54" s="507"/>
      <c r="V54" s="507"/>
      <c r="X54" s="512" t="s">
        <v>311</v>
      </c>
      <c r="Y54" s="513" t="s">
        <v>247</v>
      </c>
      <c r="Z54" s="507"/>
      <c r="AA54" s="514" t="s">
        <v>312</v>
      </c>
      <c r="AB54" s="507"/>
      <c r="AD54" s="561" t="s">
        <v>313</v>
      </c>
      <c r="AF54" s="1673" t="s">
        <v>314</v>
      </c>
      <c r="AG54" s="1674"/>
      <c r="AH54" s="1674"/>
      <c r="AI54" s="1675"/>
      <c r="AJ54" s="1105"/>
      <c r="AK54" s="1105"/>
      <c r="AL54" s="1132"/>
      <c r="AM54" s="1132"/>
      <c r="AN54" s="1132"/>
      <c r="AO54" s="3"/>
      <c r="AP54" s="1105"/>
      <c r="AQ54" s="1105"/>
      <c r="AR54" s="1132"/>
      <c r="AS54" s="1105"/>
      <c r="AT54" s="1132"/>
      <c r="AU54" s="3"/>
      <c r="AV54" s="1150"/>
      <c r="AW54" s="3"/>
      <c r="AX54" s="1137"/>
      <c r="AY54" s="1137"/>
      <c r="AZ54" s="1137"/>
      <c r="BA54" s="1137"/>
      <c r="BB54" s="3"/>
      <c r="BC54" s="3"/>
    </row>
    <row r="55" spans="2:55" ht="30" customHeight="1" thickBot="1">
      <c r="B55" s="1174"/>
      <c r="C55" s="1174"/>
      <c r="D55" s="1174"/>
      <c r="E55" s="1167"/>
      <c r="F55" s="1167"/>
      <c r="G55" s="1175"/>
      <c r="H55" s="1167"/>
      <c r="I55" s="1169"/>
      <c r="J55" s="1167"/>
      <c r="K55" s="1172"/>
      <c r="L55" s="1185"/>
      <c r="M55" s="1172"/>
      <c r="N55" s="1186"/>
      <c r="O55" s="1186"/>
      <c r="P55" s="1186"/>
      <c r="Q55" s="1186"/>
      <c r="R55" s="1163"/>
      <c r="S55" s="1106"/>
      <c r="T55" s="556" t="str">
        <f ca="1">T45</f>
        <v>أجـــرة شهـــر جوان 2019</v>
      </c>
      <c r="U55" s="557"/>
      <c r="V55" s="557"/>
      <c r="W55" s="515"/>
      <c r="X55" s="515"/>
      <c r="Y55" s="516">
        <f>Y45</f>
        <v>72</v>
      </c>
      <c r="Z55" s="507"/>
      <c r="AA55" s="517" t="s">
        <v>107</v>
      </c>
      <c r="AB55" s="562"/>
      <c r="AD55" s="568" t="s">
        <v>315</v>
      </c>
      <c r="AF55" s="1676" t="s">
        <v>648</v>
      </c>
      <c r="AG55" s="1677"/>
      <c r="AH55" s="1677"/>
      <c r="AI55" s="1678"/>
      <c r="AJ55" s="1106"/>
      <c r="AK55" s="1106"/>
      <c r="AL55" s="1137"/>
      <c r="AM55" s="1137"/>
      <c r="AN55" s="1137"/>
      <c r="AO55" s="1132"/>
      <c r="AP55" s="1132"/>
      <c r="AQ55" s="1138"/>
      <c r="AR55" s="1132"/>
      <c r="AS55" s="1134"/>
      <c r="AT55" s="1132"/>
      <c r="AU55" s="3"/>
      <c r="AV55" s="1150"/>
      <c r="AW55" s="3"/>
      <c r="AX55" s="1151"/>
      <c r="AY55" s="1151"/>
      <c r="AZ55" s="1151"/>
      <c r="BA55" s="1151"/>
      <c r="BB55" s="3"/>
      <c r="BC55" s="3"/>
    </row>
    <row r="56" spans="2:55" ht="10.5" customHeight="1" thickBot="1">
      <c r="B56" s="1176"/>
      <c r="C56" s="1177"/>
      <c r="D56" s="1176"/>
      <c r="E56" s="1176"/>
      <c r="F56" s="1176"/>
      <c r="G56" s="1176"/>
      <c r="H56" s="1176"/>
      <c r="I56" s="1176"/>
      <c r="J56" s="1176"/>
      <c r="K56" s="1178"/>
      <c r="L56" s="1176"/>
      <c r="M56" s="1179"/>
      <c r="N56" s="1176"/>
      <c r="O56" s="1176"/>
      <c r="P56" s="1176"/>
      <c r="Q56" s="1173"/>
      <c r="R56" s="1161"/>
      <c r="S56" s="1108"/>
      <c r="T56" s="503"/>
      <c r="U56" s="518"/>
      <c r="V56" s="503"/>
      <c r="W56" s="503"/>
      <c r="X56" s="503"/>
      <c r="Y56" s="503"/>
      <c r="Z56" s="503"/>
      <c r="AA56" s="503"/>
      <c r="AB56" s="503"/>
      <c r="AC56" s="567"/>
      <c r="AD56" s="503"/>
      <c r="AE56" s="569"/>
      <c r="AF56" s="503"/>
      <c r="AG56" s="503"/>
      <c r="AH56" s="503"/>
      <c r="AI56" s="504"/>
      <c r="AJ56" s="1108"/>
      <c r="AK56" s="1108"/>
      <c r="AL56" s="1139"/>
      <c r="AM56" s="1140"/>
      <c r="AN56" s="1139"/>
      <c r="AO56" s="1139"/>
      <c r="AP56" s="1139"/>
      <c r="AQ56" s="1139"/>
      <c r="AR56" s="1139"/>
      <c r="AS56" s="1139"/>
      <c r="AT56" s="1139"/>
      <c r="AU56" s="1141"/>
      <c r="AV56" s="1139"/>
      <c r="AW56" s="1142"/>
      <c r="AX56" s="1139"/>
      <c r="AY56" s="1139"/>
      <c r="AZ56" s="1139"/>
      <c r="BA56" s="1108"/>
      <c r="BB56" s="3"/>
      <c r="BC56" s="3"/>
    </row>
    <row r="57" spans="2:55" ht="20.25" customHeight="1" thickBot="1">
      <c r="B57" s="1187"/>
      <c r="C57" s="1188"/>
      <c r="D57" s="1187"/>
      <c r="E57" s="1187"/>
      <c r="F57" s="1187"/>
      <c r="G57" s="1187"/>
      <c r="H57" s="1187"/>
      <c r="I57" s="1187"/>
      <c r="J57" s="1188"/>
      <c r="K57" s="1188"/>
      <c r="L57" s="1188"/>
      <c r="M57" s="1189"/>
      <c r="N57" s="1187"/>
      <c r="O57" s="1187"/>
      <c r="P57" s="1187"/>
      <c r="Q57" s="1187"/>
      <c r="R57" s="1164"/>
      <c r="S57" s="1107"/>
      <c r="T57" s="1644" t="s">
        <v>7</v>
      </c>
      <c r="U57" s="1653" t="s">
        <v>316</v>
      </c>
      <c r="V57" s="1655" t="s">
        <v>317</v>
      </c>
      <c r="W57" s="1656"/>
      <c r="X57" s="1656"/>
      <c r="Y57" s="1656"/>
      <c r="Z57" s="1656"/>
      <c r="AA57" s="1656"/>
      <c r="AB57" s="1657" t="s">
        <v>318</v>
      </c>
      <c r="AC57" s="1658"/>
      <c r="AD57" s="1659"/>
      <c r="AE57" s="1663" t="s">
        <v>319</v>
      </c>
      <c r="AF57" s="1665" t="s">
        <v>320</v>
      </c>
      <c r="AG57" s="1666"/>
      <c r="AH57" s="1667"/>
      <c r="AI57" s="1644" t="s">
        <v>19</v>
      </c>
      <c r="AJ57" s="1107"/>
      <c r="AK57" s="1107"/>
      <c r="AL57" s="1152"/>
      <c r="AM57" s="1153"/>
      <c r="AN57" s="1152"/>
      <c r="AO57" s="1152"/>
      <c r="AP57" s="1152"/>
      <c r="AQ57" s="1152"/>
      <c r="AR57" s="1152"/>
      <c r="AS57" s="1152"/>
      <c r="AT57" s="1153"/>
      <c r="AU57" s="1153"/>
      <c r="AV57" s="1153"/>
      <c r="AW57" s="1154"/>
      <c r="AX57" s="1152"/>
      <c r="AY57" s="1152"/>
      <c r="AZ57" s="1152"/>
      <c r="BA57" s="1152"/>
      <c r="BB57" s="3"/>
      <c r="BC57" s="3"/>
    </row>
    <row r="58" spans="2:55" ht="20.25" customHeight="1" thickBot="1">
      <c r="B58" s="1187"/>
      <c r="C58" s="1188"/>
      <c r="D58" s="1164"/>
      <c r="E58" s="1164"/>
      <c r="F58" s="1164"/>
      <c r="G58" s="1164"/>
      <c r="H58" s="1190"/>
      <c r="I58" s="1164"/>
      <c r="J58" s="1188"/>
      <c r="K58" s="1188"/>
      <c r="L58" s="1188"/>
      <c r="M58" s="1189"/>
      <c r="N58" s="1187"/>
      <c r="O58" s="1187"/>
      <c r="P58" s="1187"/>
      <c r="Q58" s="1187"/>
      <c r="R58" s="1164"/>
      <c r="S58" s="1107"/>
      <c r="T58" s="1645"/>
      <c r="U58" s="1654"/>
      <c r="V58" s="1075" t="s">
        <v>26</v>
      </c>
      <c r="W58" s="1075" t="s">
        <v>321</v>
      </c>
      <c r="X58" s="519" t="s">
        <v>322</v>
      </c>
      <c r="Y58" s="519" t="s">
        <v>323</v>
      </c>
      <c r="Z58" s="520" t="s">
        <v>24</v>
      </c>
      <c r="AA58" s="521"/>
      <c r="AB58" s="1660"/>
      <c r="AC58" s="1661"/>
      <c r="AD58" s="1662"/>
      <c r="AE58" s="1664"/>
      <c r="AF58" s="1668"/>
      <c r="AG58" s="1669"/>
      <c r="AH58" s="1670"/>
      <c r="AI58" s="1645"/>
      <c r="AJ58" s="1107"/>
      <c r="AK58" s="1107"/>
      <c r="AL58" s="1152"/>
      <c r="AM58" s="1153"/>
      <c r="AN58" s="1107"/>
      <c r="AO58" s="1107"/>
      <c r="AP58" s="1107"/>
      <c r="AQ58" s="1107"/>
      <c r="AR58" s="1155"/>
      <c r="AS58" s="1107"/>
      <c r="AT58" s="1153"/>
      <c r="AU58" s="1153"/>
      <c r="AV58" s="1153"/>
      <c r="AW58" s="1154"/>
      <c r="AX58" s="1152"/>
      <c r="AY58" s="1152"/>
      <c r="AZ58" s="1152"/>
      <c r="BA58" s="1152"/>
      <c r="BB58" s="3"/>
      <c r="BC58" s="3"/>
    </row>
    <row r="59" spans="2:55" s="1098" customFormat="1" ht="98.25" customHeight="1" thickBot="1">
      <c r="B59" s="1180"/>
      <c r="C59" s="1180"/>
      <c r="D59" s="1180"/>
      <c r="E59" s="1180"/>
      <c r="F59" s="1180"/>
      <c r="G59" s="1181"/>
      <c r="H59" s="1191"/>
      <c r="I59" s="1191"/>
      <c r="J59" s="1191"/>
      <c r="K59" s="1192"/>
      <c r="L59" s="1192"/>
      <c r="M59" s="1182"/>
      <c r="N59" s="1193"/>
      <c r="O59" s="1194"/>
      <c r="P59" s="1194"/>
      <c r="Q59" s="1183"/>
      <c r="R59" s="1165"/>
      <c r="S59" s="1109"/>
      <c r="T59" s="1126">
        <f>LOOKUP(AI59,'ETAT-PAY-PERM'!$AH$15:$AH$93,'ETAT-PAY-PERM'!$N$15:$N$93)</f>
        <v>56195.5</v>
      </c>
      <c r="U59" s="1126">
        <f>LOOKUP(AI59,'ETAT-PAY-PERM'!$AH$15:$AH$93,'ETAT-PAY-PERM'!$G$15:$G$93)</f>
        <v>5000</v>
      </c>
      <c r="V59" s="1127">
        <f>LOOKUP(AI59,'ETAT-PAY-PERM'!$AH$15:$AH$93,'ETAT-PAY-PERM'!$J$15:$J$93)</f>
        <v>0</v>
      </c>
      <c r="W59" s="1127">
        <f>LOOKUP(AI59,'ETAT-PAY-PERM'!$AH$15:$AH$93,'ETAT-PAY-PERM'!$I$15:$I$93)</f>
        <v>3931.39</v>
      </c>
      <c r="X59" s="1128">
        <f>LOOKUP(AI59,'ETAT-PAY-PERM'!$AH$15:$AH$93,'ETAT-PAY-PERM'!$L$15:$L$93)</f>
        <v>0</v>
      </c>
      <c r="Y59" s="1129">
        <f>LOOKUP(AI59,'ETAT-PAY-PERM'!$AH$15:$AH$93,'ETAT-PAY-PERM'!$M$15:$M$93)</f>
        <v>824.6</v>
      </c>
      <c r="Z59" s="1646">
        <f>LOOKUP(AI59,'ETAT-PAY-PERM'!$AH$15:$AH$93,'ETAT-PAY-PERM'!$H$15:$H$93)</f>
        <v>4947.57</v>
      </c>
      <c r="AA59" s="1647"/>
      <c r="AB59" s="1646">
        <f>LOOKUP(AI59,'ETAT-PAY-PERM'!$AH$15:$AH$93,'ETAT-PAY-PERM'!$F$15:$F$93)</f>
        <v>41491.94</v>
      </c>
      <c r="AC59" s="1648"/>
      <c r="AD59" s="1649"/>
      <c r="AE59" s="1130">
        <f>LOOKUP(AI59,'ETAT-PAY-PERM'!$AH$15:$AH$93,'ETAT-PAY-PERM'!$E$15:$E$93)</f>
        <v>11111111111</v>
      </c>
      <c r="AF59" s="1650" t="str">
        <f>LOOKUP(AI59,'ETAT-PAY-PERM'!$AH$15:$AH$93,'ETAT-PAY-PERM'!$C$15:$C$93)</f>
        <v>ررءرءؤرؤءرلللللللللللللل</v>
      </c>
      <c r="AG59" s="1651"/>
      <c r="AH59" s="1652"/>
      <c r="AI59" s="1118">
        <f>AI49+1</f>
        <v>6</v>
      </c>
      <c r="AJ59" s="1109"/>
      <c r="AK59" s="1109"/>
      <c r="AL59" s="1143"/>
      <c r="AM59" s="1143"/>
      <c r="AN59" s="1143"/>
      <c r="AO59" s="1143"/>
      <c r="AP59" s="1143"/>
      <c r="AQ59" s="1144"/>
      <c r="AR59" s="1156"/>
      <c r="AS59" s="1156"/>
      <c r="AT59" s="1156"/>
      <c r="AU59" s="1157"/>
      <c r="AV59" s="1157"/>
      <c r="AW59" s="1145"/>
      <c r="AX59" s="1158"/>
      <c r="AY59" s="1159"/>
      <c r="AZ59" s="1159"/>
      <c r="BA59" s="1146"/>
      <c r="BB59" s="1147"/>
      <c r="BC59" s="1147"/>
    </row>
    <row r="60" spans="2:55">
      <c r="B60" s="1120"/>
      <c r="C60" s="1120"/>
      <c r="D60" s="1120"/>
      <c r="E60" s="1120"/>
      <c r="F60" s="1120"/>
      <c r="G60" s="1120"/>
      <c r="H60" s="1120"/>
      <c r="I60" s="1120"/>
      <c r="J60" s="1120"/>
      <c r="K60" s="1120"/>
      <c r="L60" s="1120"/>
      <c r="M60" s="1120"/>
      <c r="N60" s="1120"/>
      <c r="O60" s="1120"/>
      <c r="P60" s="1120"/>
      <c r="Q60" s="1120"/>
      <c r="R60" s="1120"/>
      <c r="AL60" s="3"/>
      <c r="AM60" s="3"/>
      <c r="AN60" s="3"/>
      <c r="AO60" s="3"/>
      <c r="AP60" s="3"/>
      <c r="AQ60" s="3"/>
      <c r="AR60" s="3"/>
      <c r="AS60" s="3"/>
      <c r="AT60" s="3"/>
      <c r="AU60" s="3"/>
      <c r="AV60" s="3"/>
      <c r="AW60" s="3"/>
      <c r="AX60" s="3"/>
      <c r="AY60" s="3"/>
      <c r="AZ60" s="3"/>
      <c r="BA60" s="3"/>
      <c r="BB60" s="3"/>
      <c r="BC60" s="3"/>
    </row>
    <row r="61" spans="2:55" ht="42.75" customHeight="1">
      <c r="B61" s="1149"/>
      <c r="C61" s="1149"/>
      <c r="D61" s="1149"/>
      <c r="E61" s="1149"/>
      <c r="F61" s="1149"/>
      <c r="G61" s="1149"/>
      <c r="H61" s="1149"/>
      <c r="I61" s="1149"/>
      <c r="J61" s="1149"/>
      <c r="K61" s="1149"/>
      <c r="L61" s="1149"/>
      <c r="M61" s="1149"/>
      <c r="N61" s="1149"/>
      <c r="O61" s="1149"/>
      <c r="P61" s="1149"/>
      <c r="Q61" s="1149"/>
      <c r="R61" s="1076"/>
      <c r="S61" s="1076"/>
      <c r="T61" s="1672" t="s">
        <v>306</v>
      </c>
      <c r="U61" s="1672"/>
      <c r="V61" s="1672"/>
      <c r="W61" s="1672"/>
      <c r="X61" s="1672"/>
      <c r="Y61" s="1672"/>
      <c r="Z61" s="1672"/>
      <c r="AA61" s="1672"/>
      <c r="AB61" s="1672"/>
      <c r="AC61" s="1672"/>
      <c r="AD61" s="1672"/>
      <c r="AE61" s="1672"/>
      <c r="AF61" s="1672"/>
      <c r="AG61" s="1672"/>
      <c r="AH61" s="1672"/>
      <c r="AI61" s="1672"/>
      <c r="AJ61" s="1076"/>
      <c r="AK61" s="1076"/>
      <c r="AL61" s="1149"/>
      <c r="AM61" s="1149"/>
      <c r="AN61" s="1149"/>
      <c r="AO61" s="1149"/>
      <c r="AP61" s="1149"/>
      <c r="AQ61" s="1149"/>
      <c r="AR61" s="1149"/>
      <c r="AS61" s="1149"/>
      <c r="AT61" s="1149"/>
      <c r="AU61" s="1149"/>
      <c r="AV61" s="1149"/>
      <c r="AW61" s="1149"/>
      <c r="AX61" s="1149"/>
      <c r="AY61" s="1149"/>
      <c r="AZ61" s="1149"/>
      <c r="BA61" s="1149"/>
    </row>
    <row r="62" spans="2:55" ht="30" customHeight="1" thickBot="1">
      <c r="B62" s="1131"/>
      <c r="C62" s="1105"/>
      <c r="D62" s="1132"/>
      <c r="E62" s="1133"/>
      <c r="F62" s="1133"/>
      <c r="G62" s="1134"/>
      <c r="H62" s="1105"/>
      <c r="I62" s="1135"/>
      <c r="J62" s="1132"/>
      <c r="K62" s="1136"/>
      <c r="L62" s="1132"/>
      <c r="M62" s="1132"/>
      <c r="N62" s="1105"/>
      <c r="O62" s="3"/>
      <c r="P62" s="3"/>
      <c r="Q62" s="1108"/>
      <c r="R62" s="504"/>
      <c r="S62" s="1108"/>
      <c r="T62" s="505" t="s">
        <v>307</v>
      </c>
      <c r="U62" s="506"/>
      <c r="V62" s="507"/>
      <c r="W62" s="508"/>
      <c r="X62" s="508"/>
      <c r="Y62" s="509" t="s">
        <v>308</v>
      </c>
      <c r="Z62" s="506"/>
      <c r="AA62" s="510"/>
      <c r="AB62" s="507"/>
      <c r="AC62" s="564"/>
      <c r="AD62" s="565"/>
      <c r="AE62" s="507"/>
      <c r="AF62" s="511"/>
      <c r="AI62" s="504"/>
      <c r="AJ62" s="1108"/>
      <c r="AK62" s="1108"/>
      <c r="AL62" s="1131"/>
      <c r="AM62" s="1105"/>
      <c r="AN62" s="1132"/>
      <c r="AO62" s="1133"/>
      <c r="AP62" s="1133"/>
      <c r="AQ62" s="1134"/>
      <c r="AR62" s="1105"/>
      <c r="AS62" s="1135"/>
      <c r="AT62" s="1132"/>
      <c r="AU62" s="1136"/>
      <c r="AV62" s="1132"/>
      <c r="AW62" s="1132"/>
      <c r="AX62" s="1105"/>
      <c r="AY62" s="3"/>
      <c r="AZ62" s="3"/>
      <c r="BA62" s="1108"/>
    </row>
    <row r="63" spans="2:55" ht="29.25" customHeight="1" thickBot="1">
      <c r="B63" s="1131"/>
      <c r="C63" s="1105"/>
      <c r="D63" s="1132"/>
      <c r="E63" s="1133"/>
      <c r="F63" s="1133"/>
      <c r="G63" s="1105"/>
      <c r="H63" s="1105"/>
      <c r="I63" s="1135"/>
      <c r="J63" s="1132"/>
      <c r="K63" s="3"/>
      <c r="L63" s="1150"/>
      <c r="M63" s="1132"/>
      <c r="N63" s="1132"/>
      <c r="O63" s="3"/>
      <c r="P63" s="3"/>
      <c r="Q63" s="1108"/>
      <c r="R63" s="504"/>
      <c r="S63" s="1108"/>
      <c r="T63" s="505" t="s">
        <v>885</v>
      </c>
      <c r="U63" s="511"/>
      <c r="V63" s="507"/>
      <c r="W63" s="508"/>
      <c r="X63" s="508"/>
      <c r="Y63" s="511" t="s">
        <v>309</v>
      </c>
      <c r="Z63" s="511"/>
      <c r="AA63" s="510"/>
      <c r="AB63" s="566"/>
      <c r="AD63" s="561" t="s">
        <v>310</v>
      </c>
      <c r="AE63" s="563"/>
      <c r="AF63" s="570"/>
      <c r="AI63" s="504"/>
      <c r="AJ63" s="1108"/>
      <c r="AK63" s="1108"/>
      <c r="AL63" s="1131"/>
      <c r="AM63" s="1105"/>
      <c r="AN63" s="1132"/>
      <c r="AO63" s="1133"/>
      <c r="AP63" s="1133"/>
      <c r="AQ63" s="1105"/>
      <c r="AR63" s="1105"/>
      <c r="AS63" s="1135"/>
      <c r="AT63" s="1132"/>
      <c r="AU63" s="3"/>
      <c r="AV63" s="1150"/>
      <c r="AW63" s="1132"/>
      <c r="AX63" s="1132"/>
      <c r="AY63" s="3"/>
      <c r="AZ63" s="3"/>
      <c r="BA63" s="1108"/>
    </row>
    <row r="64" spans="2:55" ht="32.25" customHeight="1" thickBot="1">
      <c r="B64" s="1132"/>
      <c r="C64" s="1132"/>
      <c r="D64" s="1132"/>
      <c r="E64" s="3"/>
      <c r="F64" s="1105"/>
      <c r="G64" s="1105"/>
      <c r="H64" s="1132"/>
      <c r="I64" s="1105"/>
      <c r="J64" s="1132"/>
      <c r="K64" s="3"/>
      <c r="L64" s="1150"/>
      <c r="M64" s="3"/>
      <c r="N64" s="1137"/>
      <c r="O64" s="1137"/>
      <c r="P64" s="1137"/>
      <c r="Q64" s="1137"/>
      <c r="R64" s="1105"/>
      <c r="S64" s="1105"/>
      <c r="T64" s="507"/>
      <c r="U64" s="507"/>
      <c r="V64" s="507"/>
      <c r="X64" s="512" t="s">
        <v>311</v>
      </c>
      <c r="Y64" s="513" t="s">
        <v>247</v>
      </c>
      <c r="Z64" s="507"/>
      <c r="AA64" s="514" t="s">
        <v>312</v>
      </c>
      <c r="AB64" s="507"/>
      <c r="AD64" s="561" t="s">
        <v>313</v>
      </c>
      <c r="AF64" s="1673" t="s">
        <v>314</v>
      </c>
      <c r="AG64" s="1674"/>
      <c r="AH64" s="1674"/>
      <c r="AI64" s="1675"/>
      <c r="AJ64" s="1105"/>
      <c r="AK64" s="1105"/>
      <c r="AL64" s="1132"/>
      <c r="AM64" s="1132"/>
      <c r="AN64" s="1132"/>
      <c r="AO64" s="3"/>
      <c r="AP64" s="1105"/>
      <c r="AQ64" s="1105"/>
      <c r="AR64" s="1132"/>
      <c r="AS64" s="1105"/>
      <c r="AT64" s="1132"/>
      <c r="AU64" s="3"/>
      <c r="AV64" s="1150"/>
      <c r="AW64" s="3"/>
      <c r="AX64" s="1137"/>
      <c r="AY64" s="1137"/>
      <c r="AZ64" s="1137"/>
      <c r="BA64" s="1137"/>
      <c r="BB64" s="3"/>
    </row>
    <row r="65" spans="2:55" ht="30" customHeight="1" thickBot="1">
      <c r="B65" s="1137"/>
      <c r="C65" s="1137"/>
      <c r="D65" s="1137"/>
      <c r="E65" s="1132"/>
      <c r="F65" s="1132"/>
      <c r="G65" s="1138"/>
      <c r="H65" s="1132"/>
      <c r="I65" s="1134"/>
      <c r="J65" s="1132"/>
      <c r="K65" s="3"/>
      <c r="L65" s="1150"/>
      <c r="M65" s="3"/>
      <c r="N65" s="1151"/>
      <c r="O65" s="1151"/>
      <c r="P65" s="1151"/>
      <c r="Q65" s="1151"/>
      <c r="R65" s="1106"/>
      <c r="S65" s="1106"/>
      <c r="T65" s="556" t="str">
        <f ca="1">T55</f>
        <v>أجـــرة شهـــر جوان 2019</v>
      </c>
      <c r="U65" s="557"/>
      <c r="V65" s="557"/>
      <c r="W65" s="515"/>
      <c r="X65" s="515"/>
      <c r="Y65" s="516">
        <f>Y55</f>
        <v>72</v>
      </c>
      <c r="Z65" s="507"/>
      <c r="AA65" s="517" t="s">
        <v>107</v>
      </c>
      <c r="AB65" s="562"/>
      <c r="AD65" s="568" t="s">
        <v>315</v>
      </c>
      <c r="AF65" s="1676" t="s">
        <v>648</v>
      </c>
      <c r="AG65" s="1677"/>
      <c r="AH65" s="1677"/>
      <c r="AI65" s="1678"/>
      <c r="AJ65" s="1106"/>
      <c r="AK65" s="1106"/>
      <c r="AL65" s="1137"/>
      <c r="AM65" s="1137"/>
      <c r="AN65" s="1137"/>
      <c r="AO65" s="1132"/>
      <c r="AP65" s="1132"/>
      <c r="AQ65" s="1138"/>
      <c r="AR65" s="1132"/>
      <c r="AS65" s="1134"/>
      <c r="AT65" s="1132"/>
      <c r="AU65" s="3"/>
      <c r="AV65" s="1150"/>
      <c r="AW65" s="3"/>
      <c r="AX65" s="1151"/>
      <c r="AY65" s="1151"/>
      <c r="AZ65" s="1151"/>
      <c r="BA65" s="1151"/>
      <c r="BB65" s="3"/>
    </row>
    <row r="66" spans="2:55" ht="10.5" customHeight="1" thickBot="1">
      <c r="B66" s="1139"/>
      <c r="C66" s="1140"/>
      <c r="D66" s="1139"/>
      <c r="E66" s="1139"/>
      <c r="F66" s="1139"/>
      <c r="G66" s="1139"/>
      <c r="H66" s="1139"/>
      <c r="I66" s="1139"/>
      <c r="J66" s="1139"/>
      <c r="K66" s="1141"/>
      <c r="L66" s="1139"/>
      <c r="M66" s="1142"/>
      <c r="N66" s="1139"/>
      <c r="O66" s="1139"/>
      <c r="P66" s="1139"/>
      <c r="Q66" s="1108"/>
      <c r="R66" s="504"/>
      <c r="S66" s="1108"/>
      <c r="T66" s="1115"/>
      <c r="U66" s="1114"/>
      <c r="V66" s="503"/>
      <c r="W66" s="503"/>
      <c r="X66" s="503"/>
      <c r="Y66" s="503"/>
      <c r="Z66" s="503"/>
      <c r="AA66" s="503"/>
      <c r="AB66" s="503"/>
      <c r="AC66" s="567"/>
      <c r="AD66" s="503"/>
      <c r="AE66" s="569"/>
      <c r="AF66" s="503"/>
      <c r="AG66" s="503"/>
      <c r="AH66" s="503"/>
      <c r="AI66" s="504"/>
      <c r="AJ66" s="1108"/>
      <c r="AK66" s="1108"/>
      <c r="AL66" s="1139"/>
      <c r="AM66" s="1140"/>
      <c r="AN66" s="1139"/>
      <c r="AO66" s="1139"/>
      <c r="AP66" s="1139"/>
      <c r="AQ66" s="1139"/>
      <c r="AR66" s="1139"/>
      <c r="AS66" s="1139"/>
      <c r="AT66" s="1139"/>
      <c r="AU66" s="1141"/>
      <c r="AV66" s="1139"/>
      <c r="AW66" s="1142"/>
      <c r="AX66" s="1139"/>
      <c r="AY66" s="1139"/>
      <c r="AZ66" s="1139"/>
      <c r="BA66" s="1108"/>
    </row>
    <row r="67" spans="2:55" ht="20.25" customHeight="1" thickBot="1">
      <c r="B67" s="1152"/>
      <c r="C67" s="1153"/>
      <c r="D67" s="1152"/>
      <c r="E67" s="1152"/>
      <c r="F67" s="1152"/>
      <c r="G67" s="1152"/>
      <c r="H67" s="1152"/>
      <c r="I67" s="1152"/>
      <c r="J67" s="1153"/>
      <c r="K67" s="1153"/>
      <c r="L67" s="1153"/>
      <c r="M67" s="1154"/>
      <c r="N67" s="1152"/>
      <c r="O67" s="1152"/>
      <c r="P67" s="1152"/>
      <c r="Q67" s="1152"/>
      <c r="R67" s="1107"/>
      <c r="S67" s="1107"/>
      <c r="T67" s="1644" t="s">
        <v>7</v>
      </c>
      <c r="U67" s="1659" t="s">
        <v>316</v>
      </c>
      <c r="V67" s="1655" t="s">
        <v>317</v>
      </c>
      <c r="W67" s="1656"/>
      <c r="X67" s="1656"/>
      <c r="Y67" s="1656"/>
      <c r="Z67" s="1656"/>
      <c r="AA67" s="1656"/>
      <c r="AB67" s="1657" t="s">
        <v>318</v>
      </c>
      <c r="AC67" s="1658"/>
      <c r="AD67" s="1659"/>
      <c r="AE67" s="1663" t="s">
        <v>319</v>
      </c>
      <c r="AF67" s="1665" t="s">
        <v>320</v>
      </c>
      <c r="AG67" s="1666"/>
      <c r="AH67" s="1667"/>
      <c r="AI67" s="1665" t="s">
        <v>19</v>
      </c>
      <c r="AJ67" s="1111"/>
      <c r="AK67" s="1107"/>
      <c r="AL67" s="1152"/>
      <c r="AM67" s="1153"/>
      <c r="AN67" s="1152"/>
      <c r="AO67" s="1152"/>
      <c r="AP67" s="1152"/>
      <c r="AQ67" s="1152"/>
      <c r="AR67" s="1152"/>
      <c r="AS67" s="1152"/>
      <c r="AT67" s="1153"/>
      <c r="AU67" s="1153"/>
      <c r="AV67" s="1153"/>
      <c r="AW67" s="1154"/>
      <c r="AX67" s="1152"/>
      <c r="AY67" s="1152"/>
      <c r="AZ67" s="1152"/>
      <c r="BA67" s="1152"/>
    </row>
    <row r="68" spans="2:55" ht="20.25" customHeight="1" thickBot="1">
      <c r="B68" s="1152"/>
      <c r="C68" s="1153"/>
      <c r="D68" s="1107"/>
      <c r="E68" s="1107"/>
      <c r="F68" s="1107"/>
      <c r="G68" s="1107"/>
      <c r="H68" s="1155"/>
      <c r="I68" s="1107"/>
      <c r="J68" s="1153"/>
      <c r="K68" s="1153"/>
      <c r="L68" s="1153"/>
      <c r="M68" s="1154"/>
      <c r="N68" s="1152"/>
      <c r="O68" s="1152"/>
      <c r="P68" s="1152"/>
      <c r="Q68" s="1152"/>
      <c r="R68" s="1107"/>
      <c r="S68" s="1107"/>
      <c r="T68" s="1645"/>
      <c r="U68" s="1662"/>
      <c r="V68" s="1075" t="s">
        <v>26</v>
      </c>
      <c r="W68" s="1075" t="s">
        <v>321</v>
      </c>
      <c r="X68" s="519" t="s">
        <v>322</v>
      </c>
      <c r="Y68" s="519" t="s">
        <v>323</v>
      </c>
      <c r="Z68" s="520" t="s">
        <v>24</v>
      </c>
      <c r="AA68" s="521"/>
      <c r="AB68" s="1660"/>
      <c r="AC68" s="1661"/>
      <c r="AD68" s="1662"/>
      <c r="AE68" s="1664"/>
      <c r="AF68" s="1668"/>
      <c r="AG68" s="1669"/>
      <c r="AH68" s="1670"/>
      <c r="AI68" s="1668"/>
      <c r="AJ68" s="1111"/>
      <c r="AK68" s="1107"/>
      <c r="AL68" s="1152"/>
      <c r="AM68" s="1153"/>
      <c r="AN68" s="1107"/>
      <c r="AO68" s="1107"/>
      <c r="AP68" s="1107"/>
      <c r="AQ68" s="1107"/>
      <c r="AR68" s="1155"/>
      <c r="AS68" s="1107"/>
      <c r="AT68" s="1153"/>
      <c r="AU68" s="1153"/>
      <c r="AV68" s="1153"/>
      <c r="AW68" s="1154"/>
      <c r="AX68" s="1152"/>
      <c r="AY68" s="1152"/>
      <c r="AZ68" s="1152"/>
      <c r="BA68" s="1152"/>
    </row>
    <row r="69" spans="2:55" s="1098" customFormat="1" ht="98.25" customHeight="1" thickBot="1">
      <c r="B69" s="1143"/>
      <c r="C69" s="1143"/>
      <c r="D69" s="1143"/>
      <c r="E69" s="1143"/>
      <c r="F69" s="1143"/>
      <c r="G69" s="1144"/>
      <c r="H69" s="1156"/>
      <c r="I69" s="1156"/>
      <c r="J69" s="1156"/>
      <c r="K69" s="1157"/>
      <c r="L69" s="1157"/>
      <c r="M69" s="1145"/>
      <c r="N69" s="1158"/>
      <c r="O69" s="1159"/>
      <c r="P69" s="1159"/>
      <c r="Q69" s="1146"/>
      <c r="R69" s="1109"/>
      <c r="S69" s="1109"/>
      <c r="T69" s="1126">
        <f>LOOKUP(AI69,'ETAT-PAY-PERM'!$AH$15:$AH$93,'ETAT-PAY-PERM'!$N$15:$N$93)</f>
        <v>56195.5</v>
      </c>
      <c r="U69" s="1126">
        <f>LOOKUP(AI69,'ETAT-PAY-PERM'!$AH$15:$AH$93,'ETAT-PAY-PERM'!$G$15:$G$93)</f>
        <v>5000</v>
      </c>
      <c r="V69" s="1127">
        <f>LOOKUP(AI69,'ETAT-PAY-PERM'!$AH$15:$AH$93,'ETAT-PAY-PERM'!$J$15:$J$93)</f>
        <v>0</v>
      </c>
      <c r="W69" s="1127">
        <f>LOOKUP(AI69,'ETAT-PAY-PERM'!$AH$15:$AH$93,'ETAT-PAY-PERM'!$I$15:$I$93)</f>
        <v>3931.39</v>
      </c>
      <c r="X69" s="1128">
        <f>LOOKUP(AI69,'ETAT-PAY-PERM'!$AH$15:$AH$93,'ETAT-PAY-PERM'!$L$15:$L$93)</f>
        <v>0</v>
      </c>
      <c r="Y69" s="1129">
        <f>LOOKUP(AI69,'ETAT-PAY-PERM'!$AH$15:$AH$93,'ETAT-PAY-PERM'!$M$15:$M$93)</f>
        <v>824.6</v>
      </c>
      <c r="Z69" s="1646">
        <f>LOOKUP(AI69,'ETAT-PAY-PERM'!$AH$15:$AH$93,'ETAT-PAY-PERM'!$H$15:$H$93)</f>
        <v>4947.57</v>
      </c>
      <c r="AA69" s="1647"/>
      <c r="AB69" s="1646">
        <f>LOOKUP(AI69,'ETAT-PAY-PERM'!$AH$15:$AH$93,'ETAT-PAY-PERM'!$F$15:$F$93)</f>
        <v>41491.94</v>
      </c>
      <c r="AC69" s="1648"/>
      <c r="AD69" s="1649"/>
      <c r="AE69" s="1130">
        <f>LOOKUP(AI69,'ETAT-PAY-PERM'!$AH$15:$AH$93,'ETAT-PAY-PERM'!$E$15:$E$93)</f>
        <v>11111111111</v>
      </c>
      <c r="AF69" s="1650" t="str">
        <f>LOOKUP(AI69,'ETAT-PAY-PERM'!$AH$15:$AH$93,'ETAT-PAY-PERM'!$C$15:$C$93)</f>
        <v>ررءرءؤرؤءرلللللللللللللل</v>
      </c>
      <c r="AG69" s="1651"/>
      <c r="AH69" s="1652"/>
      <c r="AI69" s="1118">
        <f>AI59+1</f>
        <v>7</v>
      </c>
      <c r="AJ69" s="1109"/>
      <c r="AK69" s="1109"/>
      <c r="AL69" s="1143"/>
      <c r="AM69" s="1143"/>
      <c r="AN69" s="1143"/>
      <c r="AO69" s="1143"/>
      <c r="AP69" s="1143"/>
      <c r="AQ69" s="1144"/>
      <c r="AR69" s="1156"/>
      <c r="AS69" s="1156"/>
      <c r="AT69" s="1156"/>
      <c r="AU69" s="1157"/>
      <c r="AV69" s="1157"/>
      <c r="AW69" s="1145"/>
      <c r="AX69" s="1158"/>
      <c r="AY69" s="1159"/>
      <c r="AZ69" s="1159"/>
      <c r="BA69" s="1146"/>
    </row>
    <row r="70" spans="2:55" s="1103" customFormat="1" ht="21.75" customHeight="1">
      <c r="B70" s="1099"/>
      <c r="C70" s="1100"/>
      <c r="D70" s="1099"/>
      <c r="E70" s="1099"/>
      <c r="F70" s="1099"/>
      <c r="G70" s="1101"/>
      <c r="H70" s="1099"/>
      <c r="I70" s="1099"/>
      <c r="J70" s="1099"/>
      <c r="K70" s="1102"/>
      <c r="L70" s="1102"/>
      <c r="M70" s="558"/>
      <c r="N70" s="559"/>
      <c r="O70" s="559"/>
      <c r="P70" s="559"/>
      <c r="Q70" s="1104"/>
      <c r="R70" s="1104"/>
      <c r="S70" s="1104"/>
      <c r="T70" s="1099"/>
      <c r="U70" s="1100"/>
      <c r="V70" s="1099"/>
      <c r="W70" s="1099"/>
      <c r="X70" s="1099"/>
      <c r="Y70" s="1101"/>
      <c r="Z70" s="1099"/>
      <c r="AA70" s="1099"/>
      <c r="AB70" s="1099"/>
      <c r="AC70" s="1102"/>
      <c r="AD70" s="1102"/>
      <c r="AE70" s="558"/>
      <c r="AF70" s="559"/>
      <c r="AG70" s="559"/>
      <c r="AH70" s="559"/>
      <c r="AI70" s="560"/>
      <c r="AJ70" s="1104"/>
      <c r="AK70" s="1104"/>
      <c r="AL70" s="1099"/>
      <c r="AM70" s="1100"/>
      <c r="AN70" s="1099"/>
      <c r="AO70" s="1099"/>
      <c r="AP70" s="1099"/>
      <c r="AQ70" s="1101"/>
      <c r="AR70" s="1099"/>
      <c r="AS70" s="1099"/>
      <c r="AT70" s="1099"/>
      <c r="AU70" s="1102"/>
      <c r="AV70" s="1102"/>
      <c r="AW70" s="558"/>
      <c r="AX70" s="559"/>
      <c r="AY70" s="559"/>
      <c r="AZ70" s="559"/>
      <c r="BA70" s="1104"/>
    </row>
    <row r="71" spans="2:55" ht="42.75" customHeight="1">
      <c r="B71" s="1149"/>
      <c r="C71" s="1149"/>
      <c r="D71" s="1149"/>
      <c r="E71" s="1149"/>
      <c r="F71" s="1149"/>
      <c r="G71" s="1149"/>
      <c r="H71" s="1149"/>
      <c r="I71" s="1149"/>
      <c r="J71" s="1149"/>
      <c r="K71" s="1149"/>
      <c r="L71" s="1149"/>
      <c r="M71" s="1149"/>
      <c r="N71" s="1149"/>
      <c r="O71" s="1149"/>
      <c r="P71" s="1149"/>
      <c r="Q71" s="1149"/>
      <c r="R71" s="1076"/>
      <c r="S71" s="1076"/>
      <c r="T71" s="1671" t="s">
        <v>306</v>
      </c>
      <c r="U71" s="1672"/>
      <c r="V71" s="1671"/>
      <c r="W71" s="1671"/>
      <c r="X71" s="1671"/>
      <c r="Y71" s="1671"/>
      <c r="Z71" s="1671"/>
      <c r="AA71" s="1671"/>
      <c r="AB71" s="1671"/>
      <c r="AC71" s="1671"/>
      <c r="AD71" s="1671"/>
      <c r="AE71" s="1671"/>
      <c r="AF71" s="1671"/>
      <c r="AG71" s="1671"/>
      <c r="AH71" s="1671"/>
      <c r="AI71" s="1671"/>
      <c r="AJ71" s="1076"/>
      <c r="AK71" s="1076"/>
      <c r="AL71" s="1149"/>
      <c r="AM71" s="1149"/>
      <c r="AN71" s="1149"/>
      <c r="AO71" s="1149"/>
      <c r="AP71" s="1149"/>
      <c r="AQ71" s="1149"/>
      <c r="AR71" s="1149"/>
      <c r="AS71" s="1149"/>
      <c r="AT71" s="1149"/>
      <c r="AU71" s="1149"/>
      <c r="AV71" s="1149"/>
      <c r="AW71" s="1149"/>
      <c r="AX71" s="1149"/>
      <c r="AY71" s="1149"/>
      <c r="AZ71" s="1149"/>
      <c r="BA71" s="1149"/>
      <c r="BB71" s="3"/>
      <c r="BC71" s="3"/>
    </row>
    <row r="72" spans="2:55" ht="30" customHeight="1" thickBot="1">
      <c r="B72" s="1131"/>
      <c r="C72" s="1105"/>
      <c r="D72" s="1132"/>
      <c r="E72" s="1133"/>
      <c r="F72" s="1133"/>
      <c r="G72" s="1134"/>
      <c r="H72" s="1105"/>
      <c r="I72" s="1135"/>
      <c r="J72" s="1132"/>
      <c r="K72" s="1136"/>
      <c r="L72" s="1132"/>
      <c r="M72" s="1132"/>
      <c r="N72" s="1105"/>
      <c r="O72" s="3"/>
      <c r="P72" s="3"/>
      <c r="Q72" s="1108"/>
      <c r="R72" s="504"/>
      <c r="S72" s="1108"/>
      <c r="T72" s="505" t="s">
        <v>307</v>
      </c>
      <c r="U72" s="506"/>
      <c r="V72" s="507"/>
      <c r="W72" s="508"/>
      <c r="X72" s="508"/>
      <c r="Y72" s="509" t="s">
        <v>308</v>
      </c>
      <c r="Z72" s="506"/>
      <c r="AA72" s="510"/>
      <c r="AB72" s="507"/>
      <c r="AC72" s="564"/>
      <c r="AD72" s="565"/>
      <c r="AE72" s="507"/>
      <c r="AF72" s="511"/>
      <c r="AI72" s="504"/>
      <c r="AJ72" s="1108"/>
      <c r="AK72" s="1108"/>
      <c r="AL72" s="1131"/>
      <c r="AM72" s="1105"/>
      <c r="AN72" s="1132"/>
      <c r="AO72" s="1133"/>
      <c r="AP72" s="1133"/>
      <c r="AQ72" s="1134"/>
      <c r="AR72" s="1105"/>
      <c r="AS72" s="1135"/>
      <c r="AT72" s="1132"/>
      <c r="AU72" s="1136"/>
      <c r="AV72" s="1132"/>
      <c r="AW72" s="1132"/>
      <c r="AX72" s="1105"/>
      <c r="AY72" s="3"/>
      <c r="AZ72" s="3"/>
      <c r="BA72" s="1108"/>
      <c r="BB72" s="3"/>
      <c r="BC72" s="3"/>
    </row>
    <row r="73" spans="2:55" ht="29.25" customHeight="1" thickBot="1">
      <c r="B73" s="1131"/>
      <c r="C73" s="1105"/>
      <c r="D73" s="1132"/>
      <c r="E73" s="1133"/>
      <c r="F73" s="1133"/>
      <c r="G73" s="1105"/>
      <c r="H73" s="1105"/>
      <c r="I73" s="1135"/>
      <c r="J73" s="1132"/>
      <c r="K73" s="3"/>
      <c r="L73" s="1150"/>
      <c r="M73" s="1132"/>
      <c r="N73" s="1132"/>
      <c r="O73" s="3"/>
      <c r="P73" s="3"/>
      <c r="Q73" s="1108"/>
      <c r="R73" s="504"/>
      <c r="S73" s="1108"/>
      <c r="T73" s="505" t="s">
        <v>885</v>
      </c>
      <c r="U73" s="511"/>
      <c r="V73" s="507"/>
      <c r="W73" s="508"/>
      <c r="X73" s="508"/>
      <c r="Y73" s="511" t="s">
        <v>309</v>
      </c>
      <c r="Z73" s="511"/>
      <c r="AA73" s="510"/>
      <c r="AB73" s="566"/>
      <c r="AD73" s="561" t="s">
        <v>310</v>
      </c>
      <c r="AE73" s="563"/>
      <c r="AF73" s="570"/>
      <c r="AI73" s="504"/>
      <c r="AJ73" s="1108"/>
      <c r="AK73" s="1108"/>
      <c r="AL73" s="1131"/>
      <c r="AM73" s="1105"/>
      <c r="AN73" s="1132"/>
      <c r="AO73" s="1133"/>
      <c r="AP73" s="1133"/>
      <c r="AQ73" s="1105"/>
      <c r="AR73" s="1105"/>
      <c r="AS73" s="1135"/>
      <c r="AT73" s="1132"/>
      <c r="AU73" s="3"/>
      <c r="AV73" s="1150"/>
      <c r="AW73" s="1132"/>
      <c r="AX73" s="1132"/>
      <c r="AY73" s="3"/>
      <c r="AZ73" s="3"/>
      <c r="BA73" s="1108"/>
      <c r="BB73" s="3"/>
      <c r="BC73" s="3"/>
    </row>
    <row r="74" spans="2:55" ht="32.25" customHeight="1" thickBot="1">
      <c r="B74" s="1132"/>
      <c r="C74" s="1132"/>
      <c r="D74" s="1132"/>
      <c r="E74" s="3"/>
      <c r="F74" s="1105"/>
      <c r="G74" s="1105"/>
      <c r="H74" s="1132"/>
      <c r="I74" s="1105"/>
      <c r="J74" s="1132"/>
      <c r="K74" s="3"/>
      <c r="L74" s="1150"/>
      <c r="M74" s="3"/>
      <c r="N74" s="1137"/>
      <c r="O74" s="1137"/>
      <c r="P74" s="1137"/>
      <c r="Q74" s="1137"/>
      <c r="R74" s="1105"/>
      <c r="S74" s="1105"/>
      <c r="T74" s="507"/>
      <c r="U74" s="507"/>
      <c r="V74" s="507"/>
      <c r="X74" s="512" t="s">
        <v>311</v>
      </c>
      <c r="Y74" s="513" t="s">
        <v>247</v>
      </c>
      <c r="Z74" s="507"/>
      <c r="AA74" s="514" t="s">
        <v>312</v>
      </c>
      <c r="AB74" s="507"/>
      <c r="AD74" s="561" t="s">
        <v>313</v>
      </c>
      <c r="AF74" s="1679" t="s">
        <v>314</v>
      </c>
      <c r="AG74" s="1680"/>
      <c r="AH74" s="1680"/>
      <c r="AI74" s="1680"/>
      <c r="AJ74" s="1113"/>
      <c r="AK74" s="1105"/>
      <c r="AL74" s="1132"/>
      <c r="AM74" s="1132"/>
      <c r="AN74" s="1132"/>
      <c r="AO74" s="3"/>
      <c r="AP74" s="1105"/>
      <c r="AQ74" s="1105"/>
      <c r="AR74" s="1132"/>
      <c r="AS74" s="1105"/>
      <c r="AT74" s="1132"/>
      <c r="AU74" s="3"/>
      <c r="AV74" s="1150"/>
      <c r="AW74" s="3"/>
      <c r="AX74" s="1137"/>
      <c r="AY74" s="1137"/>
      <c r="AZ74" s="1137"/>
      <c r="BA74" s="1137"/>
      <c r="BB74" s="3"/>
      <c r="BC74" s="3"/>
    </row>
    <row r="75" spans="2:55" ht="30" customHeight="1" thickBot="1">
      <c r="B75" s="1137"/>
      <c r="C75" s="1137"/>
      <c r="D75" s="1137"/>
      <c r="E75" s="1132"/>
      <c r="F75" s="1132"/>
      <c r="G75" s="1138"/>
      <c r="H75" s="1132"/>
      <c r="I75" s="1134"/>
      <c r="J75" s="1132"/>
      <c r="K75" s="3"/>
      <c r="L75" s="1150"/>
      <c r="M75" s="3"/>
      <c r="N75" s="1151"/>
      <c r="O75" s="1151"/>
      <c r="P75" s="1151"/>
      <c r="Q75" s="1151"/>
      <c r="R75" s="1106"/>
      <c r="S75" s="1110"/>
      <c r="T75" s="557" t="str">
        <f ca="1">T65</f>
        <v>أجـــرة شهـــر جوان 2019</v>
      </c>
      <c r="U75" s="557"/>
      <c r="V75" s="557"/>
      <c r="W75" s="515"/>
      <c r="X75" s="515"/>
      <c r="Y75" s="516">
        <f>Y65</f>
        <v>72</v>
      </c>
      <c r="Z75" s="507"/>
      <c r="AA75" s="517" t="s">
        <v>107</v>
      </c>
      <c r="AB75" s="562"/>
      <c r="AD75" s="568" t="s">
        <v>315</v>
      </c>
      <c r="AF75" s="1676" t="s">
        <v>648</v>
      </c>
      <c r="AG75" s="1677"/>
      <c r="AH75" s="1677"/>
      <c r="AI75" s="1678"/>
      <c r="AJ75" s="1112"/>
      <c r="AK75" s="1106"/>
      <c r="AL75" s="1137"/>
      <c r="AM75" s="1137"/>
      <c r="AN75" s="1137"/>
      <c r="AO75" s="1132"/>
      <c r="AP75" s="1132"/>
      <c r="AQ75" s="1138"/>
      <c r="AR75" s="1132"/>
      <c r="AS75" s="1134"/>
      <c r="AT75" s="1132"/>
      <c r="AU75" s="3"/>
      <c r="AV75" s="1150"/>
      <c r="AW75" s="3"/>
      <c r="AX75" s="1151"/>
      <c r="AY75" s="1151"/>
      <c r="AZ75" s="1151"/>
      <c r="BA75" s="1151"/>
      <c r="BB75" s="3"/>
      <c r="BC75" s="3"/>
    </row>
    <row r="76" spans="2:55" ht="10.5" customHeight="1" thickBot="1">
      <c r="B76" s="1139"/>
      <c r="C76" s="1140"/>
      <c r="D76" s="1139"/>
      <c r="E76" s="1139"/>
      <c r="F76" s="1139"/>
      <c r="G76" s="1139"/>
      <c r="H76" s="1139"/>
      <c r="I76" s="1139"/>
      <c r="J76" s="1139"/>
      <c r="K76" s="1141"/>
      <c r="L76" s="1139"/>
      <c r="M76" s="1142"/>
      <c r="N76" s="1139"/>
      <c r="O76" s="1139"/>
      <c r="P76" s="1139"/>
      <c r="Q76" s="1108"/>
      <c r="R76" s="504"/>
      <c r="S76" s="1108"/>
      <c r="T76" s="503"/>
      <c r="U76" s="518"/>
      <c r="V76" s="503"/>
      <c r="W76" s="503"/>
      <c r="X76" s="503"/>
      <c r="Y76" s="503"/>
      <c r="Z76" s="503"/>
      <c r="AA76" s="503"/>
      <c r="AB76" s="503"/>
      <c r="AC76" s="567"/>
      <c r="AD76" s="503"/>
      <c r="AE76" s="569"/>
      <c r="AF76" s="503"/>
      <c r="AG76" s="503"/>
      <c r="AH76" s="503"/>
      <c r="AI76" s="504"/>
      <c r="AJ76" s="1108"/>
      <c r="AK76" s="1108"/>
      <c r="AL76" s="1139"/>
      <c r="AM76" s="1140"/>
      <c r="AN76" s="1139"/>
      <c r="AO76" s="1139"/>
      <c r="AP76" s="1139"/>
      <c r="AQ76" s="1139"/>
      <c r="AR76" s="1139"/>
      <c r="AS76" s="1139"/>
      <c r="AT76" s="1139"/>
      <c r="AU76" s="1141"/>
      <c r="AV76" s="1139"/>
      <c r="AW76" s="1142"/>
      <c r="AX76" s="1139"/>
      <c r="AY76" s="1139"/>
      <c r="AZ76" s="1139"/>
      <c r="BA76" s="1108"/>
      <c r="BB76" s="3"/>
      <c r="BC76" s="3"/>
    </row>
    <row r="77" spans="2:55" ht="20.25" customHeight="1" thickBot="1">
      <c r="B77" s="1152"/>
      <c r="C77" s="1153"/>
      <c r="D77" s="1152"/>
      <c r="E77" s="1152"/>
      <c r="F77" s="1152"/>
      <c r="G77" s="1152"/>
      <c r="H77" s="1152"/>
      <c r="I77" s="1152"/>
      <c r="J77" s="1153"/>
      <c r="K77" s="1153"/>
      <c r="L77" s="1153"/>
      <c r="M77" s="1154"/>
      <c r="N77" s="1152"/>
      <c r="O77" s="1152"/>
      <c r="P77" s="1152"/>
      <c r="Q77" s="1152"/>
      <c r="R77" s="1107"/>
      <c r="S77" s="1107"/>
      <c r="T77" s="1644" t="s">
        <v>7</v>
      </c>
      <c r="U77" s="1653" t="s">
        <v>316</v>
      </c>
      <c r="V77" s="1655" t="s">
        <v>317</v>
      </c>
      <c r="W77" s="1656"/>
      <c r="X77" s="1656"/>
      <c r="Y77" s="1656"/>
      <c r="Z77" s="1656"/>
      <c r="AA77" s="1656"/>
      <c r="AB77" s="1657" t="s">
        <v>318</v>
      </c>
      <c r="AC77" s="1658"/>
      <c r="AD77" s="1659"/>
      <c r="AE77" s="1663" t="s">
        <v>319</v>
      </c>
      <c r="AF77" s="1665" t="s">
        <v>320</v>
      </c>
      <c r="AG77" s="1666"/>
      <c r="AH77" s="1667"/>
      <c r="AI77" s="1665" t="s">
        <v>19</v>
      </c>
      <c r="AJ77" s="1111"/>
      <c r="AK77" s="1107"/>
      <c r="AL77" s="1152"/>
      <c r="AM77" s="1153"/>
      <c r="AN77" s="1152"/>
      <c r="AO77" s="1152"/>
      <c r="AP77" s="1152"/>
      <c r="AQ77" s="1152"/>
      <c r="AR77" s="1152"/>
      <c r="AS77" s="1152"/>
      <c r="AT77" s="1153"/>
      <c r="AU77" s="1153"/>
      <c r="AV77" s="1153"/>
      <c r="AW77" s="1154"/>
      <c r="AX77" s="1152"/>
      <c r="AY77" s="1152"/>
      <c r="AZ77" s="1152"/>
      <c r="BA77" s="1152"/>
      <c r="BB77" s="3"/>
      <c r="BC77" s="3"/>
    </row>
    <row r="78" spans="2:55" ht="20.25" customHeight="1" thickBot="1">
      <c r="B78" s="1152"/>
      <c r="C78" s="1153"/>
      <c r="D78" s="1107"/>
      <c r="E78" s="1107"/>
      <c r="F78" s="1107"/>
      <c r="G78" s="1107"/>
      <c r="H78" s="1155"/>
      <c r="I78" s="1107"/>
      <c r="J78" s="1153"/>
      <c r="K78" s="1153"/>
      <c r="L78" s="1153"/>
      <c r="M78" s="1154"/>
      <c r="N78" s="1152"/>
      <c r="O78" s="1152"/>
      <c r="P78" s="1152"/>
      <c r="Q78" s="1152"/>
      <c r="R78" s="1107"/>
      <c r="S78" s="1107"/>
      <c r="T78" s="1645"/>
      <c r="U78" s="1654"/>
      <c r="V78" s="1075" t="s">
        <v>26</v>
      </c>
      <c r="W78" s="1075" t="s">
        <v>321</v>
      </c>
      <c r="X78" s="519" t="s">
        <v>322</v>
      </c>
      <c r="Y78" s="519" t="s">
        <v>323</v>
      </c>
      <c r="Z78" s="520" t="s">
        <v>24</v>
      </c>
      <c r="AA78" s="521"/>
      <c r="AB78" s="1660"/>
      <c r="AC78" s="1661"/>
      <c r="AD78" s="1662"/>
      <c r="AE78" s="1664"/>
      <c r="AF78" s="1668"/>
      <c r="AG78" s="1669"/>
      <c r="AH78" s="1670"/>
      <c r="AI78" s="1668"/>
      <c r="AJ78" s="1111"/>
      <c r="AK78" s="1107"/>
      <c r="AL78" s="1152"/>
      <c r="AM78" s="1153"/>
      <c r="AN78" s="1107"/>
      <c r="AO78" s="1107"/>
      <c r="AP78" s="1107"/>
      <c r="AQ78" s="1107"/>
      <c r="AR78" s="1155"/>
      <c r="AS78" s="1107"/>
      <c r="AT78" s="1153"/>
      <c r="AU78" s="1153"/>
      <c r="AV78" s="1153"/>
      <c r="AW78" s="1154"/>
      <c r="AX78" s="1152"/>
      <c r="AY78" s="1152"/>
      <c r="AZ78" s="1152"/>
      <c r="BA78" s="1152"/>
      <c r="BB78" s="3"/>
      <c r="BC78" s="3"/>
    </row>
    <row r="79" spans="2:55" s="1098" customFormat="1" ht="98.25" customHeight="1" thickBot="1">
      <c r="B79" s="1143"/>
      <c r="C79" s="1143"/>
      <c r="D79" s="1143"/>
      <c r="E79" s="1143"/>
      <c r="F79" s="1143"/>
      <c r="G79" s="1144"/>
      <c r="H79" s="1156"/>
      <c r="I79" s="1156"/>
      <c r="J79" s="1156"/>
      <c r="K79" s="1157"/>
      <c r="L79" s="1157"/>
      <c r="M79" s="1145"/>
      <c r="N79" s="1158"/>
      <c r="O79" s="1159"/>
      <c r="P79" s="1159"/>
      <c r="Q79" s="1146"/>
      <c r="R79" s="1109"/>
      <c r="S79" s="1109"/>
      <c r="T79" s="1126">
        <f>LOOKUP(AI79,'ETAT-PAY-PERM'!$AH$15:$AH$93,'ETAT-PAY-PERM'!$N$15:$N$93)</f>
        <v>56195.5</v>
      </c>
      <c r="U79" s="1126">
        <f>LOOKUP(AI79,'ETAT-PAY-PERM'!$AH$15:$AH$93,'ETAT-PAY-PERM'!$G$15:$G$93)</f>
        <v>5000</v>
      </c>
      <c r="V79" s="1127">
        <f>LOOKUP(AI79,'ETAT-PAY-PERM'!$AH$15:$AH$93,'ETAT-PAY-PERM'!$J$15:$J$93)</f>
        <v>0</v>
      </c>
      <c r="W79" s="1127">
        <f>LOOKUP(AI79,'ETAT-PAY-PERM'!$AH$15:$AH$93,'ETAT-PAY-PERM'!$I$15:$I$93)</f>
        <v>3931.39</v>
      </c>
      <c r="X79" s="1128">
        <f>LOOKUP(AI79,'ETAT-PAY-PERM'!$AH$15:$AH$93,'ETAT-PAY-PERM'!$L$15:$L$93)</f>
        <v>0</v>
      </c>
      <c r="Y79" s="1129">
        <f>LOOKUP(AI79,'ETAT-PAY-PERM'!$AH$15:$AH$93,'ETAT-PAY-PERM'!$M$15:$M$93)</f>
        <v>824.6</v>
      </c>
      <c r="Z79" s="1646">
        <f>LOOKUP(AI79,'ETAT-PAY-PERM'!$AH$15:$AH$93,'ETAT-PAY-PERM'!$H$15:$H$93)</f>
        <v>4947.57</v>
      </c>
      <c r="AA79" s="1647"/>
      <c r="AB79" s="1646">
        <f>LOOKUP(AI79,'ETAT-PAY-PERM'!$AH$15:$AH$93,'ETAT-PAY-PERM'!$F$15:$F$93)</f>
        <v>41491.94</v>
      </c>
      <c r="AC79" s="1648"/>
      <c r="AD79" s="1649"/>
      <c r="AE79" s="1130">
        <f>LOOKUP(AI79,'ETAT-PAY-PERM'!$AH$15:$AH$93,'ETAT-PAY-PERM'!$E$15:$E$93)</f>
        <v>11111111111</v>
      </c>
      <c r="AF79" s="1650" t="str">
        <f>LOOKUP(AI79,'ETAT-PAY-PERM'!$AH$15:$AH$93,'ETAT-PAY-PERM'!$C$15:$C$93)</f>
        <v>ررءرءؤرؤءرلللللللللللللل</v>
      </c>
      <c r="AG79" s="1651"/>
      <c r="AH79" s="1652"/>
      <c r="AI79" s="1118">
        <f>AI69+1</f>
        <v>8</v>
      </c>
      <c r="AJ79" s="1109"/>
      <c r="AK79" s="1109"/>
      <c r="AL79" s="1143"/>
      <c r="AM79" s="1143"/>
      <c r="AN79" s="1143"/>
      <c r="AO79" s="1143"/>
      <c r="AP79" s="1143"/>
      <c r="AQ79" s="1144"/>
      <c r="AR79" s="1156"/>
      <c r="AS79" s="1156"/>
      <c r="AT79" s="1156"/>
      <c r="AU79" s="1157"/>
      <c r="AV79" s="1157"/>
      <c r="AW79" s="1145"/>
      <c r="AX79" s="1158"/>
      <c r="AY79" s="1159"/>
      <c r="AZ79" s="1159"/>
      <c r="BA79" s="1146"/>
      <c r="BB79" s="1147"/>
      <c r="BC79" s="1147"/>
    </row>
    <row r="80" spans="2:55" s="1103" customFormat="1" ht="13.5" customHeight="1">
      <c r="B80" s="1099"/>
      <c r="C80" s="1099"/>
      <c r="D80" s="1099"/>
      <c r="E80" s="1099"/>
      <c r="F80" s="1099"/>
      <c r="G80" s="1101"/>
      <c r="H80" s="1099"/>
      <c r="I80" s="1099"/>
      <c r="J80" s="1099"/>
      <c r="K80" s="1102"/>
      <c r="L80" s="1102"/>
      <c r="M80" s="558"/>
      <c r="N80" s="559"/>
      <c r="O80" s="559"/>
      <c r="P80" s="559"/>
      <c r="Q80" s="1104"/>
      <c r="R80" s="1104"/>
      <c r="S80" s="1104"/>
      <c r="T80" s="1099"/>
      <c r="U80" s="1099"/>
      <c r="V80" s="1099"/>
      <c r="W80" s="1099"/>
      <c r="X80" s="1099"/>
      <c r="Y80" s="1101"/>
      <c r="Z80" s="1099"/>
      <c r="AA80" s="1099"/>
      <c r="AB80" s="1099"/>
      <c r="AC80" s="1102"/>
      <c r="AD80" s="1102"/>
      <c r="AE80" s="558"/>
      <c r="AF80" s="559"/>
      <c r="AG80" s="559"/>
      <c r="AH80" s="559"/>
      <c r="AI80" s="560"/>
      <c r="AJ80" s="1104"/>
      <c r="AK80" s="1104"/>
      <c r="AL80" s="1099"/>
      <c r="AM80" s="1099"/>
      <c r="AN80" s="1099"/>
      <c r="AO80" s="1099"/>
      <c r="AP80" s="1099"/>
      <c r="AQ80" s="1101"/>
      <c r="AR80" s="1099"/>
      <c r="AS80" s="1099"/>
      <c r="AT80" s="1099"/>
      <c r="AU80" s="1102"/>
      <c r="AV80" s="1102"/>
      <c r="AW80" s="558"/>
      <c r="AX80" s="559"/>
      <c r="AY80" s="559"/>
      <c r="AZ80" s="559"/>
      <c r="BA80" s="1104"/>
      <c r="BB80" s="1148"/>
      <c r="BC80" s="1148"/>
    </row>
    <row r="81" spans="2:55" ht="42.75" customHeight="1">
      <c r="B81" s="1184"/>
      <c r="C81" s="1184"/>
      <c r="D81" s="1184"/>
      <c r="E81" s="1184"/>
      <c r="F81" s="1184"/>
      <c r="G81" s="1184"/>
      <c r="H81" s="1184"/>
      <c r="I81" s="1184"/>
      <c r="J81" s="1184"/>
      <c r="K81" s="1184"/>
      <c r="L81" s="1184"/>
      <c r="M81" s="1184"/>
      <c r="N81" s="1184"/>
      <c r="O81" s="1184"/>
      <c r="P81" s="1184"/>
      <c r="Q81" s="1184"/>
      <c r="R81" s="1160"/>
      <c r="S81" s="1076"/>
      <c r="T81" s="1671" t="s">
        <v>306</v>
      </c>
      <c r="U81" s="1672"/>
      <c r="V81" s="1671"/>
      <c r="W81" s="1671"/>
      <c r="X81" s="1671"/>
      <c r="Y81" s="1671"/>
      <c r="Z81" s="1671"/>
      <c r="AA81" s="1671"/>
      <c r="AB81" s="1671"/>
      <c r="AC81" s="1671"/>
      <c r="AD81" s="1671"/>
      <c r="AE81" s="1671"/>
      <c r="AF81" s="1671"/>
      <c r="AG81" s="1671"/>
      <c r="AH81" s="1671"/>
      <c r="AI81" s="1671"/>
      <c r="AJ81" s="1076"/>
      <c r="AK81" s="1076"/>
      <c r="AL81" s="1149"/>
      <c r="AM81" s="1149"/>
      <c r="AN81" s="1149"/>
      <c r="AO81" s="1149"/>
      <c r="AP81" s="1149"/>
      <c r="AQ81" s="1149"/>
      <c r="AR81" s="1149"/>
      <c r="AS81" s="1149"/>
      <c r="AT81" s="1149"/>
      <c r="AU81" s="1149"/>
      <c r="AV81" s="1149"/>
      <c r="AW81" s="1149"/>
      <c r="AX81" s="1149"/>
      <c r="AY81" s="1149"/>
      <c r="AZ81" s="1149"/>
      <c r="BA81" s="1149"/>
      <c r="BB81" s="3"/>
      <c r="BC81" s="3"/>
    </row>
    <row r="82" spans="2:55" ht="30" customHeight="1" thickBot="1">
      <c r="B82" s="1166"/>
      <c r="C82" s="1162"/>
      <c r="D82" s="1167"/>
      <c r="E82" s="1168"/>
      <c r="F82" s="1168"/>
      <c r="G82" s="1169"/>
      <c r="H82" s="1162"/>
      <c r="I82" s="1170"/>
      <c r="J82" s="1167"/>
      <c r="K82" s="1171"/>
      <c r="L82" s="1167"/>
      <c r="M82" s="1167"/>
      <c r="N82" s="1162"/>
      <c r="O82" s="1172"/>
      <c r="P82" s="1172"/>
      <c r="Q82" s="1173"/>
      <c r="R82" s="1161"/>
      <c r="S82" s="1108"/>
      <c r="T82" s="505" t="s">
        <v>307</v>
      </c>
      <c r="U82" s="506"/>
      <c r="V82" s="507"/>
      <c r="W82" s="508"/>
      <c r="X82" s="508"/>
      <c r="Y82" s="509" t="s">
        <v>308</v>
      </c>
      <c r="Z82" s="506"/>
      <c r="AA82" s="510"/>
      <c r="AB82" s="507"/>
      <c r="AC82" s="564"/>
      <c r="AD82" s="565"/>
      <c r="AE82" s="507"/>
      <c r="AF82" s="511"/>
      <c r="AI82" s="504"/>
      <c r="AJ82" s="1108"/>
      <c r="AK82" s="1108"/>
      <c r="AL82" s="1131"/>
      <c r="AM82" s="1105"/>
      <c r="AN82" s="1132"/>
      <c r="AO82" s="1133"/>
      <c r="AP82" s="1133"/>
      <c r="AQ82" s="1134"/>
      <c r="AR82" s="1105"/>
      <c r="AS82" s="1135"/>
      <c r="AT82" s="1132"/>
      <c r="AU82" s="1136"/>
      <c r="AV82" s="1132"/>
      <c r="AW82" s="1132"/>
      <c r="AX82" s="1105"/>
      <c r="AY82" s="3"/>
      <c r="AZ82" s="3"/>
      <c r="BA82" s="1108"/>
      <c r="BB82" s="3"/>
      <c r="BC82" s="3"/>
    </row>
    <row r="83" spans="2:55" ht="29.25" customHeight="1" thickBot="1">
      <c r="B83" s="1166"/>
      <c r="C83" s="1162"/>
      <c r="D83" s="1167"/>
      <c r="E83" s="1168"/>
      <c r="F83" s="1168"/>
      <c r="G83" s="1162"/>
      <c r="H83" s="1162"/>
      <c r="I83" s="1170"/>
      <c r="J83" s="1167"/>
      <c r="K83" s="1172"/>
      <c r="L83" s="1185"/>
      <c r="M83" s="1167"/>
      <c r="N83" s="1167"/>
      <c r="O83" s="1172"/>
      <c r="P83" s="1172"/>
      <c r="Q83" s="1173"/>
      <c r="R83" s="1161"/>
      <c r="S83" s="1108"/>
      <c r="T83" s="505" t="s">
        <v>885</v>
      </c>
      <c r="U83" s="511"/>
      <c r="V83" s="507"/>
      <c r="W83" s="508"/>
      <c r="X83" s="508"/>
      <c r="Y83" s="511" t="s">
        <v>309</v>
      </c>
      <c r="Z83" s="511"/>
      <c r="AA83" s="510"/>
      <c r="AB83" s="566"/>
      <c r="AD83" s="561" t="s">
        <v>310</v>
      </c>
      <c r="AE83" s="563"/>
      <c r="AF83" s="570"/>
      <c r="AI83" s="504"/>
      <c r="AJ83" s="1108"/>
      <c r="AK83" s="1108"/>
      <c r="AL83" s="1131"/>
      <c r="AM83" s="1105"/>
      <c r="AN83" s="1132"/>
      <c r="AO83" s="1133"/>
      <c r="AP83" s="1133"/>
      <c r="AQ83" s="1105"/>
      <c r="AR83" s="1105"/>
      <c r="AS83" s="1135"/>
      <c r="AT83" s="1132"/>
      <c r="AU83" s="3"/>
      <c r="AV83" s="1150"/>
      <c r="AW83" s="1132"/>
      <c r="AX83" s="1132"/>
      <c r="AY83" s="3"/>
      <c r="AZ83" s="3"/>
      <c r="BA83" s="1108"/>
      <c r="BB83" s="3"/>
      <c r="BC83" s="3"/>
    </row>
    <row r="84" spans="2:55" ht="32.25" customHeight="1" thickBot="1">
      <c r="B84" s="1167"/>
      <c r="C84" s="1167"/>
      <c r="D84" s="1167"/>
      <c r="E84" s="1172"/>
      <c r="F84" s="1162"/>
      <c r="G84" s="1162"/>
      <c r="H84" s="1167"/>
      <c r="I84" s="1162"/>
      <c r="J84" s="1167"/>
      <c r="K84" s="1172"/>
      <c r="L84" s="1185"/>
      <c r="M84" s="1172"/>
      <c r="N84" s="1174"/>
      <c r="O84" s="1174"/>
      <c r="P84" s="1174"/>
      <c r="Q84" s="1174"/>
      <c r="R84" s="1162"/>
      <c r="S84" s="1105"/>
      <c r="T84" s="507"/>
      <c r="U84" s="507"/>
      <c r="V84" s="507"/>
      <c r="X84" s="512" t="s">
        <v>311</v>
      </c>
      <c r="Y84" s="513" t="s">
        <v>247</v>
      </c>
      <c r="Z84" s="507"/>
      <c r="AA84" s="514" t="s">
        <v>312</v>
      </c>
      <c r="AB84" s="507"/>
      <c r="AD84" s="561" t="s">
        <v>313</v>
      </c>
      <c r="AF84" s="1673" t="s">
        <v>314</v>
      </c>
      <c r="AG84" s="1674"/>
      <c r="AH84" s="1674"/>
      <c r="AI84" s="1675"/>
      <c r="AJ84" s="1105"/>
      <c r="AK84" s="1105"/>
      <c r="AL84" s="1132"/>
      <c r="AM84" s="1132"/>
      <c r="AN84" s="1132"/>
      <c r="AO84" s="3"/>
      <c r="AP84" s="1105"/>
      <c r="AQ84" s="1105"/>
      <c r="AR84" s="1132"/>
      <c r="AS84" s="1105"/>
      <c r="AT84" s="1132"/>
      <c r="AU84" s="3"/>
      <c r="AV84" s="1150"/>
      <c r="AW84" s="3"/>
      <c r="AX84" s="1137"/>
      <c r="AY84" s="1137"/>
      <c r="AZ84" s="1137"/>
      <c r="BA84" s="1137"/>
      <c r="BB84" s="3"/>
      <c r="BC84" s="3"/>
    </row>
    <row r="85" spans="2:55" ht="30" customHeight="1" thickBot="1">
      <c r="B85" s="1174"/>
      <c r="C85" s="1174"/>
      <c r="D85" s="1174"/>
      <c r="E85" s="1167"/>
      <c r="F85" s="1167"/>
      <c r="G85" s="1175"/>
      <c r="H85" s="1167"/>
      <c r="I85" s="1169"/>
      <c r="J85" s="1167"/>
      <c r="K85" s="1172"/>
      <c r="L85" s="1185"/>
      <c r="M85" s="1172"/>
      <c r="N85" s="1186"/>
      <c r="O85" s="1186"/>
      <c r="P85" s="1186"/>
      <c r="Q85" s="1186"/>
      <c r="R85" s="1163"/>
      <c r="S85" s="1106"/>
      <c r="T85" s="556" t="str">
        <f ca="1">T75</f>
        <v>أجـــرة شهـــر جوان 2019</v>
      </c>
      <c r="U85" s="557"/>
      <c r="V85" s="557"/>
      <c r="W85" s="515"/>
      <c r="X85" s="515"/>
      <c r="Y85" s="516">
        <f>Y75</f>
        <v>72</v>
      </c>
      <c r="Z85" s="507"/>
      <c r="AA85" s="517" t="s">
        <v>107</v>
      </c>
      <c r="AB85" s="562"/>
      <c r="AD85" s="568" t="s">
        <v>315</v>
      </c>
      <c r="AF85" s="1676" t="s">
        <v>648</v>
      </c>
      <c r="AG85" s="1677"/>
      <c r="AH85" s="1677"/>
      <c r="AI85" s="1678"/>
      <c r="AJ85" s="1106"/>
      <c r="AK85" s="1106"/>
      <c r="AL85" s="1137"/>
      <c r="AM85" s="1137"/>
      <c r="AN85" s="1137"/>
      <c r="AO85" s="1132"/>
      <c r="AP85" s="1132"/>
      <c r="AQ85" s="1138"/>
      <c r="AR85" s="1132"/>
      <c r="AS85" s="1134"/>
      <c r="AT85" s="1132"/>
      <c r="AU85" s="3"/>
      <c r="AV85" s="1150"/>
      <c r="AW85" s="3"/>
      <c r="AX85" s="1151"/>
      <c r="AY85" s="1151"/>
      <c r="AZ85" s="1151"/>
      <c r="BA85" s="1151"/>
      <c r="BB85" s="3"/>
      <c r="BC85" s="3"/>
    </row>
    <row r="86" spans="2:55" ht="10.5" customHeight="1" thickBot="1">
      <c r="B86" s="1176"/>
      <c r="C86" s="1177"/>
      <c r="D86" s="1176"/>
      <c r="E86" s="1176"/>
      <c r="F86" s="1176"/>
      <c r="G86" s="1176"/>
      <c r="H86" s="1176"/>
      <c r="I86" s="1176"/>
      <c r="J86" s="1176"/>
      <c r="K86" s="1178"/>
      <c r="L86" s="1176"/>
      <c r="M86" s="1179"/>
      <c r="N86" s="1176"/>
      <c r="O86" s="1176"/>
      <c r="P86" s="1176"/>
      <c r="Q86" s="1173"/>
      <c r="R86" s="1161"/>
      <c r="S86" s="1108"/>
      <c r="T86" s="503"/>
      <c r="U86" s="518"/>
      <c r="V86" s="503"/>
      <c r="W86" s="503"/>
      <c r="X86" s="503"/>
      <c r="Y86" s="503"/>
      <c r="Z86" s="503"/>
      <c r="AA86" s="503"/>
      <c r="AB86" s="503"/>
      <c r="AC86" s="567"/>
      <c r="AD86" s="503"/>
      <c r="AE86" s="569"/>
      <c r="AF86" s="503"/>
      <c r="AG86" s="503"/>
      <c r="AH86" s="503"/>
      <c r="AI86" s="504"/>
      <c r="AJ86" s="1108"/>
      <c r="AK86" s="1108"/>
      <c r="AL86" s="1139"/>
      <c r="AM86" s="1140"/>
      <c r="AN86" s="1139"/>
      <c r="AO86" s="1139"/>
      <c r="AP86" s="1139"/>
      <c r="AQ86" s="1139"/>
      <c r="AR86" s="1139"/>
      <c r="AS86" s="1139"/>
      <c r="AT86" s="1139"/>
      <c r="AU86" s="1141"/>
      <c r="AV86" s="1139"/>
      <c r="AW86" s="1142"/>
      <c r="AX86" s="1139"/>
      <c r="AY86" s="1139"/>
      <c r="AZ86" s="1139"/>
      <c r="BA86" s="1108"/>
      <c r="BB86" s="3"/>
      <c r="BC86" s="3"/>
    </row>
    <row r="87" spans="2:55" ht="20.25" customHeight="1" thickBot="1">
      <c r="B87" s="1187"/>
      <c r="C87" s="1188"/>
      <c r="D87" s="1187"/>
      <c r="E87" s="1187"/>
      <c r="F87" s="1187"/>
      <c r="G87" s="1187"/>
      <c r="H87" s="1187"/>
      <c r="I87" s="1187"/>
      <c r="J87" s="1188"/>
      <c r="K87" s="1188"/>
      <c r="L87" s="1188"/>
      <c r="M87" s="1189"/>
      <c r="N87" s="1187"/>
      <c r="O87" s="1187"/>
      <c r="P87" s="1187"/>
      <c r="Q87" s="1187"/>
      <c r="R87" s="1164"/>
      <c r="S87" s="1107"/>
      <c r="T87" s="1644" t="s">
        <v>7</v>
      </c>
      <c r="U87" s="1653" t="s">
        <v>316</v>
      </c>
      <c r="V87" s="1655" t="s">
        <v>317</v>
      </c>
      <c r="W87" s="1656"/>
      <c r="X87" s="1656"/>
      <c r="Y87" s="1656"/>
      <c r="Z87" s="1656"/>
      <c r="AA87" s="1656"/>
      <c r="AB87" s="1657" t="s">
        <v>318</v>
      </c>
      <c r="AC87" s="1658"/>
      <c r="AD87" s="1659"/>
      <c r="AE87" s="1663" t="s">
        <v>319</v>
      </c>
      <c r="AF87" s="1665" t="s">
        <v>320</v>
      </c>
      <c r="AG87" s="1666"/>
      <c r="AH87" s="1667"/>
      <c r="AI87" s="1644" t="s">
        <v>19</v>
      </c>
      <c r="AJ87" s="1107"/>
      <c r="AK87" s="1107"/>
      <c r="AL87" s="1152"/>
      <c r="AM87" s="1153"/>
      <c r="AN87" s="1152"/>
      <c r="AO87" s="1152"/>
      <c r="AP87" s="1152"/>
      <c r="AQ87" s="1152"/>
      <c r="AR87" s="1152"/>
      <c r="AS87" s="1152"/>
      <c r="AT87" s="1153"/>
      <c r="AU87" s="1153"/>
      <c r="AV87" s="1153"/>
      <c r="AW87" s="1154"/>
      <c r="AX87" s="1152"/>
      <c r="AY87" s="1152"/>
      <c r="AZ87" s="1152"/>
      <c r="BA87" s="1152"/>
      <c r="BB87" s="3"/>
      <c r="BC87" s="3"/>
    </row>
    <row r="88" spans="2:55" ht="20.25" customHeight="1" thickBot="1">
      <c r="B88" s="1187"/>
      <c r="C88" s="1188"/>
      <c r="D88" s="1164"/>
      <c r="E88" s="1164"/>
      <c r="F88" s="1164"/>
      <c r="G88" s="1164"/>
      <c r="H88" s="1190"/>
      <c r="I88" s="1164"/>
      <c r="J88" s="1188"/>
      <c r="K88" s="1188"/>
      <c r="L88" s="1188"/>
      <c r="M88" s="1189"/>
      <c r="N88" s="1187"/>
      <c r="O88" s="1187"/>
      <c r="P88" s="1187"/>
      <c r="Q88" s="1187"/>
      <c r="R88" s="1164"/>
      <c r="S88" s="1107"/>
      <c r="T88" s="1645"/>
      <c r="U88" s="1654"/>
      <c r="V88" s="1075" t="s">
        <v>26</v>
      </c>
      <c r="W88" s="1075" t="s">
        <v>321</v>
      </c>
      <c r="X88" s="519" t="s">
        <v>322</v>
      </c>
      <c r="Y88" s="519" t="s">
        <v>323</v>
      </c>
      <c r="Z88" s="520" t="s">
        <v>24</v>
      </c>
      <c r="AA88" s="521"/>
      <c r="AB88" s="1660"/>
      <c r="AC88" s="1661"/>
      <c r="AD88" s="1662"/>
      <c r="AE88" s="1664"/>
      <c r="AF88" s="1668"/>
      <c r="AG88" s="1669"/>
      <c r="AH88" s="1670"/>
      <c r="AI88" s="1645"/>
      <c r="AJ88" s="1107"/>
      <c r="AK88" s="1107"/>
      <c r="AL88" s="1152"/>
      <c r="AM88" s="1153"/>
      <c r="AN88" s="1107"/>
      <c r="AO88" s="1107"/>
      <c r="AP88" s="1107"/>
      <c r="AQ88" s="1107"/>
      <c r="AR88" s="1155"/>
      <c r="AS88" s="1107"/>
      <c r="AT88" s="1153"/>
      <c r="AU88" s="1153"/>
      <c r="AV88" s="1153"/>
      <c r="AW88" s="1154"/>
      <c r="AX88" s="1152"/>
      <c r="AY88" s="1152"/>
      <c r="AZ88" s="1152"/>
      <c r="BA88" s="1152"/>
      <c r="BB88" s="3"/>
      <c r="BC88" s="3"/>
    </row>
    <row r="89" spans="2:55" s="1098" customFormat="1" ht="98.25" customHeight="1" thickBot="1">
      <c r="B89" s="1180"/>
      <c r="C89" s="1180"/>
      <c r="D89" s="1180"/>
      <c r="E89" s="1180"/>
      <c r="F89" s="1180"/>
      <c r="G89" s="1181"/>
      <c r="H89" s="1191"/>
      <c r="I89" s="1191"/>
      <c r="J89" s="1191"/>
      <c r="K89" s="1192"/>
      <c r="L89" s="1192"/>
      <c r="M89" s="1182"/>
      <c r="N89" s="1193"/>
      <c r="O89" s="1194"/>
      <c r="P89" s="1194"/>
      <c r="Q89" s="1183"/>
      <c r="R89" s="1165"/>
      <c r="S89" s="1109"/>
      <c r="T89" s="1126">
        <f>LOOKUP(AI89,'ETAT-PAY-PERM'!$AH$15:$AH$93,'ETAT-PAY-PERM'!$N$15:$N$93)</f>
        <v>56195.5</v>
      </c>
      <c r="U89" s="1126">
        <f>LOOKUP(AI89,'ETAT-PAY-PERM'!$AH$15:$AH$93,'ETAT-PAY-PERM'!$G$15:$G$93)</f>
        <v>5000</v>
      </c>
      <c r="V89" s="1127">
        <f>LOOKUP(AI89,'ETAT-PAY-PERM'!$AH$15:$AH$93,'ETAT-PAY-PERM'!$J$15:$J$93)</f>
        <v>0</v>
      </c>
      <c r="W89" s="1127">
        <f>LOOKUP(AI89,'ETAT-PAY-PERM'!$AH$15:$AH$93,'ETAT-PAY-PERM'!$I$15:$I$93)</f>
        <v>3931.39</v>
      </c>
      <c r="X89" s="1128">
        <f>LOOKUP(AI89,'ETAT-PAY-PERM'!$AH$15:$AH$93,'ETAT-PAY-PERM'!$L$15:$L$93)</f>
        <v>0</v>
      </c>
      <c r="Y89" s="1129">
        <f>LOOKUP(AI89,'ETAT-PAY-PERM'!$AH$15:$AH$93,'ETAT-PAY-PERM'!$M$15:$M$93)</f>
        <v>824.6</v>
      </c>
      <c r="Z89" s="1646">
        <f>LOOKUP(AI89,'ETAT-PAY-PERM'!$AH$15:$AH$93,'ETAT-PAY-PERM'!$H$15:$H$93)</f>
        <v>4947.57</v>
      </c>
      <c r="AA89" s="1647"/>
      <c r="AB89" s="1646">
        <f>LOOKUP(AI89,'ETAT-PAY-PERM'!$AH$15:$AH$93,'ETAT-PAY-PERM'!$F$15:$F$93)</f>
        <v>41491.94</v>
      </c>
      <c r="AC89" s="1648"/>
      <c r="AD89" s="1649"/>
      <c r="AE89" s="1130">
        <f>LOOKUP(AI89,'ETAT-PAY-PERM'!$AH$15:$AH$93,'ETAT-PAY-PERM'!$E$15:$E$93)</f>
        <v>11111111111</v>
      </c>
      <c r="AF89" s="1650" t="str">
        <f>LOOKUP(AI89,'ETAT-PAY-PERM'!$AH$15:$AH$93,'ETAT-PAY-PERM'!$C$15:$C$93)</f>
        <v>ررءرءؤرؤءرلللللللللللللل</v>
      </c>
      <c r="AG89" s="1651"/>
      <c r="AH89" s="1652"/>
      <c r="AI89" s="1118">
        <f>AI79+1</f>
        <v>9</v>
      </c>
      <c r="AJ89" s="1109"/>
      <c r="AK89" s="1109"/>
      <c r="AL89" s="1143"/>
      <c r="AM89" s="1143"/>
      <c r="AN89" s="1143"/>
      <c r="AO89" s="1143"/>
      <c r="AP89" s="1143"/>
      <c r="AQ89" s="1144"/>
      <c r="AR89" s="1156"/>
      <c r="AS89" s="1156"/>
      <c r="AT89" s="1156"/>
      <c r="AU89" s="1157"/>
      <c r="AV89" s="1157"/>
      <c r="AW89" s="1145"/>
      <c r="AX89" s="1158"/>
      <c r="AY89" s="1159"/>
      <c r="AZ89" s="1159"/>
      <c r="BA89" s="1146"/>
      <c r="BB89" s="1147"/>
      <c r="BC89" s="1147"/>
    </row>
    <row r="90" spans="2:55">
      <c r="B90" s="1120"/>
      <c r="C90" s="1120"/>
      <c r="D90" s="1120"/>
      <c r="E90" s="1120"/>
      <c r="F90" s="1120"/>
      <c r="G90" s="1120"/>
      <c r="H90" s="1120"/>
      <c r="I90" s="1120"/>
      <c r="J90" s="1120"/>
      <c r="K90" s="1120"/>
      <c r="L90" s="1120"/>
      <c r="M90" s="1120"/>
      <c r="N90" s="1120"/>
      <c r="O90" s="1120"/>
      <c r="P90" s="1120"/>
      <c r="Q90" s="1120"/>
      <c r="R90" s="1120"/>
      <c r="AL90" s="3"/>
      <c r="AM90" s="3"/>
      <c r="AN90" s="3"/>
      <c r="AO90" s="3"/>
      <c r="AP90" s="3"/>
      <c r="AQ90" s="3"/>
      <c r="AR90" s="3"/>
      <c r="AS90" s="3"/>
      <c r="AT90" s="3"/>
      <c r="AU90" s="3"/>
      <c r="AV90" s="3"/>
      <c r="AW90" s="3"/>
      <c r="AX90" s="3"/>
      <c r="AY90" s="3"/>
      <c r="AZ90" s="3"/>
      <c r="BA90" s="3"/>
      <c r="BB90" s="3"/>
      <c r="BC90" s="3"/>
    </row>
    <row r="91" spans="2:55" ht="42.75" customHeight="1">
      <c r="B91" s="1149"/>
      <c r="C91" s="1149"/>
      <c r="D91" s="1149"/>
      <c r="E91" s="1149"/>
      <c r="F91" s="1149"/>
      <c r="G91" s="1149"/>
      <c r="H91" s="1149"/>
      <c r="I91" s="1149"/>
      <c r="J91" s="1149"/>
      <c r="K91" s="1149"/>
      <c r="L91" s="1149"/>
      <c r="M91" s="1149"/>
      <c r="N91" s="1149"/>
      <c r="O91" s="1149"/>
      <c r="P91" s="1149"/>
      <c r="Q91" s="1149"/>
      <c r="R91" s="1076"/>
      <c r="S91" s="1076"/>
      <c r="T91" s="1672" t="s">
        <v>306</v>
      </c>
      <c r="U91" s="1672"/>
      <c r="V91" s="1672"/>
      <c r="W91" s="1672"/>
      <c r="X91" s="1672"/>
      <c r="Y91" s="1672"/>
      <c r="Z91" s="1672"/>
      <c r="AA91" s="1672"/>
      <c r="AB91" s="1672"/>
      <c r="AC91" s="1672"/>
      <c r="AD91" s="1672"/>
      <c r="AE91" s="1672"/>
      <c r="AF91" s="1672"/>
      <c r="AG91" s="1672"/>
      <c r="AH91" s="1672"/>
      <c r="AI91" s="1672"/>
      <c r="AJ91" s="1076"/>
      <c r="AK91" s="1076"/>
      <c r="AL91" s="1149"/>
      <c r="AM91" s="1149"/>
      <c r="AN91" s="1149"/>
      <c r="AO91" s="1149"/>
      <c r="AP91" s="1149"/>
      <c r="AQ91" s="1149"/>
      <c r="AR91" s="1149"/>
      <c r="AS91" s="1149"/>
      <c r="AT91" s="1149"/>
      <c r="AU91" s="1149"/>
      <c r="AV91" s="1149"/>
      <c r="AW91" s="1149"/>
      <c r="AX91" s="1149"/>
      <c r="AY91" s="1149"/>
      <c r="AZ91" s="1149"/>
      <c r="BA91" s="1149"/>
    </row>
    <row r="92" spans="2:55" ht="30" customHeight="1" thickBot="1">
      <c r="B92" s="1131"/>
      <c r="C92" s="1105"/>
      <c r="D92" s="1132"/>
      <c r="E92" s="1133"/>
      <c r="F92" s="1133"/>
      <c r="G92" s="1134"/>
      <c r="H92" s="1105"/>
      <c r="I92" s="1135"/>
      <c r="J92" s="1132"/>
      <c r="K92" s="1136"/>
      <c r="L92" s="1132"/>
      <c r="M92" s="1132"/>
      <c r="N92" s="1105"/>
      <c r="O92" s="3"/>
      <c r="P92" s="3"/>
      <c r="Q92" s="1108"/>
      <c r="R92" s="504"/>
      <c r="S92" s="1108"/>
      <c r="T92" s="505" t="s">
        <v>307</v>
      </c>
      <c r="U92" s="506"/>
      <c r="V92" s="507"/>
      <c r="W92" s="508"/>
      <c r="X92" s="508"/>
      <c r="Y92" s="509" t="s">
        <v>308</v>
      </c>
      <c r="Z92" s="506"/>
      <c r="AA92" s="510"/>
      <c r="AB92" s="507"/>
      <c r="AC92" s="564"/>
      <c r="AD92" s="565"/>
      <c r="AE92" s="507"/>
      <c r="AF92" s="511"/>
      <c r="AI92" s="504"/>
      <c r="AJ92" s="1108"/>
      <c r="AK92" s="1108"/>
      <c r="AL92" s="1131"/>
      <c r="AM92" s="1105"/>
      <c r="AN92" s="1132"/>
      <c r="AO92" s="1133"/>
      <c r="AP92" s="1133"/>
      <c r="AQ92" s="1134"/>
      <c r="AR92" s="1105"/>
      <c r="AS92" s="1135"/>
      <c r="AT92" s="1132"/>
      <c r="AU92" s="1136"/>
      <c r="AV92" s="1132"/>
      <c r="AW92" s="1132"/>
      <c r="AX92" s="1105"/>
      <c r="AY92" s="3"/>
      <c r="AZ92" s="3"/>
      <c r="BA92" s="1108"/>
    </row>
    <row r="93" spans="2:55" ht="29.25" customHeight="1" thickBot="1">
      <c r="B93" s="1131"/>
      <c r="C93" s="1105"/>
      <c r="D93" s="1132"/>
      <c r="E93" s="1133"/>
      <c r="F93" s="1133"/>
      <c r="G93" s="1105"/>
      <c r="H93" s="1105"/>
      <c r="I93" s="1135"/>
      <c r="J93" s="1132"/>
      <c r="K93" s="3"/>
      <c r="L93" s="1150"/>
      <c r="M93" s="1132"/>
      <c r="N93" s="1132"/>
      <c r="O93" s="3"/>
      <c r="P93" s="3"/>
      <c r="Q93" s="1108"/>
      <c r="R93" s="504"/>
      <c r="S93" s="1108"/>
      <c r="T93" s="505" t="s">
        <v>885</v>
      </c>
      <c r="U93" s="511"/>
      <c r="V93" s="507"/>
      <c r="W93" s="508"/>
      <c r="X93" s="508"/>
      <c r="Y93" s="511" t="s">
        <v>309</v>
      </c>
      <c r="Z93" s="511"/>
      <c r="AA93" s="510"/>
      <c r="AB93" s="566"/>
      <c r="AD93" s="561" t="s">
        <v>310</v>
      </c>
      <c r="AE93" s="563"/>
      <c r="AF93" s="570"/>
      <c r="AI93" s="504"/>
      <c r="AJ93" s="1108"/>
      <c r="AK93" s="1108"/>
      <c r="AL93" s="1131"/>
      <c r="AM93" s="1105"/>
      <c r="AN93" s="1132"/>
      <c r="AO93" s="1133"/>
      <c r="AP93" s="1133"/>
      <c r="AQ93" s="1105"/>
      <c r="AR93" s="1105"/>
      <c r="AS93" s="1135"/>
      <c r="AT93" s="1132"/>
      <c r="AU93" s="3"/>
      <c r="AV93" s="1150"/>
      <c r="AW93" s="1132"/>
      <c r="AX93" s="1132"/>
      <c r="AY93" s="3"/>
      <c r="AZ93" s="3"/>
      <c r="BA93" s="1108"/>
    </row>
    <row r="94" spans="2:55" ht="32.25" customHeight="1" thickBot="1">
      <c r="B94" s="1132"/>
      <c r="C94" s="1132"/>
      <c r="D94" s="1132"/>
      <c r="E94" s="3"/>
      <c r="F94" s="1105"/>
      <c r="G94" s="1105"/>
      <c r="H94" s="1132"/>
      <c r="I94" s="1105"/>
      <c r="J94" s="1132"/>
      <c r="K94" s="3"/>
      <c r="L94" s="1150"/>
      <c r="M94" s="3"/>
      <c r="N94" s="1137"/>
      <c r="O94" s="1137"/>
      <c r="P94" s="1137"/>
      <c r="Q94" s="1137"/>
      <c r="R94" s="1105"/>
      <c r="S94" s="1105"/>
      <c r="T94" s="507"/>
      <c r="U94" s="507"/>
      <c r="V94" s="507"/>
      <c r="X94" s="512" t="s">
        <v>311</v>
      </c>
      <c r="Y94" s="513" t="s">
        <v>247</v>
      </c>
      <c r="Z94" s="507"/>
      <c r="AA94" s="514" t="s">
        <v>312</v>
      </c>
      <c r="AB94" s="507"/>
      <c r="AD94" s="561" t="s">
        <v>313</v>
      </c>
      <c r="AF94" s="1673" t="s">
        <v>314</v>
      </c>
      <c r="AG94" s="1674"/>
      <c r="AH94" s="1674"/>
      <c r="AI94" s="1675"/>
      <c r="AJ94" s="1105"/>
      <c r="AK94" s="1105"/>
      <c r="AL94" s="1132"/>
      <c r="AM94" s="1132"/>
      <c r="AN94" s="1132"/>
      <c r="AO94" s="3"/>
      <c r="AP94" s="1105"/>
      <c r="AQ94" s="1105"/>
      <c r="AR94" s="1132"/>
      <c r="AS94" s="1105"/>
      <c r="AT94" s="1132"/>
      <c r="AU94" s="3"/>
      <c r="AV94" s="1150"/>
      <c r="AW94" s="3"/>
      <c r="AX94" s="1137"/>
      <c r="AY94" s="1137"/>
      <c r="AZ94" s="1137"/>
      <c r="BA94" s="1137"/>
      <c r="BB94" s="3"/>
    </row>
    <row r="95" spans="2:55" ht="30" customHeight="1" thickBot="1">
      <c r="B95" s="1137"/>
      <c r="C95" s="1137"/>
      <c r="D95" s="1137"/>
      <c r="E95" s="1132"/>
      <c r="F95" s="1132"/>
      <c r="G95" s="1138"/>
      <c r="H95" s="1132"/>
      <c r="I95" s="1134"/>
      <c r="J95" s="1132"/>
      <c r="K95" s="3"/>
      <c r="L95" s="1150"/>
      <c r="M95" s="3"/>
      <c r="N95" s="1151"/>
      <c r="O95" s="1151"/>
      <c r="P95" s="1151"/>
      <c r="Q95" s="1151"/>
      <c r="R95" s="1106"/>
      <c r="S95" s="1106"/>
      <c r="T95" s="556" t="str">
        <f ca="1">T85</f>
        <v>أجـــرة شهـــر جوان 2019</v>
      </c>
      <c r="U95" s="557"/>
      <c r="V95" s="557"/>
      <c r="W95" s="515"/>
      <c r="X95" s="515"/>
      <c r="Y95" s="516">
        <f>Y85</f>
        <v>72</v>
      </c>
      <c r="Z95" s="507"/>
      <c r="AA95" s="517" t="s">
        <v>107</v>
      </c>
      <c r="AB95" s="562"/>
      <c r="AD95" s="568" t="s">
        <v>315</v>
      </c>
      <c r="AF95" s="1676" t="s">
        <v>648</v>
      </c>
      <c r="AG95" s="1677"/>
      <c r="AH95" s="1677"/>
      <c r="AI95" s="1678"/>
      <c r="AJ95" s="1106"/>
      <c r="AK95" s="1106"/>
      <c r="AL95" s="1137"/>
      <c r="AM95" s="1137"/>
      <c r="AN95" s="1137"/>
      <c r="AO95" s="1132"/>
      <c r="AP95" s="1132"/>
      <c r="AQ95" s="1138"/>
      <c r="AR95" s="1132"/>
      <c r="AS95" s="1134"/>
      <c r="AT95" s="1132"/>
      <c r="AU95" s="3"/>
      <c r="AV95" s="1150"/>
      <c r="AW95" s="3"/>
      <c r="AX95" s="1151"/>
      <c r="AY95" s="1151"/>
      <c r="AZ95" s="1151"/>
      <c r="BA95" s="1151"/>
      <c r="BB95" s="3"/>
    </row>
    <row r="96" spans="2:55" ht="10.5" customHeight="1" thickBot="1">
      <c r="B96" s="1139"/>
      <c r="C96" s="1140"/>
      <c r="D96" s="1139"/>
      <c r="E96" s="1139"/>
      <c r="F96" s="1139"/>
      <c r="G96" s="1139"/>
      <c r="H96" s="1139"/>
      <c r="I96" s="1139"/>
      <c r="J96" s="1139"/>
      <c r="K96" s="1141"/>
      <c r="L96" s="1139"/>
      <c r="M96" s="1142"/>
      <c r="N96" s="1139"/>
      <c r="O96" s="1139"/>
      <c r="P96" s="1139"/>
      <c r="Q96" s="1108"/>
      <c r="R96" s="504"/>
      <c r="S96" s="1108"/>
      <c r="T96" s="1115"/>
      <c r="U96" s="1114"/>
      <c r="V96" s="503"/>
      <c r="W96" s="503"/>
      <c r="X96" s="503"/>
      <c r="Y96" s="503"/>
      <c r="Z96" s="503"/>
      <c r="AA96" s="503"/>
      <c r="AB96" s="503"/>
      <c r="AC96" s="567"/>
      <c r="AD96" s="503"/>
      <c r="AE96" s="569"/>
      <c r="AF96" s="503"/>
      <c r="AG96" s="503"/>
      <c r="AH96" s="503"/>
      <c r="AI96" s="504"/>
      <c r="AJ96" s="1108"/>
      <c r="AK96" s="1108"/>
      <c r="AL96" s="1139"/>
      <c r="AM96" s="1140"/>
      <c r="AN96" s="1139"/>
      <c r="AO96" s="1139"/>
      <c r="AP96" s="1139"/>
      <c r="AQ96" s="1139"/>
      <c r="AR96" s="1139"/>
      <c r="AS96" s="1139"/>
      <c r="AT96" s="1139"/>
      <c r="AU96" s="1141"/>
      <c r="AV96" s="1139"/>
      <c r="AW96" s="1142"/>
      <c r="AX96" s="1139"/>
      <c r="AY96" s="1139"/>
      <c r="AZ96" s="1139"/>
      <c r="BA96" s="1108"/>
    </row>
    <row r="97" spans="2:55" ht="20.25" customHeight="1" thickBot="1">
      <c r="B97" s="1152"/>
      <c r="C97" s="1153"/>
      <c r="D97" s="1152"/>
      <c r="E97" s="1152"/>
      <c r="F97" s="1152"/>
      <c r="G97" s="1152"/>
      <c r="H97" s="1152"/>
      <c r="I97" s="1152"/>
      <c r="J97" s="1153"/>
      <c r="K97" s="1153"/>
      <c r="L97" s="1153"/>
      <c r="M97" s="1154"/>
      <c r="N97" s="1152"/>
      <c r="O97" s="1152"/>
      <c r="P97" s="1152"/>
      <c r="Q97" s="1152"/>
      <c r="R97" s="1107"/>
      <c r="S97" s="1107"/>
      <c r="T97" s="1644" t="s">
        <v>7</v>
      </c>
      <c r="U97" s="1659" t="s">
        <v>316</v>
      </c>
      <c r="V97" s="1655" t="s">
        <v>317</v>
      </c>
      <c r="W97" s="1656"/>
      <c r="X97" s="1656"/>
      <c r="Y97" s="1656"/>
      <c r="Z97" s="1656"/>
      <c r="AA97" s="1656"/>
      <c r="AB97" s="1657" t="s">
        <v>318</v>
      </c>
      <c r="AC97" s="1658"/>
      <c r="AD97" s="1659"/>
      <c r="AE97" s="1663" t="s">
        <v>319</v>
      </c>
      <c r="AF97" s="1665" t="s">
        <v>320</v>
      </c>
      <c r="AG97" s="1666"/>
      <c r="AH97" s="1667"/>
      <c r="AI97" s="1665" t="s">
        <v>19</v>
      </c>
      <c r="AJ97" s="1111"/>
      <c r="AK97" s="1107"/>
      <c r="AL97" s="1152"/>
      <c r="AM97" s="1153"/>
      <c r="AN97" s="1152"/>
      <c r="AO97" s="1152"/>
      <c r="AP97" s="1152"/>
      <c r="AQ97" s="1152"/>
      <c r="AR97" s="1152"/>
      <c r="AS97" s="1152"/>
      <c r="AT97" s="1153"/>
      <c r="AU97" s="1153"/>
      <c r="AV97" s="1153"/>
      <c r="AW97" s="1154"/>
      <c r="AX97" s="1152"/>
      <c r="AY97" s="1152"/>
      <c r="AZ97" s="1152"/>
      <c r="BA97" s="1152"/>
    </row>
    <row r="98" spans="2:55" ht="20.25" customHeight="1" thickBot="1">
      <c r="B98" s="1152"/>
      <c r="C98" s="1153"/>
      <c r="D98" s="1107"/>
      <c r="E98" s="1107"/>
      <c r="F98" s="1107"/>
      <c r="G98" s="1107"/>
      <c r="H98" s="1155"/>
      <c r="I98" s="1107"/>
      <c r="J98" s="1153"/>
      <c r="K98" s="1153"/>
      <c r="L98" s="1153"/>
      <c r="M98" s="1154"/>
      <c r="N98" s="1152"/>
      <c r="O98" s="1152"/>
      <c r="P98" s="1152"/>
      <c r="Q98" s="1152"/>
      <c r="R98" s="1107"/>
      <c r="S98" s="1107"/>
      <c r="T98" s="1645"/>
      <c r="U98" s="1662"/>
      <c r="V98" s="1075" t="s">
        <v>26</v>
      </c>
      <c r="W98" s="1075" t="s">
        <v>321</v>
      </c>
      <c r="X98" s="519" t="s">
        <v>322</v>
      </c>
      <c r="Y98" s="519" t="s">
        <v>323</v>
      </c>
      <c r="Z98" s="520" t="s">
        <v>24</v>
      </c>
      <c r="AA98" s="521"/>
      <c r="AB98" s="1660"/>
      <c r="AC98" s="1661"/>
      <c r="AD98" s="1662"/>
      <c r="AE98" s="1664"/>
      <c r="AF98" s="1668"/>
      <c r="AG98" s="1669"/>
      <c r="AH98" s="1670"/>
      <c r="AI98" s="1668"/>
      <c r="AJ98" s="1111"/>
      <c r="AK98" s="1107"/>
      <c r="AL98" s="1152"/>
      <c r="AM98" s="1153"/>
      <c r="AN98" s="1107"/>
      <c r="AO98" s="1107"/>
      <c r="AP98" s="1107"/>
      <c r="AQ98" s="1107"/>
      <c r="AR98" s="1155"/>
      <c r="AS98" s="1107"/>
      <c r="AT98" s="1153"/>
      <c r="AU98" s="1153"/>
      <c r="AV98" s="1153"/>
      <c r="AW98" s="1154"/>
      <c r="AX98" s="1152"/>
      <c r="AY98" s="1152"/>
      <c r="AZ98" s="1152"/>
      <c r="BA98" s="1152"/>
    </row>
    <row r="99" spans="2:55" s="1098" customFormat="1" ht="98.25" customHeight="1" thickBot="1">
      <c r="B99" s="1143"/>
      <c r="C99" s="1143"/>
      <c r="D99" s="1143"/>
      <c r="E99" s="1143"/>
      <c r="F99" s="1143"/>
      <c r="G99" s="1144"/>
      <c r="H99" s="1156"/>
      <c r="I99" s="1156"/>
      <c r="J99" s="1156"/>
      <c r="K99" s="1157"/>
      <c r="L99" s="1157"/>
      <c r="M99" s="1145"/>
      <c r="N99" s="1158"/>
      <c r="O99" s="1159"/>
      <c r="P99" s="1159"/>
      <c r="Q99" s="1146"/>
      <c r="R99" s="1109"/>
      <c r="S99" s="1109"/>
      <c r="T99" s="1126">
        <f>LOOKUP(AI99,'ETAT-PAY-PERM'!$AH$15:$AH$93,'ETAT-PAY-PERM'!$N$15:$N$93)</f>
        <v>56195.5</v>
      </c>
      <c r="U99" s="1126">
        <f>LOOKUP(AI99,'ETAT-PAY-PERM'!$AH$15:$AH$93,'ETAT-PAY-PERM'!$G$15:$G$93)</f>
        <v>5000</v>
      </c>
      <c r="V99" s="1127">
        <f>LOOKUP(AI99,'ETAT-PAY-PERM'!$AH$15:$AH$93,'ETAT-PAY-PERM'!$J$15:$J$93)</f>
        <v>0</v>
      </c>
      <c r="W99" s="1127">
        <f>LOOKUP(AI99,'ETAT-PAY-PERM'!$AH$15:$AH$93,'ETAT-PAY-PERM'!$I$15:$I$93)</f>
        <v>3931.39</v>
      </c>
      <c r="X99" s="1128">
        <f>LOOKUP(AI99,'ETAT-PAY-PERM'!$AH$15:$AH$93,'ETAT-PAY-PERM'!$L$15:$L$93)</f>
        <v>0</v>
      </c>
      <c r="Y99" s="1129">
        <f>LOOKUP(AI99,'ETAT-PAY-PERM'!$AH$15:$AH$93,'ETAT-PAY-PERM'!$M$15:$M$93)</f>
        <v>824.6</v>
      </c>
      <c r="Z99" s="1646">
        <f>LOOKUP(AI99,'ETAT-PAY-PERM'!$AH$15:$AH$93,'ETAT-PAY-PERM'!$H$15:$H$93)</f>
        <v>4947.57</v>
      </c>
      <c r="AA99" s="1647"/>
      <c r="AB99" s="1646">
        <f>LOOKUP(AI99,'ETAT-PAY-PERM'!$AH$15:$AH$93,'ETAT-PAY-PERM'!$F$15:$F$93)</f>
        <v>41491.94</v>
      </c>
      <c r="AC99" s="1648"/>
      <c r="AD99" s="1649"/>
      <c r="AE99" s="1130">
        <f>LOOKUP(AI99,'ETAT-PAY-PERM'!$AH$15:$AH$93,'ETAT-PAY-PERM'!$E$15:$E$93)</f>
        <v>11111111111</v>
      </c>
      <c r="AF99" s="1650" t="str">
        <f>LOOKUP(AI99,'ETAT-PAY-PERM'!$AH$15:$AH$93,'ETAT-PAY-PERM'!$C$15:$C$93)</f>
        <v>ررءرءؤرؤءرلللللللللللللل</v>
      </c>
      <c r="AG99" s="1651"/>
      <c r="AH99" s="1652"/>
      <c r="AI99" s="1118">
        <f>AI89+1</f>
        <v>10</v>
      </c>
      <c r="AJ99" s="1109"/>
      <c r="AK99" s="1109"/>
      <c r="AL99" s="1143"/>
      <c r="AM99" s="1143"/>
      <c r="AN99" s="1143"/>
      <c r="AO99" s="1143"/>
      <c r="AP99" s="1143"/>
      <c r="AQ99" s="1144"/>
      <c r="AR99" s="1156"/>
      <c r="AS99" s="1156"/>
      <c r="AT99" s="1156"/>
      <c r="AU99" s="1157"/>
      <c r="AV99" s="1157"/>
      <c r="AW99" s="1145"/>
      <c r="AX99" s="1158"/>
      <c r="AY99" s="1159"/>
      <c r="AZ99" s="1159"/>
      <c r="BA99" s="1146"/>
    </row>
    <row r="100" spans="2:55" s="1103" customFormat="1" ht="21.75" customHeight="1">
      <c r="B100" s="1099"/>
      <c r="C100" s="1100"/>
      <c r="D100" s="1099"/>
      <c r="E100" s="1099"/>
      <c r="F100" s="1099"/>
      <c r="G100" s="1101"/>
      <c r="H100" s="1099"/>
      <c r="I100" s="1099"/>
      <c r="J100" s="1099"/>
      <c r="K100" s="1102"/>
      <c r="L100" s="1102"/>
      <c r="M100" s="558"/>
      <c r="N100" s="559"/>
      <c r="O100" s="559"/>
      <c r="P100" s="559"/>
      <c r="Q100" s="1104"/>
      <c r="R100" s="1104"/>
      <c r="S100" s="1104"/>
      <c r="T100" s="1099"/>
      <c r="U100" s="1100"/>
      <c r="V100" s="1099"/>
      <c r="W100" s="1099"/>
      <c r="X100" s="1099"/>
      <c r="Y100" s="1101"/>
      <c r="Z100" s="1099"/>
      <c r="AA100" s="1099"/>
      <c r="AB100" s="1099"/>
      <c r="AC100" s="1102"/>
      <c r="AD100" s="1102"/>
      <c r="AE100" s="558"/>
      <c r="AF100" s="559"/>
      <c r="AG100" s="559"/>
      <c r="AH100" s="559"/>
      <c r="AI100" s="560"/>
      <c r="AJ100" s="1104"/>
      <c r="AK100" s="1104"/>
      <c r="AL100" s="1099"/>
      <c r="AM100" s="1100"/>
      <c r="AN100" s="1099"/>
      <c r="AO100" s="1099"/>
      <c r="AP100" s="1099"/>
      <c r="AQ100" s="1101"/>
      <c r="AR100" s="1099"/>
      <c r="AS100" s="1099"/>
      <c r="AT100" s="1099"/>
      <c r="AU100" s="1102"/>
      <c r="AV100" s="1102"/>
      <c r="AW100" s="558"/>
      <c r="AX100" s="559"/>
      <c r="AY100" s="559"/>
      <c r="AZ100" s="559"/>
      <c r="BA100" s="1104"/>
    </row>
    <row r="101" spans="2:55" ht="42.75" customHeight="1">
      <c r="B101" s="1149"/>
      <c r="C101" s="1149"/>
      <c r="D101" s="1149"/>
      <c r="E101" s="1149"/>
      <c r="F101" s="1149"/>
      <c r="G101" s="1149"/>
      <c r="H101" s="1149"/>
      <c r="I101" s="1149"/>
      <c r="J101" s="1149"/>
      <c r="K101" s="1149"/>
      <c r="L101" s="1149"/>
      <c r="M101" s="1149"/>
      <c r="N101" s="1149"/>
      <c r="O101" s="1149"/>
      <c r="P101" s="1149"/>
      <c r="Q101" s="1149"/>
      <c r="R101" s="1076"/>
      <c r="S101" s="1076"/>
      <c r="T101" s="1671" t="s">
        <v>306</v>
      </c>
      <c r="U101" s="1672"/>
      <c r="V101" s="1671"/>
      <c r="W101" s="1671"/>
      <c r="X101" s="1671"/>
      <c r="Y101" s="1671"/>
      <c r="Z101" s="1671"/>
      <c r="AA101" s="1671"/>
      <c r="AB101" s="1671"/>
      <c r="AC101" s="1671"/>
      <c r="AD101" s="1671"/>
      <c r="AE101" s="1671"/>
      <c r="AF101" s="1671"/>
      <c r="AG101" s="1671"/>
      <c r="AH101" s="1671"/>
      <c r="AI101" s="1671"/>
      <c r="AJ101" s="1076"/>
      <c r="AK101" s="1076"/>
      <c r="AL101" s="1149"/>
      <c r="AM101" s="1149"/>
      <c r="AN101" s="1149"/>
      <c r="AO101" s="1149"/>
      <c r="AP101" s="1149"/>
      <c r="AQ101" s="1149"/>
      <c r="AR101" s="1149"/>
      <c r="AS101" s="1149"/>
      <c r="AT101" s="1149"/>
      <c r="AU101" s="1149"/>
      <c r="AV101" s="1149"/>
      <c r="AW101" s="1149"/>
      <c r="AX101" s="1149"/>
      <c r="AY101" s="1149"/>
      <c r="AZ101" s="1149"/>
      <c r="BA101" s="1149"/>
      <c r="BB101" s="3"/>
      <c r="BC101" s="3"/>
    </row>
    <row r="102" spans="2:55" ht="30" customHeight="1" thickBot="1">
      <c r="B102" s="1131"/>
      <c r="C102" s="1105"/>
      <c r="D102" s="1132"/>
      <c r="E102" s="1133"/>
      <c r="F102" s="1133"/>
      <c r="G102" s="1134"/>
      <c r="H102" s="1105"/>
      <c r="I102" s="1135"/>
      <c r="J102" s="1132"/>
      <c r="K102" s="1136"/>
      <c r="L102" s="1132"/>
      <c r="M102" s="1132"/>
      <c r="N102" s="1105"/>
      <c r="O102" s="3"/>
      <c r="P102" s="3"/>
      <c r="Q102" s="1108"/>
      <c r="R102" s="504"/>
      <c r="S102" s="1108"/>
      <c r="T102" s="505" t="s">
        <v>307</v>
      </c>
      <c r="U102" s="506"/>
      <c r="V102" s="507"/>
      <c r="W102" s="508"/>
      <c r="X102" s="508"/>
      <c r="Y102" s="509" t="s">
        <v>308</v>
      </c>
      <c r="Z102" s="506"/>
      <c r="AA102" s="510"/>
      <c r="AB102" s="507"/>
      <c r="AC102" s="564"/>
      <c r="AD102" s="565"/>
      <c r="AE102" s="507"/>
      <c r="AF102" s="511"/>
      <c r="AI102" s="504"/>
      <c r="AJ102" s="1108"/>
      <c r="AK102" s="1108"/>
      <c r="AL102" s="1131"/>
      <c r="AM102" s="1105"/>
      <c r="AN102" s="1132"/>
      <c r="AO102" s="1133"/>
      <c r="AP102" s="1133"/>
      <c r="AQ102" s="1134"/>
      <c r="AR102" s="1105"/>
      <c r="AS102" s="1135"/>
      <c r="AT102" s="1132"/>
      <c r="AU102" s="1136"/>
      <c r="AV102" s="1132"/>
      <c r="AW102" s="1132"/>
      <c r="AX102" s="1105"/>
      <c r="AY102" s="3"/>
      <c r="AZ102" s="3"/>
      <c r="BA102" s="1108"/>
      <c r="BB102" s="3"/>
      <c r="BC102" s="3"/>
    </row>
    <row r="103" spans="2:55" ht="29.25" customHeight="1" thickBot="1">
      <c r="B103" s="1131"/>
      <c r="C103" s="1105"/>
      <c r="D103" s="1132"/>
      <c r="E103" s="1133"/>
      <c r="F103" s="1133"/>
      <c r="G103" s="1105"/>
      <c r="H103" s="1105"/>
      <c r="I103" s="1135"/>
      <c r="J103" s="1132"/>
      <c r="K103" s="3"/>
      <c r="L103" s="1150"/>
      <c r="M103" s="1132"/>
      <c r="N103" s="1132"/>
      <c r="O103" s="3"/>
      <c r="P103" s="3"/>
      <c r="Q103" s="1108"/>
      <c r="R103" s="504"/>
      <c r="S103" s="1108"/>
      <c r="T103" s="505" t="s">
        <v>885</v>
      </c>
      <c r="U103" s="511"/>
      <c r="V103" s="507"/>
      <c r="W103" s="508"/>
      <c r="X103" s="508"/>
      <c r="Y103" s="511" t="s">
        <v>309</v>
      </c>
      <c r="Z103" s="511"/>
      <c r="AA103" s="510"/>
      <c r="AB103" s="566"/>
      <c r="AD103" s="561" t="s">
        <v>310</v>
      </c>
      <c r="AE103" s="563"/>
      <c r="AF103" s="570"/>
      <c r="AI103" s="504"/>
      <c r="AJ103" s="1108"/>
      <c r="AK103" s="1108"/>
      <c r="AL103" s="1131"/>
      <c r="AM103" s="1105"/>
      <c r="AN103" s="1132"/>
      <c r="AO103" s="1133"/>
      <c r="AP103" s="1133"/>
      <c r="AQ103" s="1105"/>
      <c r="AR103" s="1105"/>
      <c r="AS103" s="1135"/>
      <c r="AT103" s="1132"/>
      <c r="AU103" s="3"/>
      <c r="AV103" s="1150"/>
      <c r="AW103" s="1132"/>
      <c r="AX103" s="1132"/>
      <c r="AY103" s="3"/>
      <c r="AZ103" s="3"/>
      <c r="BA103" s="1108"/>
      <c r="BB103" s="3"/>
      <c r="BC103" s="3"/>
    </row>
    <row r="104" spans="2:55" ht="32.25" customHeight="1" thickBot="1">
      <c r="B104" s="1132"/>
      <c r="C104" s="1132"/>
      <c r="D104" s="1132"/>
      <c r="E104" s="3"/>
      <c r="F104" s="1105"/>
      <c r="G104" s="1105"/>
      <c r="H104" s="1132"/>
      <c r="I104" s="1105"/>
      <c r="J104" s="1132"/>
      <c r="K104" s="3"/>
      <c r="L104" s="1150"/>
      <c r="M104" s="3"/>
      <c r="N104" s="1137"/>
      <c r="O104" s="1137"/>
      <c r="P104" s="1137"/>
      <c r="Q104" s="1137"/>
      <c r="R104" s="1105"/>
      <c r="S104" s="1105"/>
      <c r="T104" s="507"/>
      <c r="U104" s="507"/>
      <c r="V104" s="507"/>
      <c r="X104" s="512" t="s">
        <v>311</v>
      </c>
      <c r="Y104" s="513" t="s">
        <v>247</v>
      </c>
      <c r="Z104" s="507"/>
      <c r="AA104" s="514" t="s">
        <v>312</v>
      </c>
      <c r="AB104" s="507"/>
      <c r="AD104" s="561" t="s">
        <v>313</v>
      </c>
      <c r="AF104" s="1679" t="s">
        <v>314</v>
      </c>
      <c r="AG104" s="1680"/>
      <c r="AH104" s="1680"/>
      <c r="AI104" s="1680"/>
      <c r="AJ104" s="1113"/>
      <c r="AK104" s="1105"/>
      <c r="AL104" s="1132"/>
      <c r="AM104" s="1132"/>
      <c r="AN104" s="1132"/>
      <c r="AO104" s="3"/>
      <c r="AP104" s="1105"/>
      <c r="AQ104" s="1105"/>
      <c r="AR104" s="1132"/>
      <c r="AS104" s="1105"/>
      <c r="AT104" s="1132"/>
      <c r="AU104" s="3"/>
      <c r="AV104" s="1150"/>
      <c r="AW104" s="3"/>
      <c r="AX104" s="1137"/>
      <c r="AY104" s="1137"/>
      <c r="AZ104" s="1137"/>
      <c r="BA104" s="1137"/>
      <c r="BB104" s="3"/>
      <c r="BC104" s="3"/>
    </row>
    <row r="105" spans="2:55" ht="30" customHeight="1" thickBot="1">
      <c r="B105" s="1137"/>
      <c r="C105" s="1137"/>
      <c r="D105" s="1137"/>
      <c r="E105" s="1132"/>
      <c r="F105" s="1132"/>
      <c r="G105" s="1138"/>
      <c r="H105" s="1132"/>
      <c r="I105" s="1134"/>
      <c r="J105" s="1132"/>
      <c r="K105" s="3"/>
      <c r="L105" s="1150"/>
      <c r="M105" s="3"/>
      <c r="N105" s="1151"/>
      <c r="O105" s="1151"/>
      <c r="P105" s="1151"/>
      <c r="Q105" s="1151"/>
      <c r="R105" s="1106"/>
      <c r="S105" s="1110"/>
      <c r="T105" s="557" t="str">
        <f ca="1">T95</f>
        <v>أجـــرة شهـــر جوان 2019</v>
      </c>
      <c r="U105" s="557"/>
      <c r="V105" s="557"/>
      <c r="W105" s="515"/>
      <c r="X105" s="515"/>
      <c r="Y105" s="516">
        <f>Y95</f>
        <v>72</v>
      </c>
      <c r="Z105" s="507"/>
      <c r="AA105" s="517" t="s">
        <v>107</v>
      </c>
      <c r="AB105" s="562"/>
      <c r="AD105" s="568" t="s">
        <v>315</v>
      </c>
      <c r="AF105" s="1676" t="s">
        <v>648</v>
      </c>
      <c r="AG105" s="1677"/>
      <c r="AH105" s="1677"/>
      <c r="AI105" s="1678"/>
      <c r="AJ105" s="1112"/>
      <c r="AK105" s="1106"/>
      <c r="AL105" s="1137"/>
      <c r="AM105" s="1137"/>
      <c r="AN105" s="1137"/>
      <c r="AO105" s="1132"/>
      <c r="AP105" s="1132"/>
      <c r="AQ105" s="1138"/>
      <c r="AR105" s="1132"/>
      <c r="AS105" s="1134"/>
      <c r="AT105" s="1132"/>
      <c r="AU105" s="3"/>
      <c r="AV105" s="1150"/>
      <c r="AW105" s="3"/>
      <c r="AX105" s="1151"/>
      <c r="AY105" s="1151"/>
      <c r="AZ105" s="1151"/>
      <c r="BA105" s="1151"/>
      <c r="BB105" s="3"/>
      <c r="BC105" s="3"/>
    </row>
    <row r="106" spans="2:55" ht="10.5" customHeight="1" thickBot="1">
      <c r="B106" s="1139"/>
      <c r="C106" s="1140"/>
      <c r="D106" s="1139"/>
      <c r="E106" s="1139"/>
      <c r="F106" s="1139"/>
      <c r="G106" s="1139"/>
      <c r="H106" s="1139"/>
      <c r="I106" s="1139"/>
      <c r="J106" s="1139"/>
      <c r="K106" s="1141"/>
      <c r="L106" s="1139"/>
      <c r="M106" s="1142"/>
      <c r="N106" s="1139"/>
      <c r="O106" s="1139"/>
      <c r="P106" s="1139"/>
      <c r="Q106" s="1108"/>
      <c r="R106" s="504"/>
      <c r="S106" s="1108"/>
      <c r="T106" s="503"/>
      <c r="U106" s="518"/>
      <c r="V106" s="503"/>
      <c r="W106" s="503"/>
      <c r="X106" s="503"/>
      <c r="Y106" s="503"/>
      <c r="Z106" s="503"/>
      <c r="AA106" s="503"/>
      <c r="AB106" s="503"/>
      <c r="AC106" s="567"/>
      <c r="AD106" s="503"/>
      <c r="AE106" s="569"/>
      <c r="AF106" s="503"/>
      <c r="AG106" s="503"/>
      <c r="AH106" s="503"/>
      <c r="AI106" s="504"/>
      <c r="AJ106" s="1108"/>
      <c r="AK106" s="1108"/>
      <c r="AL106" s="1139"/>
      <c r="AM106" s="1140"/>
      <c r="AN106" s="1139"/>
      <c r="AO106" s="1139"/>
      <c r="AP106" s="1139"/>
      <c r="AQ106" s="1139"/>
      <c r="AR106" s="1139"/>
      <c r="AS106" s="1139"/>
      <c r="AT106" s="1139"/>
      <c r="AU106" s="1141"/>
      <c r="AV106" s="1139"/>
      <c r="AW106" s="1142"/>
      <c r="AX106" s="1139"/>
      <c r="AY106" s="1139"/>
      <c r="AZ106" s="1139"/>
      <c r="BA106" s="1108"/>
      <c r="BB106" s="3"/>
      <c r="BC106" s="3"/>
    </row>
    <row r="107" spans="2:55" ht="20.25" customHeight="1" thickBot="1">
      <c r="B107" s="1152"/>
      <c r="C107" s="1153"/>
      <c r="D107" s="1152"/>
      <c r="E107" s="1152"/>
      <c r="F107" s="1152"/>
      <c r="G107" s="1152"/>
      <c r="H107" s="1152"/>
      <c r="I107" s="1152"/>
      <c r="J107" s="1153"/>
      <c r="K107" s="1153"/>
      <c r="L107" s="1153"/>
      <c r="M107" s="1154"/>
      <c r="N107" s="1152"/>
      <c r="O107" s="1152"/>
      <c r="P107" s="1152"/>
      <c r="Q107" s="1152"/>
      <c r="R107" s="1107"/>
      <c r="S107" s="1107"/>
      <c r="T107" s="1644" t="s">
        <v>7</v>
      </c>
      <c r="U107" s="1653" t="s">
        <v>316</v>
      </c>
      <c r="V107" s="1655" t="s">
        <v>317</v>
      </c>
      <c r="W107" s="1656"/>
      <c r="X107" s="1656"/>
      <c r="Y107" s="1656"/>
      <c r="Z107" s="1656"/>
      <c r="AA107" s="1656"/>
      <c r="AB107" s="1657" t="s">
        <v>318</v>
      </c>
      <c r="AC107" s="1658"/>
      <c r="AD107" s="1659"/>
      <c r="AE107" s="1663" t="s">
        <v>319</v>
      </c>
      <c r="AF107" s="1665" t="s">
        <v>320</v>
      </c>
      <c r="AG107" s="1666"/>
      <c r="AH107" s="1667"/>
      <c r="AI107" s="1665" t="s">
        <v>19</v>
      </c>
      <c r="AJ107" s="1111"/>
      <c r="AK107" s="1107"/>
      <c r="AL107" s="1152"/>
      <c r="AM107" s="1153"/>
      <c r="AN107" s="1152"/>
      <c r="AO107" s="1152"/>
      <c r="AP107" s="1152"/>
      <c r="AQ107" s="1152"/>
      <c r="AR107" s="1152"/>
      <c r="AS107" s="1152"/>
      <c r="AT107" s="1153"/>
      <c r="AU107" s="1153"/>
      <c r="AV107" s="1153"/>
      <c r="AW107" s="1154"/>
      <c r="AX107" s="1152"/>
      <c r="AY107" s="1152"/>
      <c r="AZ107" s="1152"/>
      <c r="BA107" s="1152"/>
      <c r="BB107" s="3"/>
      <c r="BC107" s="3"/>
    </row>
    <row r="108" spans="2:55" ht="20.25" customHeight="1" thickBot="1">
      <c r="B108" s="1152"/>
      <c r="C108" s="1153"/>
      <c r="D108" s="1107"/>
      <c r="E108" s="1107"/>
      <c r="F108" s="1107"/>
      <c r="G108" s="1107"/>
      <c r="H108" s="1155"/>
      <c r="I108" s="1107"/>
      <c r="J108" s="1153"/>
      <c r="K108" s="1153"/>
      <c r="L108" s="1153"/>
      <c r="M108" s="1154"/>
      <c r="N108" s="1152"/>
      <c r="O108" s="1152"/>
      <c r="P108" s="1152"/>
      <c r="Q108" s="1152"/>
      <c r="R108" s="1107"/>
      <c r="S108" s="1107"/>
      <c r="T108" s="1645"/>
      <c r="U108" s="1654"/>
      <c r="V108" s="1075" t="s">
        <v>26</v>
      </c>
      <c r="W108" s="1075" t="s">
        <v>321</v>
      </c>
      <c r="X108" s="519" t="s">
        <v>322</v>
      </c>
      <c r="Y108" s="519" t="s">
        <v>323</v>
      </c>
      <c r="Z108" s="520" t="s">
        <v>24</v>
      </c>
      <c r="AA108" s="521"/>
      <c r="AB108" s="1660"/>
      <c r="AC108" s="1661"/>
      <c r="AD108" s="1662"/>
      <c r="AE108" s="1664"/>
      <c r="AF108" s="1668"/>
      <c r="AG108" s="1669"/>
      <c r="AH108" s="1670"/>
      <c r="AI108" s="1668"/>
      <c r="AJ108" s="1111"/>
      <c r="AK108" s="1107"/>
      <c r="AL108" s="1152"/>
      <c r="AM108" s="1153"/>
      <c r="AN108" s="1107"/>
      <c r="AO108" s="1107"/>
      <c r="AP108" s="1107"/>
      <c r="AQ108" s="1107"/>
      <c r="AR108" s="1155"/>
      <c r="AS108" s="1107"/>
      <c r="AT108" s="1153"/>
      <c r="AU108" s="1153"/>
      <c r="AV108" s="1153"/>
      <c r="AW108" s="1154"/>
      <c r="AX108" s="1152"/>
      <c r="AY108" s="1152"/>
      <c r="AZ108" s="1152"/>
      <c r="BA108" s="1152"/>
      <c r="BB108" s="3"/>
      <c r="BC108" s="3"/>
    </row>
    <row r="109" spans="2:55" s="1098" customFormat="1" ht="98.25" customHeight="1" thickBot="1">
      <c r="B109" s="1143"/>
      <c r="C109" s="1143"/>
      <c r="D109" s="1143"/>
      <c r="E109" s="1143"/>
      <c r="F109" s="1143"/>
      <c r="G109" s="1144"/>
      <c r="H109" s="1156"/>
      <c r="I109" s="1156"/>
      <c r="J109" s="1156"/>
      <c r="K109" s="1157"/>
      <c r="L109" s="1157"/>
      <c r="M109" s="1145"/>
      <c r="N109" s="1158"/>
      <c r="O109" s="1159"/>
      <c r="P109" s="1159"/>
      <c r="Q109" s="1146"/>
      <c r="R109" s="1109"/>
      <c r="S109" s="1109"/>
      <c r="T109" s="1126">
        <f>LOOKUP(AI109,'ETAT-PAY-PERM'!$AH$15:$AH$93,'ETAT-PAY-PERM'!$N$15:$N$93)</f>
        <v>56195.5</v>
      </c>
      <c r="U109" s="1126">
        <f>LOOKUP(AI109,'ETAT-PAY-PERM'!$AH$15:$AH$93,'ETAT-PAY-PERM'!$G$15:$G$93)</f>
        <v>5000</v>
      </c>
      <c r="V109" s="1127">
        <f>LOOKUP(AI109,'ETAT-PAY-PERM'!$AH$15:$AH$93,'ETAT-PAY-PERM'!$J$15:$J$93)</f>
        <v>0</v>
      </c>
      <c r="W109" s="1127">
        <f>LOOKUP(AI109,'ETAT-PAY-PERM'!$AH$15:$AH$93,'ETAT-PAY-PERM'!$I$15:$I$93)</f>
        <v>3931.39</v>
      </c>
      <c r="X109" s="1128">
        <f>LOOKUP(AI109,'ETAT-PAY-PERM'!$AH$15:$AH$93,'ETAT-PAY-PERM'!$L$15:$L$93)</f>
        <v>0</v>
      </c>
      <c r="Y109" s="1129">
        <f>LOOKUP(AI109,'ETAT-PAY-PERM'!$AH$15:$AH$93,'ETAT-PAY-PERM'!$M$15:$M$93)</f>
        <v>824.6</v>
      </c>
      <c r="Z109" s="1646">
        <f>LOOKUP(AI109,'ETAT-PAY-PERM'!$AH$15:$AH$93,'ETAT-PAY-PERM'!$H$15:$H$93)</f>
        <v>4947.57</v>
      </c>
      <c r="AA109" s="1647"/>
      <c r="AB109" s="1646">
        <f>LOOKUP(AI109,'ETAT-PAY-PERM'!$AH$15:$AH$93,'ETAT-PAY-PERM'!$F$15:$F$93)</f>
        <v>41491.94</v>
      </c>
      <c r="AC109" s="1648"/>
      <c r="AD109" s="1649"/>
      <c r="AE109" s="1130">
        <f>LOOKUP(AI109,'ETAT-PAY-PERM'!$AH$15:$AH$93,'ETAT-PAY-PERM'!$E$15:$E$93)</f>
        <v>11111111111</v>
      </c>
      <c r="AF109" s="1650" t="str">
        <f>LOOKUP(AI109,'ETAT-PAY-PERM'!$AH$15:$AH$93,'ETAT-PAY-PERM'!$C$15:$C$93)</f>
        <v>ررءرءؤرؤءرلللللللللللللل</v>
      </c>
      <c r="AG109" s="1651"/>
      <c r="AH109" s="1652"/>
      <c r="AI109" s="1118">
        <f>AI99+1</f>
        <v>11</v>
      </c>
      <c r="AJ109" s="1109"/>
      <c r="AK109" s="1109"/>
      <c r="AL109" s="1143"/>
      <c r="AM109" s="1143"/>
      <c r="AN109" s="1143"/>
      <c r="AO109" s="1143"/>
      <c r="AP109" s="1143"/>
      <c r="AQ109" s="1144"/>
      <c r="AR109" s="1156"/>
      <c r="AS109" s="1156"/>
      <c r="AT109" s="1156"/>
      <c r="AU109" s="1157"/>
      <c r="AV109" s="1157"/>
      <c r="AW109" s="1145"/>
      <c r="AX109" s="1158"/>
      <c r="AY109" s="1159"/>
      <c r="AZ109" s="1159"/>
      <c r="BA109" s="1146"/>
      <c r="BB109" s="1147"/>
      <c r="BC109" s="1147"/>
    </row>
    <row r="110" spans="2:55" s="1103" customFormat="1" ht="13.5" customHeight="1">
      <c r="B110" s="1099"/>
      <c r="C110" s="1099"/>
      <c r="D110" s="1099"/>
      <c r="E110" s="1099"/>
      <c r="F110" s="1099"/>
      <c r="G110" s="1101"/>
      <c r="H110" s="1099"/>
      <c r="I110" s="1099"/>
      <c r="J110" s="1099"/>
      <c r="K110" s="1102"/>
      <c r="L110" s="1102"/>
      <c r="M110" s="558"/>
      <c r="N110" s="559"/>
      <c r="O110" s="559"/>
      <c r="P110" s="559"/>
      <c r="Q110" s="1104"/>
      <c r="R110" s="1104"/>
      <c r="S110" s="1104"/>
      <c r="T110" s="1099"/>
      <c r="U110" s="1099"/>
      <c r="V110" s="1099"/>
      <c r="W110" s="1099"/>
      <c r="X110" s="1099"/>
      <c r="Y110" s="1101"/>
      <c r="Z110" s="1099"/>
      <c r="AA110" s="1099"/>
      <c r="AB110" s="1099"/>
      <c r="AC110" s="1102"/>
      <c r="AD110" s="1102"/>
      <c r="AE110" s="558"/>
      <c r="AF110" s="559"/>
      <c r="AG110" s="559"/>
      <c r="AH110" s="559"/>
      <c r="AI110" s="560"/>
      <c r="AJ110" s="1104"/>
      <c r="AK110" s="1104"/>
      <c r="AL110" s="1099"/>
      <c r="AM110" s="1099"/>
      <c r="AN110" s="1099"/>
      <c r="AO110" s="1099"/>
      <c r="AP110" s="1099"/>
      <c r="AQ110" s="1101"/>
      <c r="AR110" s="1099"/>
      <c r="AS110" s="1099"/>
      <c r="AT110" s="1099"/>
      <c r="AU110" s="1102"/>
      <c r="AV110" s="1102"/>
      <c r="AW110" s="558"/>
      <c r="AX110" s="559"/>
      <c r="AY110" s="559"/>
      <c r="AZ110" s="559"/>
      <c r="BA110" s="1104"/>
      <c r="BB110" s="1148"/>
      <c r="BC110" s="1148"/>
    </row>
    <row r="111" spans="2:55" ht="42.75" customHeight="1">
      <c r="B111" s="1184"/>
      <c r="C111" s="1184"/>
      <c r="D111" s="1184"/>
      <c r="E111" s="1184"/>
      <c r="F111" s="1184"/>
      <c r="G111" s="1184"/>
      <c r="H111" s="1184"/>
      <c r="I111" s="1184"/>
      <c r="J111" s="1184"/>
      <c r="K111" s="1184"/>
      <c r="L111" s="1184"/>
      <c r="M111" s="1184"/>
      <c r="N111" s="1184"/>
      <c r="O111" s="1184"/>
      <c r="P111" s="1184"/>
      <c r="Q111" s="1184"/>
      <c r="R111" s="1160"/>
      <c r="S111" s="1076"/>
      <c r="T111" s="1671" t="s">
        <v>306</v>
      </c>
      <c r="U111" s="1672"/>
      <c r="V111" s="1671"/>
      <c r="W111" s="1671"/>
      <c r="X111" s="1671"/>
      <c r="Y111" s="1671"/>
      <c r="Z111" s="1671"/>
      <c r="AA111" s="1671"/>
      <c r="AB111" s="1671"/>
      <c r="AC111" s="1671"/>
      <c r="AD111" s="1671"/>
      <c r="AE111" s="1671"/>
      <c r="AF111" s="1671"/>
      <c r="AG111" s="1671"/>
      <c r="AH111" s="1671"/>
      <c r="AI111" s="1671"/>
      <c r="AJ111" s="1076"/>
      <c r="AK111" s="1076"/>
      <c r="AL111" s="1149"/>
      <c r="AM111" s="1149"/>
      <c r="AN111" s="1149"/>
      <c r="AO111" s="1149"/>
      <c r="AP111" s="1149"/>
      <c r="AQ111" s="1149"/>
      <c r="AR111" s="1149"/>
      <c r="AS111" s="1149"/>
      <c r="AT111" s="1149"/>
      <c r="AU111" s="1149"/>
      <c r="AV111" s="1149"/>
      <c r="AW111" s="1149"/>
      <c r="AX111" s="1149"/>
      <c r="AY111" s="1149"/>
      <c r="AZ111" s="1149"/>
      <c r="BA111" s="1149"/>
      <c r="BB111" s="3"/>
      <c r="BC111" s="3"/>
    </row>
    <row r="112" spans="2:55" ht="30" customHeight="1" thickBot="1">
      <c r="B112" s="1166"/>
      <c r="C112" s="1162"/>
      <c r="D112" s="1167"/>
      <c r="E112" s="1168"/>
      <c r="F112" s="1168"/>
      <c r="G112" s="1169"/>
      <c r="H112" s="1162"/>
      <c r="I112" s="1170"/>
      <c r="J112" s="1167"/>
      <c r="K112" s="1171"/>
      <c r="L112" s="1167"/>
      <c r="M112" s="1167"/>
      <c r="N112" s="1162"/>
      <c r="O112" s="1172"/>
      <c r="P112" s="1172"/>
      <c r="Q112" s="1173"/>
      <c r="R112" s="1161"/>
      <c r="S112" s="1108"/>
      <c r="T112" s="505" t="s">
        <v>307</v>
      </c>
      <c r="U112" s="506"/>
      <c r="V112" s="507"/>
      <c r="W112" s="508"/>
      <c r="X112" s="508"/>
      <c r="Y112" s="509" t="s">
        <v>308</v>
      </c>
      <c r="Z112" s="506"/>
      <c r="AA112" s="510"/>
      <c r="AB112" s="507"/>
      <c r="AC112" s="564"/>
      <c r="AD112" s="565"/>
      <c r="AE112" s="507"/>
      <c r="AF112" s="511"/>
      <c r="AI112" s="504"/>
      <c r="AJ112" s="1108"/>
      <c r="AK112" s="1108"/>
      <c r="AL112" s="1131"/>
      <c r="AM112" s="1105"/>
      <c r="AN112" s="1132"/>
      <c r="AO112" s="1133"/>
      <c r="AP112" s="1133"/>
      <c r="AQ112" s="1134"/>
      <c r="AR112" s="1105"/>
      <c r="AS112" s="1135"/>
      <c r="AT112" s="1132"/>
      <c r="AU112" s="1136"/>
      <c r="AV112" s="1132"/>
      <c r="AW112" s="1132"/>
      <c r="AX112" s="1105"/>
      <c r="AY112" s="3"/>
      <c r="AZ112" s="3"/>
      <c r="BA112" s="1108"/>
      <c r="BB112" s="3"/>
      <c r="BC112" s="3"/>
    </row>
    <row r="113" spans="2:55" ht="29.25" customHeight="1" thickBot="1">
      <c r="B113" s="1166"/>
      <c r="C113" s="1162"/>
      <c r="D113" s="1167"/>
      <c r="E113" s="1168"/>
      <c r="F113" s="1168"/>
      <c r="G113" s="1162"/>
      <c r="H113" s="1162"/>
      <c r="I113" s="1170"/>
      <c r="J113" s="1167"/>
      <c r="K113" s="1172"/>
      <c r="L113" s="1185"/>
      <c r="M113" s="1167"/>
      <c r="N113" s="1167"/>
      <c r="O113" s="1172"/>
      <c r="P113" s="1172"/>
      <c r="Q113" s="1173"/>
      <c r="R113" s="1161"/>
      <c r="S113" s="1108"/>
      <c r="T113" s="505" t="s">
        <v>885</v>
      </c>
      <c r="U113" s="511"/>
      <c r="V113" s="507"/>
      <c r="W113" s="508"/>
      <c r="X113" s="508"/>
      <c r="Y113" s="511" t="s">
        <v>309</v>
      </c>
      <c r="Z113" s="511"/>
      <c r="AA113" s="510"/>
      <c r="AB113" s="566"/>
      <c r="AD113" s="561" t="s">
        <v>310</v>
      </c>
      <c r="AE113" s="563"/>
      <c r="AF113" s="570"/>
      <c r="AI113" s="504"/>
      <c r="AJ113" s="1108"/>
      <c r="AK113" s="1108"/>
      <c r="AL113" s="1131"/>
      <c r="AM113" s="1105"/>
      <c r="AN113" s="1132"/>
      <c r="AO113" s="1133"/>
      <c r="AP113" s="1133"/>
      <c r="AQ113" s="1105"/>
      <c r="AR113" s="1105"/>
      <c r="AS113" s="1135"/>
      <c r="AT113" s="1132"/>
      <c r="AU113" s="3"/>
      <c r="AV113" s="1150"/>
      <c r="AW113" s="1132"/>
      <c r="AX113" s="1132"/>
      <c r="AY113" s="3"/>
      <c r="AZ113" s="3"/>
      <c r="BA113" s="1108"/>
      <c r="BB113" s="3"/>
      <c r="BC113" s="3"/>
    </row>
    <row r="114" spans="2:55" ht="32.25" customHeight="1" thickBot="1">
      <c r="B114" s="1167"/>
      <c r="C114" s="1167"/>
      <c r="D114" s="1167"/>
      <c r="E114" s="1172"/>
      <c r="F114" s="1162"/>
      <c r="G114" s="1162"/>
      <c r="H114" s="1167"/>
      <c r="I114" s="1162"/>
      <c r="J114" s="1167"/>
      <c r="K114" s="1172"/>
      <c r="L114" s="1185"/>
      <c r="M114" s="1172"/>
      <c r="N114" s="1174"/>
      <c r="O114" s="1174"/>
      <c r="P114" s="1174"/>
      <c r="Q114" s="1174"/>
      <c r="R114" s="1162"/>
      <c r="S114" s="1105"/>
      <c r="T114" s="507"/>
      <c r="U114" s="507"/>
      <c r="V114" s="507"/>
      <c r="X114" s="512" t="s">
        <v>311</v>
      </c>
      <c r="Y114" s="513" t="s">
        <v>247</v>
      </c>
      <c r="Z114" s="507"/>
      <c r="AA114" s="514" t="s">
        <v>312</v>
      </c>
      <c r="AB114" s="507"/>
      <c r="AD114" s="561" t="s">
        <v>313</v>
      </c>
      <c r="AF114" s="1673" t="s">
        <v>314</v>
      </c>
      <c r="AG114" s="1674"/>
      <c r="AH114" s="1674"/>
      <c r="AI114" s="1675"/>
      <c r="AJ114" s="1105"/>
      <c r="AK114" s="1105"/>
      <c r="AL114" s="1132"/>
      <c r="AM114" s="1132"/>
      <c r="AN114" s="1132"/>
      <c r="AO114" s="3"/>
      <c r="AP114" s="1105"/>
      <c r="AQ114" s="1105"/>
      <c r="AR114" s="1132"/>
      <c r="AS114" s="1105"/>
      <c r="AT114" s="1132"/>
      <c r="AU114" s="3"/>
      <c r="AV114" s="1150"/>
      <c r="AW114" s="3"/>
      <c r="AX114" s="1137"/>
      <c r="AY114" s="1137"/>
      <c r="AZ114" s="1137"/>
      <c r="BA114" s="1137"/>
      <c r="BB114" s="3"/>
      <c r="BC114" s="3"/>
    </row>
    <row r="115" spans="2:55" ht="30" customHeight="1" thickBot="1">
      <c r="B115" s="1174"/>
      <c r="C115" s="1174"/>
      <c r="D115" s="1174"/>
      <c r="E115" s="1167"/>
      <c r="F115" s="1167"/>
      <c r="G115" s="1175"/>
      <c r="H115" s="1167"/>
      <c r="I115" s="1169"/>
      <c r="J115" s="1167"/>
      <c r="K115" s="1172"/>
      <c r="L115" s="1185"/>
      <c r="M115" s="1172"/>
      <c r="N115" s="1186"/>
      <c r="O115" s="1186"/>
      <c r="P115" s="1186"/>
      <c r="Q115" s="1186"/>
      <c r="R115" s="1163"/>
      <c r="S115" s="1106"/>
      <c r="T115" s="556" t="str">
        <f ca="1">T105</f>
        <v>أجـــرة شهـــر جوان 2019</v>
      </c>
      <c r="U115" s="557"/>
      <c r="V115" s="557"/>
      <c r="W115" s="515"/>
      <c r="X115" s="515"/>
      <c r="Y115" s="516">
        <f>Y105</f>
        <v>72</v>
      </c>
      <c r="Z115" s="507"/>
      <c r="AA115" s="517" t="s">
        <v>107</v>
      </c>
      <c r="AB115" s="562"/>
      <c r="AD115" s="568" t="s">
        <v>315</v>
      </c>
      <c r="AF115" s="1676" t="s">
        <v>648</v>
      </c>
      <c r="AG115" s="1677"/>
      <c r="AH115" s="1677"/>
      <c r="AI115" s="1678"/>
      <c r="AJ115" s="1106"/>
      <c r="AK115" s="1106"/>
      <c r="AL115" s="1137"/>
      <c r="AM115" s="1137"/>
      <c r="AN115" s="1137"/>
      <c r="AO115" s="1132"/>
      <c r="AP115" s="1132"/>
      <c r="AQ115" s="1138"/>
      <c r="AR115" s="1132"/>
      <c r="AS115" s="1134"/>
      <c r="AT115" s="1132"/>
      <c r="AU115" s="3"/>
      <c r="AV115" s="1150"/>
      <c r="AW115" s="3"/>
      <c r="AX115" s="1151"/>
      <c r="AY115" s="1151"/>
      <c r="AZ115" s="1151"/>
      <c r="BA115" s="1151"/>
      <c r="BB115" s="3"/>
      <c r="BC115" s="3"/>
    </row>
    <row r="116" spans="2:55" ht="10.5" customHeight="1" thickBot="1">
      <c r="B116" s="1176"/>
      <c r="C116" s="1177"/>
      <c r="D116" s="1176"/>
      <c r="E116" s="1176"/>
      <c r="F116" s="1176"/>
      <c r="G116" s="1176"/>
      <c r="H116" s="1176"/>
      <c r="I116" s="1176"/>
      <c r="J116" s="1176"/>
      <c r="K116" s="1178"/>
      <c r="L116" s="1176"/>
      <c r="M116" s="1179"/>
      <c r="N116" s="1176"/>
      <c r="O116" s="1176"/>
      <c r="P116" s="1176"/>
      <c r="Q116" s="1173"/>
      <c r="R116" s="1161"/>
      <c r="S116" s="1108"/>
      <c r="T116" s="503"/>
      <c r="U116" s="518"/>
      <c r="V116" s="503"/>
      <c r="W116" s="503"/>
      <c r="X116" s="503"/>
      <c r="Y116" s="503"/>
      <c r="Z116" s="503"/>
      <c r="AA116" s="503"/>
      <c r="AB116" s="503"/>
      <c r="AC116" s="567"/>
      <c r="AD116" s="503"/>
      <c r="AE116" s="569"/>
      <c r="AF116" s="503"/>
      <c r="AG116" s="503"/>
      <c r="AH116" s="503"/>
      <c r="AI116" s="504"/>
      <c r="AJ116" s="1108"/>
      <c r="AK116" s="1108"/>
      <c r="AL116" s="1139"/>
      <c r="AM116" s="1140"/>
      <c r="AN116" s="1139"/>
      <c r="AO116" s="1139"/>
      <c r="AP116" s="1139"/>
      <c r="AQ116" s="1139"/>
      <c r="AR116" s="1139"/>
      <c r="AS116" s="1139"/>
      <c r="AT116" s="1139"/>
      <c r="AU116" s="1141"/>
      <c r="AV116" s="1139"/>
      <c r="AW116" s="1142"/>
      <c r="AX116" s="1139"/>
      <c r="AY116" s="1139"/>
      <c r="AZ116" s="1139"/>
      <c r="BA116" s="1108"/>
      <c r="BB116" s="3"/>
      <c r="BC116" s="3"/>
    </row>
    <row r="117" spans="2:55" ht="20.25" customHeight="1" thickBot="1">
      <c r="B117" s="1187"/>
      <c r="C117" s="1188"/>
      <c r="D117" s="1187"/>
      <c r="E117" s="1187"/>
      <c r="F117" s="1187"/>
      <c r="G117" s="1187"/>
      <c r="H117" s="1187"/>
      <c r="I117" s="1187"/>
      <c r="J117" s="1188"/>
      <c r="K117" s="1188"/>
      <c r="L117" s="1188"/>
      <c r="M117" s="1189"/>
      <c r="N117" s="1187"/>
      <c r="O117" s="1187"/>
      <c r="P117" s="1187"/>
      <c r="Q117" s="1187"/>
      <c r="R117" s="1164"/>
      <c r="S117" s="1107"/>
      <c r="T117" s="1644" t="s">
        <v>7</v>
      </c>
      <c r="U117" s="1653" t="s">
        <v>316</v>
      </c>
      <c r="V117" s="1655" t="s">
        <v>317</v>
      </c>
      <c r="W117" s="1656"/>
      <c r="X117" s="1656"/>
      <c r="Y117" s="1656"/>
      <c r="Z117" s="1656"/>
      <c r="AA117" s="1656"/>
      <c r="AB117" s="1657" t="s">
        <v>318</v>
      </c>
      <c r="AC117" s="1658"/>
      <c r="AD117" s="1659"/>
      <c r="AE117" s="1663" t="s">
        <v>319</v>
      </c>
      <c r="AF117" s="1665" t="s">
        <v>320</v>
      </c>
      <c r="AG117" s="1666"/>
      <c r="AH117" s="1667"/>
      <c r="AI117" s="1644" t="s">
        <v>19</v>
      </c>
      <c r="AJ117" s="1107"/>
      <c r="AK117" s="1107"/>
      <c r="AL117" s="1152"/>
      <c r="AM117" s="1153"/>
      <c r="AN117" s="1152"/>
      <c r="AO117" s="1152"/>
      <c r="AP117" s="1152"/>
      <c r="AQ117" s="1152"/>
      <c r="AR117" s="1152"/>
      <c r="AS117" s="1152"/>
      <c r="AT117" s="1153"/>
      <c r="AU117" s="1153"/>
      <c r="AV117" s="1153"/>
      <c r="AW117" s="1154"/>
      <c r="AX117" s="1152"/>
      <c r="AY117" s="1152"/>
      <c r="AZ117" s="1152"/>
      <c r="BA117" s="1152"/>
      <c r="BB117" s="3"/>
      <c r="BC117" s="3"/>
    </row>
    <row r="118" spans="2:55" ht="20.25" customHeight="1" thickBot="1">
      <c r="B118" s="1187"/>
      <c r="C118" s="1188"/>
      <c r="D118" s="1164"/>
      <c r="E118" s="1164"/>
      <c r="F118" s="1164"/>
      <c r="G118" s="1164"/>
      <c r="H118" s="1190"/>
      <c r="I118" s="1164"/>
      <c r="J118" s="1188"/>
      <c r="K118" s="1188"/>
      <c r="L118" s="1188"/>
      <c r="M118" s="1189"/>
      <c r="N118" s="1187"/>
      <c r="O118" s="1187"/>
      <c r="P118" s="1187"/>
      <c r="Q118" s="1187"/>
      <c r="R118" s="1164"/>
      <c r="S118" s="1107"/>
      <c r="T118" s="1645"/>
      <c r="U118" s="1654"/>
      <c r="V118" s="1075" t="s">
        <v>26</v>
      </c>
      <c r="W118" s="1075" t="s">
        <v>321</v>
      </c>
      <c r="X118" s="519" t="s">
        <v>322</v>
      </c>
      <c r="Y118" s="519" t="s">
        <v>323</v>
      </c>
      <c r="Z118" s="520" t="s">
        <v>24</v>
      </c>
      <c r="AA118" s="521"/>
      <c r="AB118" s="1660"/>
      <c r="AC118" s="1661"/>
      <c r="AD118" s="1662"/>
      <c r="AE118" s="1664"/>
      <c r="AF118" s="1668"/>
      <c r="AG118" s="1669"/>
      <c r="AH118" s="1670"/>
      <c r="AI118" s="1645"/>
      <c r="AJ118" s="1107"/>
      <c r="AK118" s="1107"/>
      <c r="AL118" s="1152"/>
      <c r="AM118" s="1153"/>
      <c r="AN118" s="1107"/>
      <c r="AO118" s="1107"/>
      <c r="AP118" s="1107"/>
      <c r="AQ118" s="1107"/>
      <c r="AR118" s="1155"/>
      <c r="AS118" s="1107"/>
      <c r="AT118" s="1153"/>
      <c r="AU118" s="1153"/>
      <c r="AV118" s="1153"/>
      <c r="AW118" s="1154"/>
      <c r="AX118" s="1152"/>
      <c r="AY118" s="1152"/>
      <c r="AZ118" s="1152"/>
      <c r="BA118" s="1152"/>
      <c r="BB118" s="3"/>
      <c r="BC118" s="3"/>
    </row>
    <row r="119" spans="2:55" s="1098" customFormat="1" ht="98.25" customHeight="1" thickBot="1">
      <c r="B119" s="1180"/>
      <c r="C119" s="1180"/>
      <c r="D119" s="1180"/>
      <c r="E119" s="1180"/>
      <c r="F119" s="1180"/>
      <c r="G119" s="1181"/>
      <c r="H119" s="1191"/>
      <c r="I119" s="1191"/>
      <c r="J119" s="1191"/>
      <c r="K119" s="1192"/>
      <c r="L119" s="1192"/>
      <c r="M119" s="1182"/>
      <c r="N119" s="1193"/>
      <c r="O119" s="1194"/>
      <c r="P119" s="1194"/>
      <c r="Q119" s="1183"/>
      <c r="R119" s="1165"/>
      <c r="S119" s="1109"/>
      <c r="T119" s="1126">
        <f>LOOKUP(AI119,'ETAT-PAY-PERM'!$AH$15:$AH$93,'ETAT-PAY-PERM'!$N$15:$N$93)</f>
        <v>56195.5</v>
      </c>
      <c r="U119" s="1126">
        <f>LOOKUP(AI119,'ETAT-PAY-PERM'!$AH$15:$AH$93,'ETAT-PAY-PERM'!$G$15:$G$93)</f>
        <v>5000</v>
      </c>
      <c r="V119" s="1127">
        <f>LOOKUP(AI119,'ETAT-PAY-PERM'!$AH$15:$AH$93,'ETAT-PAY-PERM'!$J$15:$J$93)</f>
        <v>0</v>
      </c>
      <c r="W119" s="1127">
        <f>LOOKUP(AI119,'ETAT-PAY-PERM'!$AH$15:$AH$93,'ETAT-PAY-PERM'!$I$15:$I$93)</f>
        <v>3931.39</v>
      </c>
      <c r="X119" s="1128">
        <f>LOOKUP(AI119,'ETAT-PAY-PERM'!$AH$15:$AH$93,'ETAT-PAY-PERM'!$L$15:$L$93)</f>
        <v>0</v>
      </c>
      <c r="Y119" s="1129">
        <f>LOOKUP(AI119,'ETAT-PAY-PERM'!$AH$15:$AH$93,'ETAT-PAY-PERM'!$M$15:$M$93)</f>
        <v>824.6</v>
      </c>
      <c r="Z119" s="1646">
        <f>LOOKUP(AI119,'ETAT-PAY-PERM'!$AH$15:$AH$93,'ETAT-PAY-PERM'!$H$15:$H$93)</f>
        <v>4947.57</v>
      </c>
      <c r="AA119" s="1647"/>
      <c r="AB119" s="1646">
        <f>LOOKUP(AI119,'ETAT-PAY-PERM'!$AH$15:$AH$93,'ETAT-PAY-PERM'!$F$15:$F$93)</f>
        <v>41491.94</v>
      </c>
      <c r="AC119" s="1648"/>
      <c r="AD119" s="1649"/>
      <c r="AE119" s="1130">
        <f>LOOKUP(AI119,'ETAT-PAY-PERM'!$AH$15:$AH$93,'ETAT-PAY-PERM'!$E$15:$E$93)</f>
        <v>11111111111</v>
      </c>
      <c r="AF119" s="1650" t="str">
        <f>LOOKUP(AI119,'ETAT-PAY-PERM'!$AH$15:$AH$93,'ETAT-PAY-PERM'!$C$15:$C$93)</f>
        <v>ررءرءؤرؤءرلللللللللللللل</v>
      </c>
      <c r="AG119" s="1651"/>
      <c r="AH119" s="1652"/>
      <c r="AI119" s="1118">
        <f>AI109+1</f>
        <v>12</v>
      </c>
      <c r="AJ119" s="1109"/>
      <c r="AK119" s="1109"/>
      <c r="AL119" s="1143"/>
      <c r="AM119" s="1143"/>
      <c r="AN119" s="1143"/>
      <c r="AO119" s="1143"/>
      <c r="AP119" s="1143"/>
      <c r="AQ119" s="1144"/>
      <c r="AR119" s="1156"/>
      <c r="AS119" s="1156"/>
      <c r="AT119" s="1156"/>
      <c r="AU119" s="1157"/>
      <c r="AV119" s="1157"/>
      <c r="AW119" s="1145"/>
      <c r="AX119" s="1158"/>
      <c r="AY119" s="1159"/>
      <c r="AZ119" s="1159"/>
      <c r="BA119" s="1146"/>
      <c r="BB119" s="1147"/>
      <c r="BC119" s="1147"/>
    </row>
    <row r="120" spans="2:55">
      <c r="B120" s="1120"/>
      <c r="C120" s="1120"/>
      <c r="D120" s="1120"/>
      <c r="E120" s="1120"/>
      <c r="F120" s="1120"/>
      <c r="G120" s="1120"/>
      <c r="H120" s="1120"/>
      <c r="I120" s="1120"/>
      <c r="J120" s="1120"/>
      <c r="K120" s="1120"/>
      <c r="L120" s="1120"/>
      <c r="M120" s="1120"/>
      <c r="N120" s="1120"/>
      <c r="O120" s="1120"/>
      <c r="P120" s="1120"/>
      <c r="Q120" s="1120"/>
      <c r="R120" s="1120"/>
      <c r="AL120" s="3"/>
      <c r="AM120" s="3"/>
      <c r="AN120" s="3"/>
      <c r="AO120" s="3"/>
      <c r="AP120" s="3"/>
      <c r="AQ120" s="3"/>
      <c r="AR120" s="3"/>
      <c r="AS120" s="3"/>
      <c r="AT120" s="3"/>
      <c r="AU120" s="3"/>
      <c r="AV120" s="3"/>
      <c r="AW120" s="3"/>
      <c r="AX120" s="3"/>
      <c r="AY120" s="3"/>
      <c r="AZ120" s="3"/>
      <c r="BA120" s="3"/>
      <c r="BB120" s="3"/>
      <c r="BC120" s="3"/>
    </row>
  </sheetData>
  <mergeCells count="234">
    <mergeCell ref="H9:I9"/>
    <mergeCell ref="J9:L9"/>
    <mergeCell ref="N9:P9"/>
    <mergeCell ref="B11:Q11"/>
    <mergeCell ref="N14:Q14"/>
    <mergeCell ref="N15:Q15"/>
    <mergeCell ref="B1:Q1"/>
    <mergeCell ref="N4:Q4"/>
    <mergeCell ref="N5:Q5"/>
    <mergeCell ref="B7:B8"/>
    <mergeCell ref="C7:C8"/>
    <mergeCell ref="D7:I7"/>
    <mergeCell ref="J7:L8"/>
    <mergeCell ref="M7:M8"/>
    <mergeCell ref="N7:P8"/>
    <mergeCell ref="Q7:Q8"/>
    <mergeCell ref="H19:I19"/>
    <mergeCell ref="J19:L19"/>
    <mergeCell ref="N19:P19"/>
    <mergeCell ref="B21:Q21"/>
    <mergeCell ref="N24:Q24"/>
    <mergeCell ref="B17:B18"/>
    <mergeCell ref="C17:C18"/>
    <mergeCell ref="D17:I17"/>
    <mergeCell ref="J17:L18"/>
    <mergeCell ref="M17:M18"/>
    <mergeCell ref="N17:P18"/>
    <mergeCell ref="AF9:AH9"/>
    <mergeCell ref="T1:AI1"/>
    <mergeCell ref="AF4:AI4"/>
    <mergeCell ref="AF5:AI5"/>
    <mergeCell ref="T7:T8"/>
    <mergeCell ref="U7:U8"/>
    <mergeCell ref="V7:AA7"/>
    <mergeCell ref="B37:B38"/>
    <mergeCell ref="C37:C38"/>
    <mergeCell ref="D37:I37"/>
    <mergeCell ref="J37:L38"/>
    <mergeCell ref="M37:M38"/>
    <mergeCell ref="N37:P38"/>
    <mergeCell ref="H29:I29"/>
    <mergeCell ref="J29:L29"/>
    <mergeCell ref="N29:P29"/>
    <mergeCell ref="N25:Q25"/>
    <mergeCell ref="C27:C28"/>
    <mergeCell ref="D27:I27"/>
    <mergeCell ref="J27:L28"/>
    <mergeCell ref="M27:M28"/>
    <mergeCell ref="N27:P28"/>
    <mergeCell ref="Q27:Q28"/>
    <mergeCell ref="Q17:Q18"/>
    <mergeCell ref="AL1:BA1"/>
    <mergeCell ref="AX4:BA4"/>
    <mergeCell ref="AX5:BA5"/>
    <mergeCell ref="AL7:AL8"/>
    <mergeCell ref="AM7:AM8"/>
    <mergeCell ref="AN7:AS7"/>
    <mergeCell ref="T27:T28"/>
    <mergeCell ref="U27:U28"/>
    <mergeCell ref="V27:AA27"/>
    <mergeCell ref="AB27:AD28"/>
    <mergeCell ref="AE27:AE28"/>
    <mergeCell ref="AF27:AH28"/>
    <mergeCell ref="Z19:AA19"/>
    <mergeCell ref="AB19:AD19"/>
    <mergeCell ref="AF19:AH19"/>
    <mergeCell ref="T21:AI21"/>
    <mergeCell ref="AF24:AI24"/>
    <mergeCell ref="AF25:AI25"/>
    <mergeCell ref="T11:AI11"/>
    <mergeCell ref="AF14:AI14"/>
    <mergeCell ref="AF15:AI15"/>
    <mergeCell ref="T17:T18"/>
    <mergeCell ref="U17:U18"/>
    <mergeCell ref="V17:AA17"/>
    <mergeCell ref="B27:B28"/>
    <mergeCell ref="B31:Q31"/>
    <mergeCell ref="T31:AI31"/>
    <mergeCell ref="AT7:AV8"/>
    <mergeCell ref="AW7:AW8"/>
    <mergeCell ref="AX7:AZ8"/>
    <mergeCell ref="BA7:BA8"/>
    <mergeCell ref="AR9:AS9"/>
    <mergeCell ref="AT9:AV9"/>
    <mergeCell ref="AX9:AZ9"/>
    <mergeCell ref="AI27:AI28"/>
    <mergeCell ref="Z29:AA29"/>
    <mergeCell ref="AB29:AD29"/>
    <mergeCell ref="AF29:AH29"/>
    <mergeCell ref="AB17:AD18"/>
    <mergeCell ref="AE17:AE18"/>
    <mergeCell ref="AF17:AH18"/>
    <mergeCell ref="AI17:AI18"/>
    <mergeCell ref="AB7:AD8"/>
    <mergeCell ref="AE7:AE8"/>
    <mergeCell ref="AF7:AH8"/>
    <mergeCell ref="AI7:AI8"/>
    <mergeCell ref="Z9:AA9"/>
    <mergeCell ref="AB9:AD9"/>
    <mergeCell ref="AF37:AH38"/>
    <mergeCell ref="AI37:AI38"/>
    <mergeCell ref="Q37:Q38"/>
    <mergeCell ref="T37:T38"/>
    <mergeCell ref="U37:U38"/>
    <mergeCell ref="V37:AA37"/>
    <mergeCell ref="AB37:AD38"/>
    <mergeCell ref="AE37:AE38"/>
    <mergeCell ref="N34:Q34"/>
    <mergeCell ref="AF34:AI34"/>
    <mergeCell ref="N35:Q35"/>
    <mergeCell ref="AF35:AI35"/>
    <mergeCell ref="B41:Q41"/>
    <mergeCell ref="T41:AI41"/>
    <mergeCell ref="N44:Q44"/>
    <mergeCell ref="AF44:AI44"/>
    <mergeCell ref="H39:I39"/>
    <mergeCell ref="J39:L39"/>
    <mergeCell ref="N39:P39"/>
    <mergeCell ref="Z39:AA39"/>
    <mergeCell ref="AB39:AD39"/>
    <mergeCell ref="AF39:AH39"/>
    <mergeCell ref="U47:U48"/>
    <mergeCell ref="V47:AA47"/>
    <mergeCell ref="AB47:AD48"/>
    <mergeCell ref="AE47:AE48"/>
    <mergeCell ref="AF47:AH48"/>
    <mergeCell ref="AI47:AI48"/>
    <mergeCell ref="N45:Q45"/>
    <mergeCell ref="AF45:AI45"/>
    <mergeCell ref="B47:B48"/>
    <mergeCell ref="C47:C48"/>
    <mergeCell ref="D47:I47"/>
    <mergeCell ref="J47:L48"/>
    <mergeCell ref="M47:M48"/>
    <mergeCell ref="N47:P48"/>
    <mergeCell ref="Q47:Q48"/>
    <mergeCell ref="T47:T48"/>
    <mergeCell ref="T51:AI51"/>
    <mergeCell ref="AF54:AI54"/>
    <mergeCell ref="AF55:AI55"/>
    <mergeCell ref="H49:I49"/>
    <mergeCell ref="J49:L49"/>
    <mergeCell ref="N49:P49"/>
    <mergeCell ref="Z49:AA49"/>
    <mergeCell ref="AB49:AD49"/>
    <mergeCell ref="AF49:AH49"/>
    <mergeCell ref="AF59:AH59"/>
    <mergeCell ref="T61:AI61"/>
    <mergeCell ref="AF64:AI64"/>
    <mergeCell ref="AF65:AI65"/>
    <mergeCell ref="V57:AA57"/>
    <mergeCell ref="AB57:AD58"/>
    <mergeCell ref="AE57:AE58"/>
    <mergeCell ref="AF57:AH58"/>
    <mergeCell ref="AI57:AI58"/>
    <mergeCell ref="Z59:AA59"/>
    <mergeCell ref="AB59:AD59"/>
    <mergeCell ref="T57:T58"/>
    <mergeCell ref="U57:U58"/>
    <mergeCell ref="T71:AI71"/>
    <mergeCell ref="AF74:AI74"/>
    <mergeCell ref="AF75:AI75"/>
    <mergeCell ref="AF67:AH68"/>
    <mergeCell ref="AI67:AI68"/>
    <mergeCell ref="Z69:AA69"/>
    <mergeCell ref="AB69:AD69"/>
    <mergeCell ref="AF69:AH69"/>
    <mergeCell ref="T67:T68"/>
    <mergeCell ref="U67:U68"/>
    <mergeCell ref="V67:AA67"/>
    <mergeCell ref="AB67:AD68"/>
    <mergeCell ref="AE67:AE68"/>
    <mergeCell ref="AF77:AH78"/>
    <mergeCell ref="AI77:AI78"/>
    <mergeCell ref="Z79:AA79"/>
    <mergeCell ref="AB79:AD79"/>
    <mergeCell ref="AF79:AH79"/>
    <mergeCell ref="T77:T78"/>
    <mergeCell ref="U77:U78"/>
    <mergeCell ref="V77:AA77"/>
    <mergeCell ref="AB77:AD78"/>
    <mergeCell ref="AE77:AE78"/>
    <mergeCell ref="Z89:AA89"/>
    <mergeCell ref="AB89:AD89"/>
    <mergeCell ref="AF89:AH89"/>
    <mergeCell ref="T91:AI91"/>
    <mergeCell ref="AF94:AI94"/>
    <mergeCell ref="AF95:AI95"/>
    <mergeCell ref="T81:AI81"/>
    <mergeCell ref="AF84:AI84"/>
    <mergeCell ref="AF85:AI85"/>
    <mergeCell ref="T87:T88"/>
    <mergeCell ref="U87:U88"/>
    <mergeCell ref="V87:AA87"/>
    <mergeCell ref="AB87:AD88"/>
    <mergeCell ref="AE87:AE88"/>
    <mergeCell ref="AF87:AH88"/>
    <mergeCell ref="AI87:AI88"/>
    <mergeCell ref="AI97:AI98"/>
    <mergeCell ref="Z99:AA99"/>
    <mergeCell ref="AB99:AD99"/>
    <mergeCell ref="AF99:AH99"/>
    <mergeCell ref="T101:AI101"/>
    <mergeCell ref="AF104:AI104"/>
    <mergeCell ref="T97:T98"/>
    <mergeCell ref="U97:U98"/>
    <mergeCell ref="V97:AA97"/>
    <mergeCell ref="AB97:AD98"/>
    <mergeCell ref="AE97:AE98"/>
    <mergeCell ref="AF97:AH98"/>
    <mergeCell ref="Z109:AA109"/>
    <mergeCell ref="AB109:AD109"/>
    <mergeCell ref="AF109:AH109"/>
    <mergeCell ref="T111:AI111"/>
    <mergeCell ref="AF114:AI114"/>
    <mergeCell ref="AF115:AI115"/>
    <mergeCell ref="AF105:AI105"/>
    <mergeCell ref="T107:T108"/>
    <mergeCell ref="U107:U108"/>
    <mergeCell ref="V107:AA107"/>
    <mergeCell ref="AB107:AD108"/>
    <mergeCell ref="AE107:AE108"/>
    <mergeCell ref="AF107:AH108"/>
    <mergeCell ref="AI107:AI108"/>
    <mergeCell ref="AI117:AI118"/>
    <mergeCell ref="Z119:AA119"/>
    <mergeCell ref="AB119:AD119"/>
    <mergeCell ref="AF119:AH119"/>
    <mergeCell ref="T117:T118"/>
    <mergeCell ref="U117:U118"/>
    <mergeCell ref="V117:AA117"/>
    <mergeCell ref="AB117:AD118"/>
    <mergeCell ref="AE117:AE118"/>
    <mergeCell ref="AF117:AH118"/>
  </mergeCells>
  <printOptions horizontalCentered="1"/>
  <pageMargins left="0.19685039370078741" right="0.19685039370078741" top="0" bottom="0" header="0" footer="0"/>
  <pageSetup paperSize="9" scale="60" orientation="landscape" horizontalDpi="180" verticalDpi="180"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00B050"/>
  </sheetPr>
  <dimension ref="A1:Z30"/>
  <sheetViews>
    <sheetView rightToLeft="1" zoomScale="70" zoomScaleNormal="70" zoomScalePageLayoutView="60" workbookViewId="0">
      <selection activeCell="B20" sqref="B20:E20"/>
    </sheetView>
  </sheetViews>
  <sheetFormatPr baseColWidth="10" defaultColWidth="0" defaultRowHeight="12.75" zeroHeight="1"/>
  <cols>
    <col min="1" max="1" width="3.85546875" customWidth="1"/>
    <col min="2" max="4" width="13.28515625" customWidth="1"/>
    <col min="5" max="5" width="23.7109375" customWidth="1"/>
    <col min="6" max="6" width="26.140625" customWidth="1"/>
    <col min="7" max="7" width="3.85546875" customWidth="1"/>
    <col min="8" max="8" width="7" customWidth="1"/>
    <col min="9" max="11" width="13.28515625" customWidth="1"/>
    <col min="12" max="12" width="19.5703125" customWidth="1"/>
    <col min="13" max="15" width="26.140625" customWidth="1"/>
    <col min="16" max="19" width="11.42578125" customWidth="1"/>
    <col min="20" max="16384" width="11.42578125" hidden="1"/>
  </cols>
  <sheetData>
    <row r="1" spans="2:26"/>
    <row r="2" spans="2:26" s="989" customFormat="1" ht="36.75" customHeight="1">
      <c r="B2" s="1686" t="s">
        <v>1</v>
      </c>
      <c r="C2" s="1686"/>
      <c r="D2" s="1686"/>
      <c r="E2" s="1686"/>
      <c r="F2" s="1686"/>
      <c r="G2" s="1043"/>
      <c r="H2" s="1043"/>
      <c r="I2" s="1686" t="s">
        <v>1</v>
      </c>
      <c r="J2" s="1686"/>
      <c r="K2" s="1686"/>
      <c r="L2" s="1686"/>
      <c r="M2" s="1686"/>
      <c r="N2" s="1043"/>
      <c r="O2" s="1043"/>
    </row>
    <row r="3" spans="2:26" s="989" customFormat="1" ht="24.75">
      <c r="B3" s="1357" t="s">
        <v>886</v>
      </c>
      <c r="I3" s="1357" t="str">
        <f>B3</f>
        <v>مديرية,,,,,,,,,,,,,,,,,,,,,</v>
      </c>
    </row>
    <row r="4" spans="2:26" s="989" customFormat="1" ht="15"/>
    <row r="5" spans="2:26" s="989" customFormat="1" ht="15"/>
    <row r="6" spans="2:26" s="989" customFormat="1" ht="31.5">
      <c r="B6" s="990" t="s">
        <v>663</v>
      </c>
      <c r="C6" s="1332">
        <v>40</v>
      </c>
      <c r="E6" s="1029"/>
      <c r="F6" s="1029" t="s">
        <v>664</v>
      </c>
      <c r="G6" s="1029"/>
      <c r="H6" s="1029"/>
      <c r="I6" s="990" t="s">
        <v>663</v>
      </c>
      <c r="J6" s="991">
        <f>C6</f>
        <v>40</v>
      </c>
      <c r="L6" s="1029" t="s">
        <v>665</v>
      </c>
      <c r="O6" s="1029"/>
      <c r="R6" s="1029"/>
      <c r="S6" s="992"/>
      <c r="T6" s="992"/>
    </row>
    <row r="7" spans="2:26" s="989" customFormat="1" ht="15.75">
      <c r="F7" s="1048" t="str">
        <f ca="1">CONCATENATE("السنــة : ",YEAR(TODAY()))</f>
        <v>السنــة : 2019</v>
      </c>
      <c r="G7" s="1048"/>
      <c r="H7" s="1048"/>
      <c r="M7" s="1048" t="str">
        <f ca="1">F7</f>
        <v>السنــة : 2019</v>
      </c>
      <c r="N7" s="1048"/>
      <c r="O7" s="1048"/>
      <c r="S7" s="992"/>
      <c r="T7" s="992"/>
    </row>
    <row r="8" spans="2:26" s="989" customFormat="1" ht="15">
      <c r="S8" s="992"/>
      <c r="T8" s="992"/>
      <c r="Y8" s="992"/>
    </row>
    <row r="9" spans="2:26" s="989" customFormat="1" ht="15">
      <c r="S9" s="992"/>
      <c r="Y9" s="992"/>
      <c r="Z9" s="992"/>
    </row>
    <row r="10" spans="2:26" s="285" customFormat="1" ht="23.25">
      <c r="B10" s="993" t="s">
        <v>666</v>
      </c>
      <c r="C10" s="1041" t="str">
        <f>VLOOKUP(C6,TABTITRPRS,'BRD-Titr-PRS-PERM'!B10+2,FALSE)</f>
        <v>سييييييييصثقثصقثصقصث</v>
      </c>
      <c r="D10" s="1041"/>
      <c r="F10" s="1333" t="str">
        <f>VLOOKUP(C6,TABTITRPRS,'BRD-Titr-PRS-PERM'!B10+7,FALSE)</f>
        <v>المديرية الفرعية17</v>
      </c>
      <c r="G10" s="1058"/>
      <c r="H10" s="274"/>
      <c r="I10" s="993" t="s">
        <v>666</v>
      </c>
      <c r="J10" s="1041" t="str">
        <f>C10</f>
        <v>سييييييييصثقثصقثصقصث</v>
      </c>
      <c r="K10" s="1041"/>
      <c r="M10" s="274" t="str">
        <f>F10</f>
        <v>المديرية الفرعية17</v>
      </c>
      <c r="N10" s="274"/>
      <c r="O10" s="274"/>
      <c r="S10" s="994"/>
      <c r="T10" s="994"/>
    </row>
    <row r="11" spans="2:26" s="285" customFormat="1" ht="23.25">
      <c r="B11" s="993"/>
      <c r="C11" s="1030"/>
      <c r="D11" s="1030"/>
      <c r="E11" s="274"/>
      <c r="G11" s="159"/>
      <c r="I11" s="993"/>
      <c r="J11" s="1030"/>
      <c r="K11" s="1030"/>
      <c r="L11" s="274"/>
      <c r="S11" s="994"/>
      <c r="T11" s="994"/>
    </row>
    <row r="12" spans="2:26" s="285" customFormat="1" ht="23.25">
      <c r="B12" s="993"/>
      <c r="C12" s="1030"/>
      <c r="D12" s="1030"/>
      <c r="E12" s="274"/>
      <c r="G12" s="159"/>
      <c r="I12" s="993"/>
      <c r="J12" s="1030"/>
      <c r="K12" s="1030"/>
      <c r="L12" s="274"/>
      <c r="S12" s="994"/>
      <c r="T12" s="994"/>
    </row>
    <row r="13" spans="2:26" s="285" customFormat="1" ht="23.25">
      <c r="B13" s="993"/>
      <c r="C13" s="1030"/>
      <c r="D13" s="1030"/>
      <c r="E13" s="274"/>
      <c r="H13" s="159"/>
      <c r="I13" s="993"/>
      <c r="J13" s="1030"/>
      <c r="K13" s="1030"/>
      <c r="L13" s="274"/>
      <c r="S13" s="994"/>
      <c r="T13" s="994"/>
    </row>
    <row r="14" spans="2:26" s="989" customFormat="1" ht="66" customHeight="1">
      <c r="B14" s="1690" t="s">
        <v>686</v>
      </c>
      <c r="C14" s="1690"/>
      <c r="D14" s="1690"/>
      <c r="E14" s="1690"/>
      <c r="F14" s="1690"/>
      <c r="G14" s="1049"/>
      <c r="H14" s="1057"/>
      <c r="I14" s="1691" t="s">
        <v>685</v>
      </c>
      <c r="J14" s="1691"/>
      <c r="K14" s="1691"/>
      <c r="L14" s="1691"/>
      <c r="M14" s="1691"/>
      <c r="N14" s="1061"/>
      <c r="O14" s="1061"/>
      <c r="T14" s="992"/>
    </row>
    <row r="15" spans="2:26" s="989" customFormat="1" ht="15.75">
      <c r="B15" s="996"/>
      <c r="C15" s="996"/>
      <c r="D15" s="996"/>
      <c r="E15" s="996"/>
      <c r="F15" s="996"/>
      <c r="G15" s="1059"/>
      <c r="H15" s="996"/>
      <c r="I15" s="996"/>
      <c r="J15" s="996"/>
      <c r="K15" s="996"/>
      <c r="L15" s="996"/>
      <c r="M15" s="996"/>
      <c r="N15" s="996"/>
      <c r="O15" s="996"/>
      <c r="S15" s="992"/>
      <c r="W15" s="992"/>
    </row>
    <row r="16" spans="2:26" s="997" customFormat="1" ht="24.75">
      <c r="B16" s="1042" t="s">
        <v>667</v>
      </c>
      <c r="C16" s="996"/>
      <c r="D16" s="996"/>
      <c r="E16" s="996"/>
      <c r="F16" s="996"/>
      <c r="G16" s="996"/>
      <c r="H16" s="996"/>
      <c r="I16" s="1042" t="s">
        <v>667</v>
      </c>
      <c r="J16" s="996"/>
      <c r="K16" s="996"/>
      <c r="L16" s="996"/>
      <c r="M16" s="996"/>
      <c r="N16" s="996"/>
      <c r="O16" s="996"/>
    </row>
    <row r="17" spans="2:15" s="997" customFormat="1" ht="15.75">
      <c r="B17" s="996"/>
      <c r="C17" s="996"/>
      <c r="D17" s="996"/>
      <c r="E17" s="996"/>
      <c r="F17" s="996"/>
      <c r="G17" s="996"/>
      <c r="H17" s="996"/>
      <c r="I17" s="996"/>
      <c r="J17" s="996"/>
      <c r="K17" s="996"/>
      <c r="L17" s="996"/>
      <c r="M17" s="996"/>
      <c r="N17" s="996"/>
      <c r="O17" s="996"/>
    </row>
    <row r="18" spans="2:15" s="989" customFormat="1" ht="40.5" customHeight="1">
      <c r="B18" s="1683" t="s">
        <v>668</v>
      </c>
      <c r="C18" s="1684"/>
      <c r="D18" s="1684"/>
      <c r="E18" s="1685"/>
      <c r="F18" s="1031" t="s">
        <v>669</v>
      </c>
      <c r="G18" s="1053"/>
      <c r="H18" s="1052"/>
      <c r="I18" s="1683" t="s">
        <v>668</v>
      </c>
      <c r="J18" s="1684"/>
      <c r="K18" s="1684"/>
      <c r="L18" s="1685"/>
      <c r="M18" s="1031" t="s">
        <v>669</v>
      </c>
      <c r="N18" s="1062"/>
      <c r="O18" s="1062"/>
    </row>
    <row r="19" spans="2:15" s="998" customFormat="1" ht="166.5" customHeight="1">
      <c r="B19" s="1687" t="str">
        <f>VLOOKUP(C6,TABTITRPRS,'BRD-Titr-PRS-PERM'!B10+3,FALSE)</f>
        <v>غغغغغغغغغغغغغغغغغغغغغغغغغغغغغغغغغغغغغغغغغغغغغغغغغغغغغغ</v>
      </c>
      <c r="C19" s="1688"/>
      <c r="D19" s="1689"/>
      <c r="E19" s="1065" t="str">
        <f ca="1">CONCATENATE("من أجرة شهر  ",الرئيسية!N8,YEAR(TODAY()))</f>
        <v>من أجرة شهر  جوان2019</v>
      </c>
      <c r="F19" s="1066">
        <f>VLOOKUP(C6,TABTITRPRS,'BRD-Titr-PRS-PERM'!B10+6,FALSE)</f>
        <v>2338.7399999999998</v>
      </c>
      <c r="G19" s="1051"/>
      <c r="H19" s="1054"/>
      <c r="I19" s="1687" t="str">
        <f>B19</f>
        <v>غغغغغغغغغغغغغغغغغغغغغغغغغغغغغغغغغغغغغغغغغغغغغغغغغغغغغغ</v>
      </c>
      <c r="J19" s="1688"/>
      <c r="K19" s="1689"/>
      <c r="L19" s="1047" t="str">
        <f ca="1">E19</f>
        <v>من أجرة شهر  جوان2019</v>
      </c>
      <c r="M19" s="1066">
        <f>F19</f>
        <v>2338.7399999999998</v>
      </c>
      <c r="N19" s="1071"/>
      <c r="O19" s="1054"/>
    </row>
    <row r="20" spans="2:15" s="989" customFormat="1" ht="33" customHeight="1">
      <c r="B20" s="1695" t="s">
        <v>670</v>
      </c>
      <c r="C20" s="1695"/>
      <c r="D20" s="1695"/>
      <c r="E20" s="1695"/>
      <c r="F20" s="1046">
        <f>SUM(F19:F19)</f>
        <v>2338.7399999999998</v>
      </c>
      <c r="G20" s="1056"/>
      <c r="H20" s="1055"/>
      <c r="I20" s="1692" t="s">
        <v>670</v>
      </c>
      <c r="J20" s="1693"/>
      <c r="K20" s="1693"/>
      <c r="L20" s="1694"/>
      <c r="M20" s="1046">
        <f>SUM(M19:M19)</f>
        <v>2338.7399999999998</v>
      </c>
      <c r="N20" s="1063"/>
      <c r="O20" s="1063"/>
    </row>
    <row r="21" spans="2:15" s="989" customFormat="1" ht="20.25">
      <c r="B21" s="999"/>
      <c r="C21" s="999"/>
      <c r="D21" s="1000"/>
      <c r="E21" s="1000"/>
      <c r="F21" s="1000"/>
      <c r="G21" s="1000"/>
      <c r="H21" s="1000"/>
      <c r="I21" s="999"/>
      <c r="J21" s="999"/>
      <c r="K21" s="1000"/>
      <c r="L21" s="1000"/>
      <c r="M21" s="1000"/>
      <c r="N21" s="1000"/>
      <c r="O21" s="1000"/>
    </row>
    <row r="22" spans="2:15" s="1001" customFormat="1" ht="20.25">
      <c r="B22" s="1682" t="str">
        <f>CONCATENATE("حدد هذا الإشعار عند مبلغ :",[1]!Arreta(F20))</f>
        <v>حدد هذا الإشعار عند مبلغ :ألفين وثلاثمائة وثمانية وثلاثون دينار جزائري وأربعة وسبعون سنتيما</v>
      </c>
      <c r="C22" s="1682"/>
      <c r="D22" s="1682"/>
      <c r="E22" s="1682"/>
      <c r="F22" s="1682"/>
      <c r="G22" s="1060"/>
      <c r="I22" s="1682" t="str">
        <f>B22</f>
        <v>حدد هذا الإشعار عند مبلغ :ألفين وثلاثمائة وثمانية وثلاثون دينار جزائري وأربعة وسبعون سنتيما</v>
      </c>
      <c r="J22" s="1682"/>
      <c r="K22" s="1682"/>
      <c r="L22" s="1682"/>
      <c r="M22" s="1682"/>
      <c r="N22" s="1064"/>
    </row>
    <row r="23" spans="2:15" s="989" customFormat="1" ht="18">
      <c r="B23" s="1682"/>
      <c r="C23" s="1682"/>
      <c r="D23" s="1682"/>
      <c r="E23" s="1682"/>
      <c r="F23" s="1682"/>
      <c r="I23" s="1682"/>
      <c r="J23" s="1682"/>
      <c r="K23" s="1682"/>
      <c r="L23" s="1682"/>
      <c r="M23" s="1682"/>
      <c r="N23" s="1064"/>
    </row>
    <row r="24" spans="2:15" s="995" customFormat="1" ht="18">
      <c r="E24" s="1358" t="s">
        <v>772</v>
      </c>
      <c r="F24" s="1050">
        <f>الرئيسية!N10</f>
        <v>43617</v>
      </c>
      <c r="G24" s="1050"/>
      <c r="H24" s="1050"/>
      <c r="L24" s="1358" t="str">
        <f>E24</f>
        <v>الولاية في :</v>
      </c>
      <c r="M24" s="1050">
        <f>F24</f>
        <v>43617</v>
      </c>
      <c r="N24" s="1050"/>
      <c r="O24" s="1050"/>
    </row>
    <row r="25" spans="2:15" ht="12.75" customHeight="1">
      <c r="E25" s="1045"/>
    </row>
    <row r="26" spans="2:15"/>
    <row r="27" spans="2:15"/>
    <row r="28" spans="2:15"/>
    <row r="29" spans="2:15" hidden="1"/>
    <row r="30" spans="2:15" hidden="1"/>
  </sheetData>
  <mergeCells count="12">
    <mergeCell ref="I22:M23"/>
    <mergeCell ref="B22:F23"/>
    <mergeCell ref="B18:E18"/>
    <mergeCell ref="B2:F2"/>
    <mergeCell ref="B19:D19"/>
    <mergeCell ref="I19:K19"/>
    <mergeCell ref="B14:F14"/>
    <mergeCell ref="I14:M14"/>
    <mergeCell ref="I2:M2"/>
    <mergeCell ref="I18:L18"/>
    <mergeCell ref="I20:L20"/>
    <mergeCell ref="B20:E20"/>
  </mergeCells>
  <dataValidations count="1">
    <dataValidation type="list" allowBlank="1" showInputMessage="1" showErrorMessage="1" sqref="C6">
      <formula1>'BRD-Titr-PRS-PERM'!B10:B46</formula1>
    </dataValidation>
  </dataValidations>
  <printOptions horizontalCentered="1"/>
  <pageMargins left="0" right="0" top="0.74803149606299213" bottom="0.74803149606299213" header="0" footer="0"/>
  <pageSetup paperSize="9" orientation="portrait" horizontalDpi="180" verticalDpi="180" r:id="rId1"/>
  <drawing r:id="rId2"/>
  <legacyDrawing r:id="rId3"/>
</worksheet>
</file>

<file path=xl/worksheets/sheet17.xml><?xml version="1.0" encoding="utf-8"?>
<worksheet xmlns="http://schemas.openxmlformats.org/spreadsheetml/2006/main" xmlns:r="http://schemas.openxmlformats.org/officeDocument/2006/relationships">
  <sheetPr>
    <tabColor rgb="FF00B050"/>
  </sheetPr>
  <dimension ref="A1:K51"/>
  <sheetViews>
    <sheetView rightToLeft="1" view="pageBreakPreview" zoomScale="55" zoomScaleNormal="55" zoomScaleSheetLayoutView="55" workbookViewId="0">
      <selection activeCell="D26" sqref="D26:D27"/>
    </sheetView>
  </sheetViews>
  <sheetFormatPr baseColWidth="10" defaultRowHeight="18.75"/>
  <cols>
    <col min="1" max="1" width="11.42578125" style="1349"/>
    <col min="2" max="2" width="19.42578125" customWidth="1"/>
    <col min="3" max="3" width="43.140625" customWidth="1"/>
    <col min="4" max="4" width="93.28515625" customWidth="1"/>
    <col min="5" max="5" width="19.42578125" customWidth="1"/>
    <col min="6" max="6" width="29.28515625" customWidth="1"/>
    <col min="7" max="7" width="25.42578125" customWidth="1"/>
    <col min="8" max="8" width="22.140625" customWidth="1"/>
    <col min="9" max="9" width="21.85546875" bestFit="1" customWidth="1"/>
  </cols>
  <sheetData>
    <row r="1" spans="1:8" ht="39" customHeight="1" thickBot="1"/>
    <row r="2" spans="1:8" ht="29.25" customHeight="1" thickBot="1">
      <c r="F2" s="1078">
        <v>1</v>
      </c>
      <c r="G2" s="1078">
        <v>35</v>
      </c>
      <c r="H2" s="1079">
        <v>124582122.2</v>
      </c>
    </row>
    <row r="3" spans="1:8" ht="29.25" customHeight="1"/>
    <row r="4" spans="1:8" s="2" customFormat="1" ht="30">
      <c r="A4" s="1161"/>
      <c r="B4" s="1699"/>
      <c r="C4" s="1699"/>
      <c r="D4" s="1699"/>
      <c r="E4" s="1699"/>
      <c r="F4" s="1699"/>
      <c r="G4" s="1699"/>
      <c r="H4" s="1699"/>
    </row>
    <row r="5" spans="1:8" ht="30">
      <c r="B5" s="1383" t="s">
        <v>776</v>
      </c>
      <c r="C5" s="3"/>
      <c r="D5" s="1700" t="s">
        <v>671</v>
      </c>
      <c r="E5" s="1700"/>
      <c r="F5" s="1002"/>
      <c r="G5" s="3"/>
      <c r="H5" s="3"/>
    </row>
    <row r="6" spans="1:8" ht="25.5">
      <c r="B6" s="1383" t="s">
        <v>885</v>
      </c>
      <c r="C6" s="3"/>
      <c r="D6" s="1701" t="s">
        <v>725</v>
      </c>
      <c r="E6" s="1701"/>
      <c r="G6" s="1004" t="s">
        <v>672</v>
      </c>
      <c r="H6" s="1005">
        <v>2019</v>
      </c>
    </row>
    <row r="7" spans="1:8" ht="25.5">
      <c r="B7" s="3"/>
      <c r="C7" s="3"/>
      <c r="D7" s="1004" t="s">
        <v>726</v>
      </c>
      <c r="E7" s="1702">
        <f>الرئيسية!N10</f>
        <v>43617</v>
      </c>
      <c r="F7" s="1702"/>
      <c r="G7" s="1004" t="s">
        <v>673</v>
      </c>
      <c r="H7" s="1005">
        <f>F2+1</f>
        <v>2</v>
      </c>
    </row>
    <row r="8" spans="1:8" ht="20.25">
      <c r="B8" s="3"/>
      <c r="C8" s="3"/>
      <c r="D8" s="1002"/>
      <c r="E8" s="1002"/>
      <c r="F8" s="1002"/>
      <c r="G8" s="3"/>
      <c r="H8" s="3"/>
    </row>
    <row r="9" spans="1:8" ht="29.25" customHeight="1">
      <c r="A9" s="1350"/>
      <c r="B9" s="1038" t="s">
        <v>19</v>
      </c>
      <c r="C9" s="1038" t="s">
        <v>674</v>
      </c>
      <c r="D9" s="1038" t="s">
        <v>675</v>
      </c>
      <c r="E9" s="1038" t="s">
        <v>676</v>
      </c>
      <c r="F9" s="1038" t="s">
        <v>677</v>
      </c>
      <c r="G9" s="1038" t="s">
        <v>678</v>
      </c>
      <c r="H9" s="1038" t="s">
        <v>679</v>
      </c>
    </row>
    <row r="10" spans="1:8" ht="21" thickBot="1">
      <c r="A10" s="1351"/>
      <c r="B10" s="1006"/>
      <c r="C10" s="1006"/>
      <c r="D10" s="1007"/>
      <c r="E10" s="1007"/>
      <c r="F10" s="1007"/>
      <c r="G10" s="1008"/>
      <c r="H10" s="1006"/>
    </row>
    <row r="11" spans="1:8" ht="23.25" customHeight="1" thickBot="1">
      <c r="A11" s="1351">
        <v>5</v>
      </c>
      <c r="B11" s="1009">
        <f>IF(A11&gt;0,G2+1,0)</f>
        <v>36</v>
      </c>
      <c r="C11" s="1010" t="str">
        <f>IF(A11=0,"",LOOKUP(A11,'ورقة العمل'!A:A,'ورقة العمل'!B:B))</f>
        <v>صثقصقثصقضشللبيسلبيشل</v>
      </c>
      <c r="D11" s="1696" t="s">
        <v>688</v>
      </c>
      <c r="E11" s="1011" t="s">
        <v>680</v>
      </c>
      <c r="F11" s="1012"/>
      <c r="G11" s="1013">
        <f>IF(A11=0,0,LOOKUP(A11,'ورقة العمل'!A:A,'ورقة العمل'!G:G))</f>
        <v>31566.14</v>
      </c>
      <c r="H11" s="1348" t="str">
        <f>LOOKUP(A11,'Base-D'!A:A,'Base-D'!BN:BN)</f>
        <v>المديرية</v>
      </c>
    </row>
    <row r="12" spans="1:8" ht="23.25">
      <c r="A12" s="1350"/>
      <c r="B12" s="1009"/>
      <c r="C12" s="1015"/>
      <c r="D12" s="1696"/>
      <c r="E12" s="1016" t="s">
        <v>681</v>
      </c>
      <c r="F12" s="1012"/>
      <c r="G12" s="1013"/>
      <c r="H12" s="1348"/>
    </row>
    <row r="13" spans="1:8" ht="9.75" customHeight="1" thickBot="1">
      <c r="A13" s="1351"/>
      <c r="B13" s="1009"/>
      <c r="C13" s="1015"/>
      <c r="D13" s="1072"/>
      <c r="E13" s="1012"/>
      <c r="F13" s="1012"/>
      <c r="G13" s="1013"/>
      <c r="H13" s="1348"/>
    </row>
    <row r="14" spans="1:8" ht="24" thickBot="1">
      <c r="A14" s="1352">
        <v>19</v>
      </c>
      <c r="B14" s="1009">
        <f>IF(A14&gt;0,B11+1,B11)</f>
        <v>37</v>
      </c>
      <c r="C14" s="1010" t="str">
        <f>IF(A14=0,"",LOOKUP(A14,'ورقة العمل'!A:A,'ورقة العمل'!B:B))</f>
        <v>صثقثصقثصقصثرسيبرشبيسب</v>
      </c>
      <c r="D14" s="1696" t="s">
        <v>689</v>
      </c>
      <c r="E14" s="1011" t="s">
        <v>680</v>
      </c>
      <c r="F14" s="1012"/>
      <c r="G14" s="1013">
        <f>IF(A14=0,0,LOOKUP(A14,'ورقة العمل'!A:A,'ورقة العمل'!G:G))</f>
        <v>3739.02</v>
      </c>
      <c r="H14" s="1348" t="str">
        <f>LOOKUP(A14,'Base-D'!A:A,'Base-D'!BN:BN)</f>
        <v>الفرع10</v>
      </c>
    </row>
    <row r="15" spans="1:8" ht="23.25">
      <c r="A15" s="1350"/>
      <c r="B15" s="1009"/>
      <c r="C15" s="1010"/>
      <c r="D15" s="1703"/>
      <c r="E15" s="1016" t="s">
        <v>681</v>
      </c>
      <c r="F15" s="1012"/>
      <c r="G15" s="1013"/>
      <c r="H15" s="1348"/>
    </row>
    <row r="16" spans="1:8" ht="9.75" customHeight="1" thickBot="1">
      <c r="A16" s="1350"/>
      <c r="B16" s="1009"/>
      <c r="C16" s="1015"/>
      <c r="D16" s="1073"/>
      <c r="E16" s="1012"/>
      <c r="F16" s="1012"/>
      <c r="G16" s="1013"/>
      <c r="H16" s="1348"/>
    </row>
    <row r="17" spans="1:8" ht="24" thickBot="1">
      <c r="A17" s="1353">
        <v>31</v>
      </c>
      <c r="B17" s="1009">
        <f>IF(A17&gt;0,B14+1,B14)</f>
        <v>38</v>
      </c>
      <c r="C17" s="1010" t="str">
        <f>IF(A17=0,"",LOOKUP(A17,'ورقة العمل'!A:A,'ورقة العمل'!B:B))</f>
        <v>صثقصقثصقضشللبيسلبيشل</v>
      </c>
      <c r="D17" s="1696" t="s">
        <v>696</v>
      </c>
      <c r="E17" s="1011" t="s">
        <v>680</v>
      </c>
      <c r="F17" s="1012"/>
      <c r="G17" s="1013">
        <f>IF(A17=0,0,LOOKUP(A17,'ورقة العمل'!A:A,'ورقة العمل'!G:G))</f>
        <v>40138.129999999997</v>
      </c>
      <c r="H17" s="1348" t="str">
        <f>LOOKUP(A17,'Base-D'!A:A,'Base-D'!BN:BN)</f>
        <v>الفرع22</v>
      </c>
    </row>
    <row r="18" spans="1:8" ht="23.25">
      <c r="A18" s="1353"/>
      <c r="B18" s="1009"/>
      <c r="C18" s="1010"/>
      <c r="D18" s="1696"/>
      <c r="E18" s="1016" t="s">
        <v>681</v>
      </c>
      <c r="F18" s="1012"/>
      <c r="G18" s="1013"/>
      <c r="H18" s="1348"/>
    </row>
    <row r="19" spans="1:8" ht="9.75" customHeight="1" thickBot="1">
      <c r="A19" s="1350"/>
      <c r="B19" s="1009"/>
      <c r="C19" s="1015"/>
      <c r="D19" s="1073"/>
      <c r="E19" s="1012"/>
      <c r="F19" s="1012"/>
      <c r="G19" s="1013"/>
      <c r="H19" s="1348"/>
    </row>
    <row r="20" spans="1:8" ht="24" thickBot="1">
      <c r="A20" s="1352">
        <v>33</v>
      </c>
      <c r="B20" s="1009">
        <f>IF(A20&gt;0,B17+1,B17)</f>
        <v>39</v>
      </c>
      <c r="C20" s="1010" t="str">
        <f>IF(A20=0,"",LOOKUP(A20,'ورقة العمل'!A:A,'ورقة العمل'!B:B))</f>
        <v>للللللللبيسلبيليبسل</v>
      </c>
      <c r="D20" s="1696" t="s">
        <v>690</v>
      </c>
      <c r="E20" s="1011" t="s">
        <v>680</v>
      </c>
      <c r="F20" s="1012"/>
      <c r="G20" s="1013">
        <f>IF(A20=0,0,LOOKUP(A20,'ورقة العمل'!A:A,'ورقة العمل'!G:G))</f>
        <v>13031.06</v>
      </c>
      <c r="H20" s="1348" t="str">
        <f>LOOKUP(A20,'Base-D'!A:A,'Base-D'!BN:BN)</f>
        <v>المديرية الفرعية2</v>
      </c>
    </row>
    <row r="21" spans="1:8" ht="23.25">
      <c r="A21" s="1350"/>
      <c r="B21" s="1009"/>
      <c r="C21" s="1010"/>
      <c r="D21" s="1696" t="s">
        <v>687</v>
      </c>
      <c r="E21" s="1016" t="s">
        <v>681</v>
      </c>
      <c r="F21" s="1012"/>
      <c r="G21" s="1013"/>
      <c r="H21" s="1348"/>
    </row>
    <row r="22" spans="1:8" ht="9.75" customHeight="1" thickBot="1">
      <c r="A22" s="1351"/>
      <c r="B22" s="1009"/>
      <c r="C22" s="1010"/>
      <c r="D22" s="1074"/>
      <c r="E22" s="1011"/>
      <c r="F22" s="1012"/>
      <c r="G22" s="1013"/>
      <c r="H22" s="1348"/>
    </row>
    <row r="23" spans="1:8" ht="24" thickBot="1">
      <c r="A23" s="1350">
        <v>48</v>
      </c>
      <c r="B23" s="1009">
        <f>IF(A23&gt;0,B20+1,B20)</f>
        <v>40</v>
      </c>
      <c r="C23" s="1010" t="str">
        <f>IF(A23=0,"",LOOKUP(A23,'ورقة العمل'!A:A,'ورقة العمل'!B:B))</f>
        <v>سييييييييصثقثصقثصقصث</v>
      </c>
      <c r="D23" s="1696" t="s">
        <v>691</v>
      </c>
      <c r="E23" s="1011" t="s">
        <v>680</v>
      </c>
      <c r="F23" s="1012"/>
      <c r="G23" s="1013">
        <f>IF(A23=0,0,LOOKUP(A23,'ورقة العمل'!A:A,'ورقة العمل'!G:G))</f>
        <v>2338.7399999999998</v>
      </c>
      <c r="H23" s="1348" t="str">
        <f>LOOKUP(A23,'Base-D'!A:A,'Base-D'!BN:BN)</f>
        <v>المديرية الفرعية17</v>
      </c>
    </row>
    <row r="24" spans="1:8" ht="23.25">
      <c r="A24" s="1353"/>
      <c r="B24" s="1009"/>
      <c r="C24" s="1010"/>
      <c r="D24" s="1696" t="str">
        <f>'[2]إسترجاع الأموال '!B111</f>
        <v xml:space="preserve">خصم خمسة ( 05 ) يوم بسبب عطلة مرضية </v>
      </c>
      <c r="E24" s="1016" t="s">
        <v>681</v>
      </c>
      <c r="F24" s="1012"/>
      <c r="G24" s="1013"/>
      <c r="H24" s="1348"/>
    </row>
    <row r="25" spans="1:8" ht="9.75" customHeight="1" thickBot="1">
      <c r="A25" s="1350"/>
      <c r="B25" s="1009"/>
      <c r="C25" s="1010"/>
      <c r="D25" s="1074"/>
      <c r="E25" s="1011"/>
      <c r="F25" s="1012"/>
      <c r="G25" s="1013"/>
      <c r="H25" s="1348"/>
    </row>
    <row r="26" spans="1:8" ht="24" thickBot="1">
      <c r="A26" s="1353"/>
      <c r="B26" s="1009">
        <f>IF(A26&gt;0,B23+1,B23)</f>
        <v>40</v>
      </c>
      <c r="C26" s="1010" t="str">
        <f>IF(A26=0,"",LOOKUP(A26,'ورقة العمل'!A:A,'ورقة العمل'!B:B))</f>
        <v/>
      </c>
      <c r="D26" s="1696" t="s">
        <v>692</v>
      </c>
      <c r="E26" s="1011" t="s">
        <v>680</v>
      </c>
      <c r="F26" s="1012"/>
      <c r="G26" s="1013">
        <f>IF(A26=0,0,LOOKUP(A26,'ورقة العمل'!A:A,'ورقة العمل'!G:G))</f>
        <v>0</v>
      </c>
      <c r="H26" s="1348" t="str">
        <f>LOOKUP(A26,'Base-D'!A:A,'Base-D'!BN:BN)</f>
        <v>مكان التعيين</v>
      </c>
    </row>
    <row r="27" spans="1:8" ht="34.5" customHeight="1">
      <c r="A27" s="1353"/>
      <c r="B27" s="1009"/>
      <c r="C27" s="1010"/>
      <c r="D27" s="1696" t="str">
        <f>'[2]إسترجاع الأموال '!B134</f>
        <v xml:space="preserve">خصم عشرة ( 10 ) يوم بسبب عطلة مرضية </v>
      </c>
      <c r="E27" s="1016" t="s">
        <v>681</v>
      </c>
      <c r="F27" s="1012"/>
      <c r="G27" s="1013"/>
      <c r="H27" s="1348"/>
    </row>
    <row r="28" spans="1:8" ht="9.75" customHeight="1" thickBot="1">
      <c r="A28" s="1351"/>
      <c r="B28" s="1009"/>
      <c r="C28" s="1010"/>
      <c r="D28" s="1074"/>
      <c r="E28" s="1011"/>
      <c r="F28" s="1012"/>
      <c r="G28" s="1013"/>
      <c r="H28" s="1348"/>
    </row>
    <row r="29" spans="1:8" ht="24" thickBot="1">
      <c r="A29" s="1352"/>
      <c r="B29" s="1009">
        <f>IF(A29&gt;0,B26+1,B26)</f>
        <v>40</v>
      </c>
      <c r="C29" s="1010" t="str">
        <f>IF(A29=0,"",LOOKUP(A29,'ورقة العمل'!A:A,'ورقة العمل'!B:B))</f>
        <v/>
      </c>
      <c r="D29" s="1696" t="s">
        <v>693</v>
      </c>
      <c r="E29" s="1011" t="s">
        <v>680</v>
      </c>
      <c r="F29" s="1012"/>
      <c r="G29" s="1013">
        <f>IF(A29=0,0,LOOKUP(A29,'ورقة العمل'!A:A,'ورقة العمل'!G:G))</f>
        <v>0</v>
      </c>
      <c r="H29" s="1348" t="str">
        <f>LOOKUP(A29,'Base-D'!A:A,'Base-D'!BN:BN)</f>
        <v>مكان التعيين</v>
      </c>
    </row>
    <row r="30" spans="1:8" ht="23.25">
      <c r="A30" s="1350"/>
      <c r="B30" s="1009"/>
      <c r="C30" s="1010"/>
      <c r="D30" s="1696" t="str">
        <f>'[2]إسترجاع الأموال '!B157</f>
        <v xml:space="preserve">خصم يومان ( 02 ) يوم بسبب عطلة مرضية </v>
      </c>
      <c r="E30" s="1016" t="s">
        <v>681</v>
      </c>
      <c r="F30" s="1012"/>
      <c r="G30" s="1013"/>
      <c r="H30" s="1348"/>
    </row>
    <row r="31" spans="1:8" ht="9.75" customHeight="1" thickBot="1">
      <c r="A31" s="1350"/>
      <c r="B31" s="1009"/>
      <c r="C31" s="1010"/>
      <c r="D31" s="1074"/>
      <c r="E31" s="1011"/>
      <c r="F31" s="1012"/>
      <c r="G31" s="1013"/>
      <c r="H31" s="1348"/>
    </row>
    <row r="32" spans="1:8" ht="24" thickBot="1">
      <c r="A32" s="1352"/>
      <c r="B32" s="1009">
        <f>IF(A32&gt;0,B29+1,B29)</f>
        <v>40</v>
      </c>
      <c r="C32" s="1010" t="str">
        <f>IF(A32=0,"",LOOKUP(A32,'ورقة العمل'!A:A,'ورقة العمل'!B:B))</f>
        <v/>
      </c>
      <c r="D32" s="1696" t="s">
        <v>694</v>
      </c>
      <c r="E32" s="1011" t="s">
        <v>680</v>
      </c>
      <c r="F32" s="1012"/>
      <c r="G32" s="1013">
        <f>IF(A32=0,0,LOOKUP(A32,'ورقة العمل'!A:A,'ورقة العمل'!G:G))</f>
        <v>0</v>
      </c>
      <c r="H32" s="1348" t="str">
        <f>LOOKUP(A32,'Base-D'!A:A,'Base-D'!BN:BN)</f>
        <v>مكان التعيين</v>
      </c>
    </row>
    <row r="33" spans="1:11" ht="23.25">
      <c r="A33" s="1350"/>
      <c r="B33" s="1009"/>
      <c r="C33" s="1010"/>
      <c r="D33" s="1696" t="str">
        <f>'[2]إسترجاع الأموال '!B180</f>
        <v xml:space="preserve">خصم ثلاثة ( 03 ) يوم بسبب غياب غير شرعي  </v>
      </c>
      <c r="E33" s="1016" t="s">
        <v>681</v>
      </c>
      <c r="F33" s="1012"/>
      <c r="G33" s="1013"/>
      <c r="H33" s="1348"/>
    </row>
    <row r="34" spans="1:11" ht="9.75" customHeight="1" thickBot="1">
      <c r="A34" s="1350"/>
      <c r="B34" s="1009"/>
      <c r="C34" s="1010"/>
      <c r="D34" s="1074"/>
      <c r="E34" s="1011"/>
      <c r="F34" s="1012"/>
      <c r="G34" s="1013"/>
      <c r="H34" s="1348"/>
    </row>
    <row r="35" spans="1:11" ht="24" thickBot="1">
      <c r="A35" s="1352"/>
      <c r="B35" s="1009">
        <f>IF(A35&gt;0,B32+1,B32)</f>
        <v>40</v>
      </c>
      <c r="C35" s="1010" t="str">
        <f>IF(A35=0,"",LOOKUP(A35,'ورقة العمل'!A:A,'ورقة العمل'!B:B))</f>
        <v/>
      </c>
      <c r="D35" s="1696" t="s">
        <v>695</v>
      </c>
      <c r="E35" s="1011" t="s">
        <v>680</v>
      </c>
      <c r="F35" s="1012"/>
      <c r="G35" s="1013">
        <f>IF(A35=0,0,LOOKUP(A35,'ورقة العمل'!A:A,'ورقة العمل'!G:G))</f>
        <v>0</v>
      </c>
      <c r="H35" s="1348" t="str">
        <f>LOOKUP(A35,'Base-D'!A:A,'Base-D'!BN:BN)</f>
        <v>مكان التعيين</v>
      </c>
    </row>
    <row r="36" spans="1:11" ht="23.25">
      <c r="A36" s="1350"/>
      <c r="B36" s="1009"/>
      <c r="C36" s="1010"/>
      <c r="D36" s="1696" t="str">
        <f>'[2]إسترجاع الأموال '!B203</f>
        <v>خصم سبعة ( 07 ) يوم بسبب عطلة مرضية</v>
      </c>
      <c r="E36" s="1016" t="s">
        <v>681</v>
      </c>
      <c r="F36" s="1012"/>
      <c r="G36" s="1013"/>
      <c r="H36" s="1348"/>
    </row>
    <row r="37" spans="1:11" ht="9.75" customHeight="1" thickBot="1">
      <c r="A37" s="1350"/>
      <c r="B37" s="1044"/>
      <c r="C37" s="1015"/>
      <c r="D37" s="1073"/>
      <c r="E37" s="1012"/>
      <c r="F37" s="1012"/>
      <c r="G37" s="1013"/>
      <c r="H37" s="1348"/>
      <c r="I37" s="1035"/>
      <c r="J37" s="1035"/>
      <c r="K37" s="1035"/>
    </row>
    <row r="38" spans="1:11" ht="24" thickBot="1">
      <c r="A38" s="1352"/>
      <c r="B38" s="1009">
        <f>IF(A38&gt;0,B35+1,B35)</f>
        <v>40</v>
      </c>
      <c r="C38" s="1010" t="str">
        <f>IF(A38=0,"",LOOKUP(A38,'ورقة العمل'!A:A,'ورقة العمل'!B:B))</f>
        <v/>
      </c>
      <c r="D38" s="1696" t="s">
        <v>697</v>
      </c>
      <c r="E38" s="1011" t="s">
        <v>680</v>
      </c>
      <c r="F38" s="1012"/>
      <c r="G38" s="1013">
        <f>IF(A38=0,0,LOOKUP(A38,'ورقة العمل'!A:A,'ورقة العمل'!G:G))</f>
        <v>0</v>
      </c>
      <c r="H38" s="1348" t="str">
        <f>LOOKUP(A38,'Base-D'!A:A,'Base-D'!BN:BN)</f>
        <v>مكان التعيين</v>
      </c>
    </row>
    <row r="39" spans="1:11" ht="23.25">
      <c r="A39" s="1350"/>
      <c r="B39" s="1009"/>
      <c r="C39" s="1010"/>
      <c r="D39" s="1696" t="str">
        <f>'[2]إسترجاع الأموال '!B219</f>
        <v>السيــــد :</v>
      </c>
      <c r="E39" s="1016" t="s">
        <v>681</v>
      </c>
      <c r="F39" s="1012"/>
      <c r="G39" s="1013"/>
      <c r="H39" s="1348"/>
      <c r="I39" s="1035"/>
      <c r="J39" s="1035"/>
      <c r="K39" s="1035"/>
    </row>
    <row r="40" spans="1:11" ht="9.75" customHeight="1" thickBot="1">
      <c r="A40" s="1350"/>
      <c r="B40" s="1044"/>
      <c r="C40" s="1015"/>
      <c r="D40" s="1073"/>
      <c r="E40" s="1012"/>
      <c r="F40" s="1012"/>
      <c r="G40" s="1013"/>
      <c r="H40" s="1348"/>
      <c r="I40" s="1035"/>
      <c r="J40" s="1035"/>
      <c r="K40" s="1035"/>
    </row>
    <row r="41" spans="1:11" ht="24" thickBot="1">
      <c r="A41" s="1352"/>
      <c r="B41" s="1009">
        <f>IF(A41&gt;0,B38+1,B38)</f>
        <v>40</v>
      </c>
      <c r="C41" s="1010" t="str">
        <f>IF(A41=0,"",LOOKUP(A41,'ورقة العمل'!A:A,'ورقة العمل'!B:B))</f>
        <v/>
      </c>
      <c r="D41" s="1696" t="s">
        <v>698</v>
      </c>
      <c r="E41" s="1011" t="s">
        <v>680</v>
      </c>
      <c r="F41" s="1012"/>
      <c r="G41" s="1013">
        <f>IF(A41=0,0,LOOKUP(A41,'ورقة العمل'!A:A,'ورقة العمل'!G:G))</f>
        <v>0</v>
      </c>
      <c r="H41" s="1348" t="str">
        <f>LOOKUP(A41,'Base-D'!A:A,'Base-D'!BN:BN)</f>
        <v>مكان التعيين</v>
      </c>
    </row>
    <row r="42" spans="1:11" ht="23.25">
      <c r="A42" s="1350"/>
      <c r="B42" s="1009"/>
      <c r="C42" s="1010"/>
      <c r="D42" s="1696">
        <f>'[2]إسترجاع الأموال '!B223</f>
        <v>0</v>
      </c>
      <c r="E42" s="1016" t="s">
        <v>681</v>
      </c>
      <c r="F42" s="1012"/>
      <c r="G42" s="1013"/>
      <c r="H42" s="1348"/>
      <c r="I42" s="1035"/>
      <c r="J42" s="1035"/>
      <c r="K42" s="1035"/>
    </row>
    <row r="43" spans="1:11" ht="9.75" customHeight="1" thickBot="1">
      <c r="A43" s="1351"/>
      <c r="B43" s="1044"/>
      <c r="C43" s="1015"/>
      <c r="D43" s="1073"/>
      <c r="E43" s="1012"/>
      <c r="F43" s="1012"/>
      <c r="G43" s="1013"/>
      <c r="H43" s="1348"/>
      <c r="I43" s="1035"/>
      <c r="J43" s="1035"/>
      <c r="K43" s="1035"/>
    </row>
    <row r="44" spans="1:11" ht="24" thickBot="1">
      <c r="A44" s="1352"/>
      <c r="B44" s="1009">
        <f>IF(A44&gt;0,B41+1,B41)</f>
        <v>40</v>
      </c>
      <c r="C44" s="1010" t="str">
        <f>IF(A44=0,"",LOOKUP(A44,'ورقة العمل'!A:A,'ورقة العمل'!B:B))</f>
        <v/>
      </c>
      <c r="D44" s="1696" t="s">
        <v>699</v>
      </c>
      <c r="E44" s="1011" t="s">
        <v>680</v>
      </c>
      <c r="F44" s="1012"/>
      <c r="G44" s="1013">
        <f>IF(A44=0,0,LOOKUP(A44,'ورقة العمل'!A:A,'ورقة العمل'!G:G))</f>
        <v>0</v>
      </c>
      <c r="H44" s="1348" t="str">
        <f>LOOKUP(A44,'Base-D'!A:A,'Base-D'!BN:BN)</f>
        <v>مكان التعيين</v>
      </c>
    </row>
    <row r="45" spans="1:11" ht="23.25">
      <c r="A45" s="1350"/>
      <c r="B45" s="1009"/>
      <c r="C45" s="1010"/>
      <c r="D45" s="1696" t="str">
        <f>'[2]إسترجاع الأموال '!B226</f>
        <v>خصم يومين ( 02 ) يوم بسبب غياب غير شرعي</v>
      </c>
      <c r="E45" s="1016" t="s">
        <v>681</v>
      </c>
      <c r="F45" s="1012"/>
      <c r="G45" s="1013"/>
      <c r="H45" s="1348"/>
      <c r="I45" s="1035"/>
      <c r="J45" s="1035"/>
      <c r="K45" s="1035"/>
    </row>
    <row r="46" spans="1:11" ht="9.75" customHeight="1">
      <c r="A46" s="1350"/>
      <c r="B46" s="1017"/>
      <c r="C46" s="1015"/>
      <c r="D46" s="1018"/>
      <c r="E46" s="1018"/>
      <c r="F46" s="1018"/>
      <c r="G46" s="1013"/>
      <c r="H46" s="545"/>
      <c r="I46" s="1035"/>
      <c r="J46" s="1035"/>
      <c r="K46" s="1035"/>
    </row>
    <row r="47" spans="1:11" ht="27" customHeight="1">
      <c r="B47" s="1697" t="str">
        <f>CONCATENATE("أوقف هذا الجدول عند المبلغ : ",[1]!Arreta(G49))</f>
        <v>أوقف هذا الجدول عند المبلغ : مائة وأربعة وعشرون مليون وستمائة وإثنان وسبعون ألف وتسعمائة وخمسة وثلاثون دينار جزائري وتسعة وعشرون سنتيما</v>
      </c>
      <c r="C47" s="1697"/>
      <c r="D47" s="1697"/>
      <c r="E47" s="1697"/>
      <c r="F47" s="1039" t="s">
        <v>682</v>
      </c>
      <c r="G47" s="1019">
        <f>SUM(G10:G46)</f>
        <v>90813.09</v>
      </c>
      <c r="H47" s="3"/>
      <c r="I47" s="1035"/>
      <c r="J47" s="1036"/>
      <c r="K47" s="1036"/>
    </row>
    <row r="48" spans="1:11" ht="27" customHeight="1">
      <c r="B48" s="1698"/>
      <c r="C48" s="1698"/>
      <c r="D48" s="1698"/>
      <c r="E48" s="1698"/>
      <c r="F48" s="1040" t="s">
        <v>683</v>
      </c>
      <c r="G48" s="1019">
        <f>H2</f>
        <v>124582122.2</v>
      </c>
      <c r="H48" s="3"/>
      <c r="I48" s="1035"/>
      <c r="J48" s="1036"/>
      <c r="K48" s="1037"/>
    </row>
    <row r="49" spans="2:11" ht="27" customHeight="1">
      <c r="B49" s="1698"/>
      <c r="C49" s="1698"/>
      <c r="D49" s="1698"/>
      <c r="E49" s="1698"/>
      <c r="F49" s="1004" t="s">
        <v>684</v>
      </c>
      <c r="G49" s="1019">
        <f>G48+G47</f>
        <v>124672935.29000001</v>
      </c>
      <c r="H49" s="3"/>
      <c r="I49" s="1035"/>
      <c r="J49" s="1035"/>
      <c r="K49" s="1035"/>
    </row>
    <row r="50" spans="2:11">
      <c r="B50" s="1020"/>
      <c r="C50" s="1021"/>
      <c r="D50" s="1022"/>
      <c r="E50" s="1023"/>
      <c r="F50" s="1024"/>
      <c r="G50" s="1025"/>
      <c r="H50" s="1026"/>
      <c r="I50" s="1035"/>
      <c r="J50" s="1035"/>
      <c r="K50" s="1035"/>
    </row>
    <row r="51" spans="2:11" ht="27.75">
      <c r="B51" s="447"/>
      <c r="C51" s="3"/>
      <c r="D51" s="1027"/>
      <c r="E51" s="1028"/>
      <c r="F51" s="1024"/>
      <c r="G51" s="1025"/>
      <c r="H51" s="1026"/>
    </row>
  </sheetData>
  <mergeCells count="17">
    <mergeCell ref="D29:D30"/>
    <mergeCell ref="D32:D33"/>
    <mergeCell ref="D14:D15"/>
    <mergeCell ref="D17:D18"/>
    <mergeCell ref="D20:D21"/>
    <mergeCell ref="D23:D24"/>
    <mergeCell ref="D26:D27"/>
    <mergeCell ref="B4:H4"/>
    <mergeCell ref="D5:E5"/>
    <mergeCell ref="D6:E6"/>
    <mergeCell ref="D11:D12"/>
    <mergeCell ref="E7:F7"/>
    <mergeCell ref="D35:D36"/>
    <mergeCell ref="D44:D45"/>
    <mergeCell ref="D41:D42"/>
    <mergeCell ref="D38:D39"/>
    <mergeCell ref="B47:E49"/>
  </mergeCells>
  <dataValidations count="2">
    <dataValidation type="list" allowBlank="1" showInputMessage="1" showErrorMessage="1" sqref="A14 A44 A41 A38 A35 A32 A29 A26 A23 A20 A17">
      <formula1>'ورقة العمل'!I:I</formula1>
    </dataValidation>
    <dataValidation type="list" allowBlank="1" showInputMessage="1" showErrorMessage="1" sqref="A11">
      <formula1>'ورقة العمل'!I2:I200</formula1>
    </dataValidation>
  </dataValidations>
  <printOptions horizontalCentered="1"/>
  <pageMargins left="0" right="0.19685039370078741" top="0.19685039370078741" bottom="0.39370078740157483" header="0" footer="0"/>
  <pageSetup paperSize="9" scale="55" orientation="landscape" horizontalDpi="180" verticalDpi="180" r:id="rId1"/>
  <drawing r:id="rId2"/>
  <legacyDrawing r:id="rId3"/>
</worksheet>
</file>

<file path=xl/worksheets/sheet18.xml><?xml version="1.0" encoding="utf-8"?>
<worksheet xmlns="http://schemas.openxmlformats.org/spreadsheetml/2006/main" xmlns:r="http://schemas.openxmlformats.org/officeDocument/2006/relationships">
  <sheetPr>
    <tabColor rgb="FF00B050"/>
  </sheetPr>
  <dimension ref="A1:BP499"/>
  <sheetViews>
    <sheetView rightToLeft="1" topLeftCell="J1" zoomScale="115" zoomScaleNormal="115" workbookViewId="0">
      <pane ySplit="1" topLeftCell="A2" activePane="bottomLeft" state="frozen"/>
      <selection pane="bottomLeft" activeCell="R6" sqref="R6"/>
    </sheetView>
  </sheetViews>
  <sheetFormatPr baseColWidth="10" defaultRowHeight="18"/>
  <cols>
    <col min="1" max="1" width="7.42578125" style="646" customWidth="1"/>
    <col min="2" max="3" width="17" style="642" customWidth="1"/>
    <col min="4" max="4" width="8.28515625" style="642" customWidth="1"/>
    <col min="5" max="5" width="30.28515625" style="655" customWidth="1"/>
    <col min="6" max="6" width="8.42578125" style="651" customWidth="1"/>
    <col min="7" max="7" width="16.140625" style="651" customWidth="1"/>
    <col min="8" max="8" width="10.85546875" style="651" customWidth="1"/>
    <col min="9" max="9" width="10.85546875" style="646" customWidth="1"/>
    <col min="10" max="10" width="17" style="642" customWidth="1"/>
    <col min="11" max="11" width="10.140625" style="646" customWidth="1"/>
    <col min="12" max="12" width="12.7109375" style="646" customWidth="1"/>
    <col min="13" max="13" width="8.140625" style="646" customWidth="1"/>
    <col min="14" max="16" width="10.140625" style="642" customWidth="1"/>
    <col min="17" max="17" width="16.42578125" style="642" customWidth="1"/>
    <col min="18" max="18" width="36.85546875" style="647" customWidth="1"/>
    <col min="19" max="19" width="24.85546875" style="645" customWidth="1"/>
    <col min="20" max="21" width="17.5703125" style="648" customWidth="1"/>
    <col min="22" max="22" width="10.140625" style="648" customWidth="1"/>
    <col min="23" max="23" width="9.42578125" style="648" customWidth="1"/>
    <col min="24" max="24" width="9.85546875" style="649" customWidth="1"/>
    <col min="25" max="25" width="11.85546875" style="648" customWidth="1"/>
    <col min="26" max="26" width="12.28515625" style="648" customWidth="1"/>
    <col min="27" max="27" width="10.85546875" style="648" customWidth="1"/>
    <col min="28" max="28" width="11.140625" style="648" customWidth="1"/>
    <col min="29" max="29" width="14.28515625" style="648" customWidth="1"/>
    <col min="30" max="30" width="14.28515625" style="649" customWidth="1"/>
    <col min="31" max="31" width="15.5703125" style="648" customWidth="1"/>
    <col min="32" max="33" width="17" style="648" customWidth="1"/>
    <col min="34" max="34" width="17" style="649" customWidth="1"/>
    <col min="35" max="49" width="18.42578125" style="649" customWidth="1"/>
    <col min="50" max="50" width="23.28515625" style="642" customWidth="1"/>
    <col min="51" max="52" width="18.42578125" style="649" customWidth="1"/>
    <col min="53" max="61" width="18.85546875" style="649" customWidth="1"/>
    <col min="62" max="65" width="19.140625" style="649" customWidth="1"/>
    <col min="66" max="66" width="25.42578125" style="646" customWidth="1"/>
    <col min="67" max="67" width="16.140625" style="646" hidden="1" customWidth="1"/>
    <col min="68" max="68" width="27.5703125" style="649" hidden="1" customWidth="1"/>
    <col min="69" max="16384" width="11.42578125" style="642"/>
  </cols>
  <sheetData>
    <row r="1" spans="1:68" s="635" customFormat="1" ht="156.75" customHeight="1">
      <c r="A1" s="630">
        <v>0</v>
      </c>
      <c r="B1" s="631" t="s">
        <v>493</v>
      </c>
      <c r="C1" s="631" t="s">
        <v>494</v>
      </c>
      <c r="D1" s="631" t="s">
        <v>479</v>
      </c>
      <c r="E1" s="631" t="s">
        <v>334</v>
      </c>
      <c r="F1" s="631" t="s">
        <v>480</v>
      </c>
      <c r="G1" s="630" t="s">
        <v>481</v>
      </c>
      <c r="H1" s="630" t="s">
        <v>482</v>
      </c>
      <c r="I1" s="630" t="s">
        <v>483</v>
      </c>
      <c r="J1" s="631" t="s">
        <v>484</v>
      </c>
      <c r="K1" s="630" t="s">
        <v>485</v>
      </c>
      <c r="L1" s="630" t="s">
        <v>486</v>
      </c>
      <c r="M1" s="630" t="s">
        <v>487</v>
      </c>
      <c r="N1" s="631" t="s">
        <v>547</v>
      </c>
      <c r="O1" s="631" t="s">
        <v>488</v>
      </c>
      <c r="P1" s="631" t="s">
        <v>489</v>
      </c>
      <c r="Q1" s="631" t="s">
        <v>658</v>
      </c>
      <c r="R1" s="630" t="s">
        <v>490</v>
      </c>
      <c r="S1" s="630" t="s">
        <v>491</v>
      </c>
      <c r="T1" s="633" t="s">
        <v>502</v>
      </c>
      <c r="U1" s="633" t="s">
        <v>3</v>
      </c>
      <c r="V1" s="633" t="s">
        <v>349</v>
      </c>
      <c r="W1" s="633" t="s">
        <v>495</v>
      </c>
      <c r="X1" s="632" t="s">
        <v>350</v>
      </c>
      <c r="Y1" s="633" t="s">
        <v>496</v>
      </c>
      <c r="Z1" s="633" t="s">
        <v>498</v>
      </c>
      <c r="AA1" s="633" t="s">
        <v>551</v>
      </c>
      <c r="AB1" s="633" t="s">
        <v>497</v>
      </c>
      <c r="AC1" s="633" t="s">
        <v>499</v>
      </c>
      <c r="AD1" s="632" t="s">
        <v>500</v>
      </c>
      <c r="AE1" s="633" t="s">
        <v>501</v>
      </c>
      <c r="AF1" s="633" t="s">
        <v>552</v>
      </c>
      <c r="AG1" s="633" t="s">
        <v>553</v>
      </c>
      <c r="AH1" s="632" t="s">
        <v>503</v>
      </c>
      <c r="AI1" s="632" t="s">
        <v>5</v>
      </c>
      <c r="AJ1" s="632" t="s">
        <v>504</v>
      </c>
      <c r="AK1" s="632" t="s">
        <v>6</v>
      </c>
      <c r="AL1" s="632" t="s">
        <v>505</v>
      </c>
      <c r="AM1" s="632" t="s">
        <v>506</v>
      </c>
      <c r="AN1" s="632" t="s">
        <v>507</v>
      </c>
      <c r="AO1" s="632" t="s">
        <v>508</v>
      </c>
      <c r="AP1" s="632" t="s">
        <v>509</v>
      </c>
      <c r="AQ1" s="632" t="s">
        <v>510</v>
      </c>
      <c r="AR1" s="632" t="s">
        <v>344</v>
      </c>
      <c r="AS1" s="632" t="s">
        <v>511</v>
      </c>
      <c r="AT1" s="632" t="s">
        <v>512</v>
      </c>
      <c r="AU1" s="632" t="s">
        <v>513</v>
      </c>
      <c r="AV1" s="632" t="s">
        <v>514</v>
      </c>
      <c r="AW1" s="632" t="s">
        <v>515</v>
      </c>
      <c r="AX1" s="631" t="s">
        <v>0</v>
      </c>
      <c r="AY1" s="634" t="s">
        <v>554</v>
      </c>
      <c r="AZ1" s="632" t="s">
        <v>4</v>
      </c>
      <c r="BA1" s="632" t="s">
        <v>7</v>
      </c>
      <c r="BB1" s="632" t="s">
        <v>516</v>
      </c>
      <c r="BC1" s="632" t="s">
        <v>517</v>
      </c>
      <c r="BD1" s="632" t="s">
        <v>518</v>
      </c>
      <c r="BE1" s="632" t="s">
        <v>519</v>
      </c>
      <c r="BF1" s="632" t="s">
        <v>555</v>
      </c>
      <c r="BG1" s="632" t="s">
        <v>556</v>
      </c>
      <c r="BH1" s="632" t="s">
        <v>557</v>
      </c>
      <c r="BI1" s="632" t="s">
        <v>558</v>
      </c>
      <c r="BJ1" s="634" t="s">
        <v>521</v>
      </c>
      <c r="BK1" s="634" t="s">
        <v>522</v>
      </c>
      <c r="BL1" s="634" t="s">
        <v>559</v>
      </c>
      <c r="BM1" s="634" t="s">
        <v>560</v>
      </c>
      <c r="BN1" s="630" t="s">
        <v>813</v>
      </c>
      <c r="BO1" s="630" t="s">
        <v>492</v>
      </c>
      <c r="BP1" s="632" t="s">
        <v>497</v>
      </c>
    </row>
    <row r="2" spans="1:68">
      <c r="A2" s="636">
        <v>1</v>
      </c>
      <c r="B2" s="637" t="s">
        <v>872</v>
      </c>
      <c r="C2" s="637" t="s">
        <v>873</v>
      </c>
      <c r="D2" s="652">
        <v>2</v>
      </c>
      <c r="E2" s="679" t="str">
        <f>LOOKUP(D2,'f-travail'!A:A,'f-travail'!B:B)</f>
        <v>مفتش رئيس</v>
      </c>
      <c r="F2" s="650" t="s">
        <v>539</v>
      </c>
      <c r="G2" s="650" t="s">
        <v>357</v>
      </c>
      <c r="H2" s="653">
        <v>10</v>
      </c>
      <c r="I2" s="653">
        <v>5</v>
      </c>
      <c r="J2" s="654" t="s">
        <v>544</v>
      </c>
      <c r="K2" s="650">
        <v>0</v>
      </c>
      <c r="L2" s="650"/>
      <c r="M2" s="650">
        <v>0</v>
      </c>
      <c r="N2" s="654">
        <v>8000</v>
      </c>
      <c r="O2" s="654">
        <v>0</v>
      </c>
      <c r="P2" s="654">
        <v>1</v>
      </c>
      <c r="Q2" s="654"/>
      <c r="R2" s="676">
        <v>2525252</v>
      </c>
      <c r="S2" s="654" t="s">
        <v>548</v>
      </c>
      <c r="T2" s="675"/>
      <c r="U2" s="675"/>
      <c r="V2" s="670">
        <f>LOOKUP(D2,'f-travail'!A:A,'f-travail'!E:E)</f>
        <v>16</v>
      </c>
      <c r="W2" s="670">
        <f>VLOOKUP(V2,جرقمإستدلالي,'f-travail'!$AD$4+1,FALSE)</f>
        <v>713</v>
      </c>
      <c r="X2" s="671">
        <f t="shared" ref="X2:X64" si="0">INDEX(جدرجات,V2,H2+1)</f>
        <v>357</v>
      </c>
      <c r="Y2" s="671">
        <f>IF(G2="مدير ولائي",(HLOOKUP(I2,جدروظعليا,'f-travail'!$AT$3+1,FALSE)-3200),0)</f>
        <v>800</v>
      </c>
      <c r="Z2" s="672" t="str">
        <f>IF(OR(G2="رئيس مفتشية",G2="محافظ عقاري",G2="رئيس مصلحة"),"م8",IF(G2="رئيس مكتب","م7",IF(G2="رئيس قسم","م5",IF(G2="رئيس حضيرة","م3",IF(G2="مدير ولائي","ب 1","")))))</f>
        <v>ب 1</v>
      </c>
      <c r="AA2" s="671">
        <f>IF(Z2="م8",195,IF(Z2="م7",145,IF(Z2="م5",75,IF(Z2="م3",45,0))))</f>
        <v>0</v>
      </c>
      <c r="AB2" s="677" t="str">
        <f>IF(OR(J2="متزوج(ة)",J2="متزوج(ة)ماكثة",J2="متزوج(ة)عاملة"),(CONCATENATE("م","(",K2,")")),IF(J2="مطلق(ة)",(CONCATENATE("مط","(",K2,")")),IF(J2="عازب(ة)","ع",IF(J2="عازب(ة)كفيل",CONCATENATE("ع/ك","(",K2,")")))))</f>
        <v>ع/ك(0)</v>
      </c>
      <c r="AC2" s="678">
        <f>IF(AND(J2="متزوج(ة)ماكثة",K2=0),5.5,IF(AND(J2="متزوج(ة)ماكثة",K2&gt;0),800,0))</f>
        <v>0</v>
      </c>
      <c r="AD2" s="673">
        <f t="shared" ref="AD2:AD64" si="1">IF(L2&gt;3,(3*11.25),L2*11.25)</f>
        <v>0</v>
      </c>
      <c r="AE2" s="678">
        <f t="shared" ref="AE2:AE64" si="2">IF(AB2="ع",0,(AD2+(K2*300)+AC2))</f>
        <v>0</v>
      </c>
      <c r="AF2" s="678">
        <f t="shared" ref="AF2:AF64" si="3">IF(G2="مدير ولائي",(3200*19),(W2*45))</f>
        <v>60800</v>
      </c>
      <c r="AG2" s="678">
        <f t="shared" ref="AG2:AG64" si="4">IF(G2="مدير ولائي",(Y2*19),(X2*45))</f>
        <v>15200</v>
      </c>
      <c r="AH2" s="673">
        <f>IF(OR(G2="مدير ولائي",M2=0),0,IF(M2=1,2000))</f>
        <v>0</v>
      </c>
      <c r="AI2" s="674">
        <f>IF(G2="مدير ولائي",(11000*35%),LOOKUP(D2,'f-travail'!A:A,'f-travail'!I:I))</f>
        <v>3850</v>
      </c>
      <c r="AJ2" s="673">
        <f>IF(G2="مدير ولائي",((W2+X2)*45)*80%,IF(V2&lt;8,0,IF(F2="إليزي",(LOOKUP(D2,'f-travail'!A:A,'f-travail'!O:O))*(AF2+AG2),LOOKUP(D2,'f-travail'!A:A,'f-travail'!P:P)*(AF2+AG2))))</f>
        <v>38520</v>
      </c>
      <c r="AK2" s="673">
        <f>IF(G2="مدير ولائي",0,LOOKUP(D2,'f-travail'!A:A,'f-travail'!Q:Q))</f>
        <v>0</v>
      </c>
      <c r="AL2" s="673">
        <f>IF(G2="مدير ولائي",0,LOOKUP(D2,'f-travail'!A:A,'f-travail'!R:R)*(AF2+AG2))</f>
        <v>0</v>
      </c>
      <c r="AM2" s="673">
        <f>IF(G2="مدير ولائي",0,LOOKUP(D2,'f-travail'!A:A,'f-travail'!S:S)*(AF2+AG2))</f>
        <v>0</v>
      </c>
      <c r="AN2" s="673">
        <f>IF(G2="مدير ولائي",0,LOOKUP(D2,'f-travail'!A:A,'f-travail'!T:T)*(AF2+AG2))</f>
        <v>0</v>
      </c>
      <c r="AO2" s="673">
        <f>IF(G2="مدير ولائي",0,LOOKUP(D2,'f-travail'!A:A,'f-travail'!U:U)*(AF2+AG2))</f>
        <v>0</v>
      </c>
      <c r="AP2" s="673">
        <f>IF(G2="مدير ولائي",0,LOOKUP(D2,'f-travail'!A:A,'f-travail'!V:V)*(AF2+AG2))</f>
        <v>0</v>
      </c>
      <c r="AQ2" s="673">
        <f>IF(G2="مدير ولائي",0,LOOKUP(D2,'f-travail'!A:A,'f-travail'!W:W)*(AF2+AG2))</f>
        <v>0</v>
      </c>
      <c r="AR2" s="673">
        <f>IF(G2="أمين صندوق",4000,0)</f>
        <v>0</v>
      </c>
      <c r="AS2" s="673">
        <f>IF(G2="مدير ولائي",0,LOOKUP(D2,'f-travail'!A:A,'f-travail'!X:X)*(AF2+AG2))</f>
        <v>0</v>
      </c>
      <c r="AT2" s="673">
        <f>IF(G2="مدير ولائي",0,LOOKUP(D2,'f-travail'!Y:Y,'f-travail'!R:R)*(AF2+AG2))</f>
        <v>0</v>
      </c>
      <c r="AU2" s="673">
        <f t="shared" ref="AU2:AU64" si="5">IF(G2="مدير ولائي",50%*(AF2+AG2),0)</f>
        <v>38000</v>
      </c>
      <c r="AV2" s="673">
        <f t="shared" ref="AV2:AV64" si="6">IF(G2="مدير ولائي",50%*(AF2+AG2),0)</f>
        <v>38000</v>
      </c>
      <c r="AW2" s="673">
        <f t="shared" ref="AW2:AW64" si="7">IF(G2="مدير ولائي",50%*(AF2+AG2),0)</f>
        <v>38000</v>
      </c>
      <c r="AX2" s="637" t="str">
        <f t="shared" ref="AX2:AX32" si="8">C2&amp;B2</f>
        <v>لللللللللللللللللللللل</v>
      </c>
      <c r="AY2" s="640" t="str">
        <f t="shared" ref="AY2:AY65" si="9">IF(Z2="ب 1",IF(OR(A2=0,A2=""),"",IF(OR(H2=0,I2=""),BO2,CONCATENATE(BO2," - ","د"," ",I2))),IF(OR(A2=0,A2=""),"",IF(OR(H2=0,H2=""),BO2,CONCATENATE(BO2," - ","د"," ",H2))))</f>
        <v>ب 1 أ 16 - د 5</v>
      </c>
      <c r="AZ2" s="673">
        <f t="shared" ref="AZ2:AZ64" si="10">AG2+AF2+U2+T2+(AA2*45)</f>
        <v>76000</v>
      </c>
      <c r="BA2" s="639">
        <f t="shared" ref="BA2:BA64" si="11">SUM(BB2:BF2,(AZ2+AT2+AJ2+AI2+AE2))</f>
        <v>240370</v>
      </c>
      <c r="BB2" s="639">
        <f t="shared" ref="BB2:BB32" si="12">AP2+AO2+AN2+AM2+AL2</f>
        <v>0</v>
      </c>
      <c r="BC2" s="639">
        <f t="shared" ref="BC2:BC64" si="13">AV2+AR2</f>
        <v>38000</v>
      </c>
      <c r="BD2" s="639">
        <f t="shared" ref="BD2:BD64" si="14">AU2+AK2</f>
        <v>38000</v>
      </c>
      <c r="BE2" s="639">
        <f t="shared" ref="BE2:BE32" si="15">N2+AH2</f>
        <v>8000</v>
      </c>
      <c r="BF2" s="639">
        <f t="shared" ref="BF2:BF32" si="16">AS2+AQ2+AW2</f>
        <v>38000</v>
      </c>
      <c r="BG2" s="639">
        <f>IF(Z2="ب 1",ROUND((BA2-AE2-N2)*1%,2),0)</f>
        <v>2323.6999999999998</v>
      </c>
      <c r="BH2" s="683">
        <f>IF(AND(Z2="ب 1",P2=1),ROUND((BA2-AE2-N2)*1.5%,2),IF(P2=1,ROUND((BA2-AE2)*1.5%,2),0))</f>
        <v>3485.55</v>
      </c>
      <c r="BI2" s="683">
        <f>IF(O2=1,9523.81,0)</f>
        <v>0</v>
      </c>
      <c r="BJ2" s="641">
        <f>IF(Z2="ب 1",ROUND((BA2-AE2-N2),2),ROUND((BA2-AE2),2))</f>
        <v>232370</v>
      </c>
      <c r="BK2" s="641">
        <f>ROUND((BJ2*9%),2)</f>
        <v>20913.3</v>
      </c>
      <c r="BL2" s="641">
        <f>IF(Z2="ب 1",ROUNDDOWN((BA2-BK2-AI2-N2),2),ROUNDDOWN((BA2-BK2-AI2-AH2),2))</f>
        <v>207606.7</v>
      </c>
      <c r="BM2" s="684">
        <f>IF(Z2="ب 1",ROUND((29500+(BL2-120000)*35%)/2,2),(ROUND((IF((BL2&gt;1500),(IF(OR(BL2&gt;22500),IF(AND(BL2&gt;22500),(BL2-22500)*12%)+IF(AND(BL2&gt;28750),(BL2-28750)*8%)+IF(AND(BL2&gt;30000),(BL2-30000)*10%)+1500,IF(AND((BL2&gt;1500),(BL2&lt;=22500)),(BL2-15000)*20%))))/2),2)))</f>
        <v>30081.17</v>
      </c>
      <c r="BN2" s="638" t="s">
        <v>760</v>
      </c>
      <c r="BO2" s="682" t="str">
        <f>CONCATENATE(Z2," ",LOOKUP(D2,'f-travail'!A:A,'f-travail'!F:F))</f>
        <v>ب 1 أ 16</v>
      </c>
      <c r="BP2" s="669" t="str">
        <f t="shared" ref="BP2:BP64" si="17">IF(G2="",CONCATENATE(G2," ",E2),CONCATENATE(G2," (",E2,")"))</f>
        <v>مدير ولائي (مفتش رئيس)</v>
      </c>
    </row>
    <row r="3" spans="1:68">
      <c r="A3" s="636">
        <f>A2+1</f>
        <v>2</v>
      </c>
      <c r="B3" s="637" t="s">
        <v>874</v>
      </c>
      <c r="C3" s="637" t="s">
        <v>875</v>
      </c>
      <c r="D3" s="652">
        <v>6</v>
      </c>
      <c r="E3" s="679" t="str">
        <f>LOOKUP(D3,'f-travail'!A:A,'f-travail'!B:B)</f>
        <v>مفتش قسم</v>
      </c>
      <c r="F3" s="650" t="s">
        <v>539</v>
      </c>
      <c r="G3" s="650" t="s">
        <v>357</v>
      </c>
      <c r="H3" s="653">
        <v>11</v>
      </c>
      <c r="I3" s="653">
        <v>2</v>
      </c>
      <c r="J3" s="654" t="s">
        <v>542</v>
      </c>
      <c r="K3" s="650">
        <v>4</v>
      </c>
      <c r="L3" s="650">
        <v>3</v>
      </c>
      <c r="M3" s="650">
        <v>0</v>
      </c>
      <c r="N3" s="654">
        <v>8000</v>
      </c>
      <c r="O3" s="654">
        <v>1</v>
      </c>
      <c r="P3" s="654">
        <v>1</v>
      </c>
      <c r="Q3" s="654"/>
      <c r="R3" s="676">
        <v>326532</v>
      </c>
      <c r="S3" s="654" t="s">
        <v>549</v>
      </c>
      <c r="T3" s="675"/>
      <c r="U3" s="675"/>
      <c r="V3" s="670">
        <f>LOOKUP(D3,'f-travail'!A:A,'f-travail'!E:E)</f>
        <v>14</v>
      </c>
      <c r="W3" s="670">
        <f>VLOOKUP(V3,جرقمإستدلالي,'f-travail'!$AD$4+1,FALSE)</f>
        <v>621</v>
      </c>
      <c r="X3" s="671">
        <f t="shared" si="0"/>
        <v>342</v>
      </c>
      <c r="Y3" s="671">
        <f>IF(G3="مدير ولائي",(HLOOKUP(I3,جدروظعليا,'f-travail'!$AT$3+1,FALSE)-3200),0)</f>
        <v>320</v>
      </c>
      <c r="Z3" s="672" t="str">
        <f t="shared" ref="Z3:Z65" si="18">IF(OR(G3="رئيس مفتشية",G3="محافظ عقاري",G3="رئيس مصلحة"),"م8",IF(G3="رئيس مكتب","م7",IF(G3="رئيس قسم","م5",IF(G3="رئيس حضيرة","م3",IF(G3="مدير ولائي","ب 1","")))))</f>
        <v>ب 1</v>
      </c>
      <c r="AA3" s="671">
        <f t="shared" ref="AA3:AA65" si="19">IF(Z3="م8",195,IF(Z3="م7",145,IF(Z3="م5",75,IF(Z3="م3",45,0))))</f>
        <v>0</v>
      </c>
      <c r="AB3" s="677" t="str">
        <f t="shared" ref="AB3:AB64" si="20">IF(OR(J3="متزوج(ة)",J3="متزوج(ة)ماكثة",J3="متزوج(ة)عاملة"),(CONCATENATE("م","(",K3,")")),IF(J3="مطلق(ة)",(CONCATENATE("مط","(",K3,")")),IF(J3="عازب(ة)","ع",IF(J3="عازب(ة)كفيل",CONCATENATE("ع/ك","(",K3,")")))))</f>
        <v>م(4)</v>
      </c>
      <c r="AC3" s="678">
        <f t="shared" ref="AC3:AC8" si="21">IF(AND(J3="متزوج(ة)ماكثة",K3=0),5.5,IF(AND(J3="متزوج(ة)ماكثة",K3&gt;0),800,0))</f>
        <v>800</v>
      </c>
      <c r="AD3" s="673">
        <f t="shared" si="1"/>
        <v>33.75</v>
      </c>
      <c r="AE3" s="678">
        <f t="shared" si="2"/>
        <v>2033.75</v>
      </c>
      <c r="AF3" s="678">
        <f t="shared" si="3"/>
        <v>60800</v>
      </c>
      <c r="AG3" s="678">
        <f t="shared" si="4"/>
        <v>6080</v>
      </c>
      <c r="AH3" s="673">
        <f t="shared" ref="AH3:AH65" si="22">IF(OR(G3="مدير ولائي",M3=0),0,IF(M3=1,2000))</f>
        <v>0</v>
      </c>
      <c r="AI3" s="674">
        <f>IF(G3="مدير ولائي",(11000*35%),LOOKUP(D3,'f-travail'!A:A,'f-travail'!I:I))</f>
        <v>3850</v>
      </c>
      <c r="AJ3" s="673">
        <f>IF(G3="مدير ولائي",((W3+X3)*45)*80%,IF(V3&lt;8,0,IF(F3="إليزي",(LOOKUP(D3,'f-travail'!A:A,'f-travail'!O:O))*(AF3+AG3),LOOKUP(D3,'f-travail'!A:A,'f-travail'!P:P)*(AF3+AG3))))</f>
        <v>34668</v>
      </c>
      <c r="AK3" s="673">
        <f>IF(G3="مدير ولائي",0,LOOKUP(D3,'f-travail'!A:A,'f-travail'!Q:Q))</f>
        <v>0</v>
      </c>
      <c r="AL3" s="673">
        <f>IF(G3="مدير ولائي",0,LOOKUP(D3,'f-travail'!A:A,'f-travail'!R:R)*(AF3+AG3))</f>
        <v>0</v>
      </c>
      <c r="AM3" s="673">
        <f>IF(G3="مدير ولائي",0,LOOKUP(D3,'f-travail'!A:A,'f-travail'!S:S)*(AF3+AG3))</f>
        <v>0</v>
      </c>
      <c r="AN3" s="673">
        <f>IF(G3="مدير ولائي",0,LOOKUP(D3,'f-travail'!A:A,'f-travail'!T:T)*(AF3+AG3))</f>
        <v>0</v>
      </c>
      <c r="AO3" s="673">
        <f>IF(G3="مدير ولائي",0,LOOKUP(D3,'f-travail'!A:A,'f-travail'!U:U)*(AF3+AG3))</f>
        <v>0</v>
      </c>
      <c r="AP3" s="673">
        <f>IF(G3="مدير ولائي",0,LOOKUP(D3,'f-travail'!A:A,'f-travail'!V:V)*(AF3+AG3))</f>
        <v>0</v>
      </c>
      <c r="AQ3" s="673">
        <f>IF(G3="مدير ولائي",0,LOOKUP(D3,'f-travail'!A:A,'f-travail'!W:W)*(AF3+AG3))</f>
        <v>0</v>
      </c>
      <c r="AR3" s="673">
        <f t="shared" ref="AR3:AR65" si="23">IF(G3="أمين صندوق",4000,0)</f>
        <v>0</v>
      </c>
      <c r="AS3" s="673">
        <f>IF(G3="مدير ولائي",0,LOOKUP(D3,'f-travail'!A:A,'f-travail'!X:X)*(AF3+AG3))</f>
        <v>0</v>
      </c>
      <c r="AT3" s="673">
        <f>IF(G3="مدير ولائي",0,LOOKUP(D3,'f-travail'!Y:Y,'f-travail'!R:R)*(AF3+AG3))</f>
        <v>0</v>
      </c>
      <c r="AU3" s="673">
        <f t="shared" si="5"/>
        <v>33440</v>
      </c>
      <c r="AV3" s="673">
        <f t="shared" si="6"/>
        <v>33440</v>
      </c>
      <c r="AW3" s="673">
        <f t="shared" si="7"/>
        <v>33440</v>
      </c>
      <c r="AX3" s="637" t="str">
        <f t="shared" si="8"/>
        <v>فففففففففففففففففففف</v>
      </c>
      <c r="AY3" s="640" t="str">
        <f t="shared" si="9"/>
        <v>ب 1 أ 14 - د 2</v>
      </c>
      <c r="AZ3" s="673">
        <f t="shared" si="10"/>
        <v>66880</v>
      </c>
      <c r="BA3" s="639">
        <f t="shared" si="11"/>
        <v>215751.75</v>
      </c>
      <c r="BB3" s="639">
        <f t="shared" si="12"/>
        <v>0</v>
      </c>
      <c r="BC3" s="639">
        <f t="shared" si="13"/>
        <v>33440</v>
      </c>
      <c r="BD3" s="639">
        <f t="shared" si="14"/>
        <v>33440</v>
      </c>
      <c r="BE3" s="639">
        <f t="shared" si="15"/>
        <v>8000</v>
      </c>
      <c r="BF3" s="639">
        <f t="shared" si="16"/>
        <v>33440</v>
      </c>
      <c r="BG3" s="639">
        <f t="shared" ref="BG3:BG65" si="24">IF(Z3="ب 1",ROUND((BA3-AE3-N3)*1%,2),0)</f>
        <v>2057.1799999999998</v>
      </c>
      <c r="BH3" s="683">
        <f t="shared" ref="BH3:BH65" si="25">IF(AND(Z3="ب 1",P3=1),ROUND((BA3-AE3-N3)*1.5%,2),IF(P3=1,ROUND((BA3-AE3)*1.5%,2),0))</f>
        <v>3085.77</v>
      </c>
      <c r="BI3" s="683">
        <f t="shared" ref="BI3:BI65" si="26">IF(O3=1,9523.81,0)</f>
        <v>9523.81</v>
      </c>
      <c r="BJ3" s="641">
        <f t="shared" ref="BJ3:BJ65" si="27">IF(Z3="ب 1",ROUND((BA3-AE3-N3),2),ROUND((BA3-AE3),2))</f>
        <v>205718</v>
      </c>
      <c r="BK3" s="641">
        <f t="shared" ref="BK3:BK65" si="28">ROUND((BJ3*9%),2)</f>
        <v>18514.62</v>
      </c>
      <c r="BL3" s="641">
        <f t="shared" ref="BL3:BL65" si="29">IF(Z3="ب 1",ROUNDDOWN((BA3-BK3-AI3-N3),2),ROUNDDOWN((BA3-BK3-AI3-AH3),2))</f>
        <v>185387.13</v>
      </c>
      <c r="BM3" s="684">
        <f t="shared" ref="BM3:BM65" si="30">IF(Z3="ب 1",ROUND((29500+(BL3-120000)*35%)/2,2),(ROUND((IF((BL3&gt;1500),(IF(OR(BL3&gt;22500),IF(AND(BL3&gt;22500),(BL3-22500)*12%)+IF(AND(BL3&gt;28750),(BL3-28750)*8%)+IF(AND(BL3&gt;30000),(BL3-30000)*10%)+1500,IF(AND((BL3&gt;1500),(BL3&lt;=22500)),(BL3-15000)*20%))))/2),2)))</f>
        <v>26192.75</v>
      </c>
      <c r="BN3" s="638" t="s">
        <v>760</v>
      </c>
      <c r="BO3" s="682" t="str">
        <f>CONCATENATE(Z3," ",LOOKUP(D3,'f-travail'!A:A,'f-travail'!F:F))</f>
        <v>ب 1 أ 14</v>
      </c>
      <c r="BP3" s="669" t="str">
        <f t="shared" si="17"/>
        <v>مدير ولائي (مفتش قسم)</v>
      </c>
    </row>
    <row r="4" spans="1:68">
      <c r="A4" s="636">
        <f t="shared" ref="A4:A67" si="31">A3+1</f>
        <v>3</v>
      </c>
      <c r="B4" s="637" t="s">
        <v>876</v>
      </c>
      <c r="C4" s="637" t="s">
        <v>877</v>
      </c>
      <c r="D4" s="652">
        <v>6</v>
      </c>
      <c r="E4" s="679" t="str">
        <f>LOOKUP(D4,'f-travail'!A:A,'f-travail'!B:B)</f>
        <v>مفتش قسم</v>
      </c>
      <c r="F4" s="650" t="s">
        <v>539</v>
      </c>
      <c r="G4" s="650"/>
      <c r="H4" s="653">
        <v>9</v>
      </c>
      <c r="I4" s="653"/>
      <c r="J4" s="654" t="s">
        <v>543</v>
      </c>
      <c r="K4" s="650"/>
      <c r="L4" s="650"/>
      <c r="M4" s="650">
        <v>1</v>
      </c>
      <c r="N4" s="654"/>
      <c r="O4" s="654"/>
      <c r="P4" s="654">
        <v>1</v>
      </c>
      <c r="Q4" s="654"/>
      <c r="R4" s="676">
        <v>22222222222</v>
      </c>
      <c r="S4" s="654" t="s">
        <v>562</v>
      </c>
      <c r="T4" s="675"/>
      <c r="U4" s="675"/>
      <c r="V4" s="670">
        <f>LOOKUP(D4,'f-travail'!A:A,'f-travail'!E:E)</f>
        <v>14</v>
      </c>
      <c r="W4" s="670">
        <f>VLOOKUP(V4,جرقمإستدلالي,'f-travail'!$AD$4+1,FALSE)</f>
        <v>621</v>
      </c>
      <c r="X4" s="671">
        <f t="shared" si="0"/>
        <v>279</v>
      </c>
      <c r="Y4" s="671">
        <f>IF(G4="مدير ولائي",(HLOOKUP(I4,جدروظعليا,'f-travail'!$AT$3+1,FALSE)-3200),0)</f>
        <v>0</v>
      </c>
      <c r="Z4" s="672" t="str">
        <f t="shared" si="18"/>
        <v/>
      </c>
      <c r="AA4" s="671">
        <f t="shared" si="19"/>
        <v>0</v>
      </c>
      <c r="AB4" s="677" t="str">
        <f t="shared" si="20"/>
        <v>م()</v>
      </c>
      <c r="AC4" s="678">
        <f t="shared" si="21"/>
        <v>0</v>
      </c>
      <c r="AD4" s="673">
        <f t="shared" si="1"/>
        <v>0</v>
      </c>
      <c r="AE4" s="678">
        <f t="shared" si="2"/>
        <v>0</v>
      </c>
      <c r="AF4" s="678">
        <f t="shared" si="3"/>
        <v>27945</v>
      </c>
      <c r="AG4" s="678">
        <f t="shared" si="4"/>
        <v>12555</v>
      </c>
      <c r="AH4" s="673">
        <f t="shared" si="22"/>
        <v>2000</v>
      </c>
      <c r="AI4" s="674">
        <f>IF(G4="مدير ولائي",(11000*35%),LOOKUP(D4,'f-travail'!A:A,'f-travail'!I:I))</f>
        <v>1869</v>
      </c>
      <c r="AJ4" s="673">
        <f>IF(G4="مدير ولائي",((W4+X4)*45)*80%,IF(V4&lt;8,0,IF(F4="إليزي",(LOOKUP(D4,'f-travail'!A:A,'f-travail'!O:O))*(AF4+AG4),LOOKUP(D4,'f-travail'!A:A,'f-travail'!P:P)*(AF4+AG4))))</f>
        <v>32400</v>
      </c>
      <c r="AK4" s="673">
        <f>IF(G4="مدير ولائي",0,LOOKUP(D4,'f-travail'!A:A,'f-travail'!Q:Q))</f>
        <v>1500</v>
      </c>
      <c r="AL4" s="673">
        <f>IF(G4="مدير ولائي",0,LOOKUP(D4,'f-travail'!A:A,'f-travail'!R:R)*(AF4+AG4))</f>
        <v>0</v>
      </c>
      <c r="AM4" s="673">
        <f>IF(G4="مدير ولائي",0,LOOKUP(D4,'f-travail'!A:A,'f-travail'!S:S)*(AF4+AG4))</f>
        <v>0</v>
      </c>
      <c r="AN4" s="673">
        <f>IF(G4="مدير ولائي",0,LOOKUP(D4,'f-travail'!A:A,'f-travail'!T:T)*(AF4+AG4))</f>
        <v>0</v>
      </c>
      <c r="AO4" s="673">
        <f>IF(G4="مدير ولائي",0,LOOKUP(D4,'f-travail'!A:A,'f-travail'!U:U)*(AF4+AG4))</f>
        <v>0</v>
      </c>
      <c r="AP4" s="673">
        <f>IF(G4="مدير ولائي",0,LOOKUP(D4,'f-travail'!A:A,'f-travail'!V:V)*(AF4+AG4))</f>
        <v>16200</v>
      </c>
      <c r="AQ4" s="673">
        <f>IF(G4="مدير ولائي",0,LOOKUP(D4,'f-travail'!A:A,'f-travail'!W:W)*(AF4+AG4))</f>
        <v>10125</v>
      </c>
      <c r="AR4" s="673">
        <f t="shared" si="23"/>
        <v>0</v>
      </c>
      <c r="AS4" s="673">
        <f>IF(G4="مدير ولائي",0,LOOKUP(D4,'f-travail'!A:A,'f-travail'!X:X)*(AF4+AG4))</f>
        <v>0</v>
      </c>
      <c r="AT4" s="673">
        <f>IF(G4="مدير ولائي",0,LOOKUP(D4,'f-travail'!Y:Y,'f-travail'!R:R)*(AF4+AG4))</f>
        <v>0</v>
      </c>
      <c r="AU4" s="673">
        <f t="shared" si="5"/>
        <v>0</v>
      </c>
      <c r="AV4" s="673">
        <f t="shared" si="6"/>
        <v>0</v>
      </c>
      <c r="AW4" s="673">
        <f t="shared" si="7"/>
        <v>0</v>
      </c>
      <c r="AX4" s="637" t="str">
        <f t="shared" si="8"/>
        <v>يسلللللللسيييييييي</v>
      </c>
      <c r="AY4" s="640" t="str">
        <f t="shared" si="9"/>
        <v xml:space="preserve"> أ 14 - د 9</v>
      </c>
      <c r="AZ4" s="673">
        <f t="shared" si="10"/>
        <v>40500</v>
      </c>
      <c r="BA4" s="639">
        <f t="shared" si="11"/>
        <v>104594</v>
      </c>
      <c r="BB4" s="639">
        <f t="shared" si="12"/>
        <v>16200</v>
      </c>
      <c r="BC4" s="639">
        <f t="shared" si="13"/>
        <v>0</v>
      </c>
      <c r="BD4" s="639">
        <f t="shared" si="14"/>
        <v>1500</v>
      </c>
      <c r="BE4" s="639">
        <f t="shared" si="15"/>
        <v>2000</v>
      </c>
      <c r="BF4" s="639">
        <f t="shared" si="16"/>
        <v>10125</v>
      </c>
      <c r="BG4" s="639">
        <f t="shared" si="24"/>
        <v>0</v>
      </c>
      <c r="BH4" s="683">
        <f t="shared" si="25"/>
        <v>1568.91</v>
      </c>
      <c r="BI4" s="683">
        <f t="shared" si="26"/>
        <v>0</v>
      </c>
      <c r="BJ4" s="641">
        <f t="shared" si="27"/>
        <v>104594</v>
      </c>
      <c r="BK4" s="641">
        <f t="shared" si="28"/>
        <v>9413.4599999999991</v>
      </c>
      <c r="BL4" s="641">
        <f t="shared" si="29"/>
        <v>91311.54</v>
      </c>
      <c r="BM4" s="684">
        <f t="shared" si="30"/>
        <v>10446.73</v>
      </c>
      <c r="BN4" s="638" t="s">
        <v>760</v>
      </c>
      <c r="BO4" s="682" t="str">
        <f>CONCATENATE(Z4," ",LOOKUP(D4,'f-travail'!A:A,'f-travail'!F:F))</f>
        <v xml:space="preserve"> أ 14</v>
      </c>
      <c r="BP4" s="669" t="str">
        <f t="shared" si="17"/>
        <v xml:space="preserve"> مفتش قسم</v>
      </c>
    </row>
    <row r="5" spans="1:68">
      <c r="A5" s="636">
        <f t="shared" si="31"/>
        <v>4</v>
      </c>
      <c r="B5" s="637" t="s">
        <v>878</v>
      </c>
      <c r="C5" s="637" t="s">
        <v>879</v>
      </c>
      <c r="D5" s="652">
        <v>6</v>
      </c>
      <c r="E5" s="679" t="str">
        <f>LOOKUP(D5,'f-travail'!A:A,'f-travail'!B:B)</f>
        <v>مفتش قسم</v>
      </c>
      <c r="F5" s="650" t="s">
        <v>539</v>
      </c>
      <c r="G5" s="650" t="s">
        <v>355</v>
      </c>
      <c r="H5" s="653">
        <v>7</v>
      </c>
      <c r="I5" s="653"/>
      <c r="J5" s="654" t="s">
        <v>543</v>
      </c>
      <c r="K5" s="650">
        <v>4</v>
      </c>
      <c r="L5" s="650"/>
      <c r="M5" s="650">
        <v>0</v>
      </c>
      <c r="N5" s="654"/>
      <c r="O5" s="654"/>
      <c r="P5" s="654"/>
      <c r="Q5" s="654"/>
      <c r="R5" s="676">
        <v>111111111</v>
      </c>
      <c r="S5" s="654" t="s">
        <v>550</v>
      </c>
      <c r="T5" s="675"/>
      <c r="U5" s="675"/>
      <c r="V5" s="670">
        <f>LOOKUP(D5,'f-travail'!A:A,'f-travail'!E:E)</f>
        <v>14</v>
      </c>
      <c r="W5" s="670">
        <f>VLOOKUP(V5,جرقمإستدلالي,'f-travail'!$AD$4+1,FALSE)</f>
        <v>621</v>
      </c>
      <c r="X5" s="671">
        <f t="shared" si="0"/>
        <v>217</v>
      </c>
      <c r="Y5" s="671">
        <f>IF(G5="مدير ولائي",(HLOOKUP(I5,جدروظعليا,'f-travail'!$AT$3+1,FALSE)-3200),0)</f>
        <v>0</v>
      </c>
      <c r="Z5" s="672" t="str">
        <f t="shared" si="18"/>
        <v>م8</v>
      </c>
      <c r="AA5" s="671">
        <f t="shared" si="19"/>
        <v>195</v>
      </c>
      <c r="AB5" s="677" t="str">
        <f t="shared" si="20"/>
        <v>م(4)</v>
      </c>
      <c r="AC5" s="678">
        <f t="shared" si="21"/>
        <v>0</v>
      </c>
      <c r="AD5" s="673">
        <f t="shared" si="1"/>
        <v>0</v>
      </c>
      <c r="AE5" s="678">
        <f t="shared" si="2"/>
        <v>1200</v>
      </c>
      <c r="AF5" s="678">
        <f t="shared" si="3"/>
        <v>27945</v>
      </c>
      <c r="AG5" s="678">
        <f t="shared" si="4"/>
        <v>9765</v>
      </c>
      <c r="AH5" s="673">
        <f t="shared" si="22"/>
        <v>0</v>
      </c>
      <c r="AI5" s="674">
        <f>IF(G5="مدير ولائي",(11000*35%),LOOKUP(D5,'f-travail'!A:A,'f-travail'!I:I))</f>
        <v>1869</v>
      </c>
      <c r="AJ5" s="673">
        <f>IF(G5="مدير ولائي",((W5+X5)*45)*80%,IF(V5&lt;8,0,IF(F5="إليزي",(LOOKUP(D5,'f-travail'!A:A,'f-travail'!O:O))*(AF5+AG5),LOOKUP(D5,'f-travail'!A:A,'f-travail'!P:P)*(AF5+AG5))))</f>
        <v>30168</v>
      </c>
      <c r="AK5" s="673">
        <f>IF(G5="مدير ولائي",0,LOOKUP(D5,'f-travail'!A:A,'f-travail'!Q:Q))</f>
        <v>1500</v>
      </c>
      <c r="AL5" s="673">
        <f>IF(G5="مدير ولائي",0,LOOKUP(D5,'f-travail'!A:A,'f-travail'!R:R)*(AF5+AG5))</f>
        <v>0</v>
      </c>
      <c r="AM5" s="673">
        <f>IF(G5="مدير ولائي",0,LOOKUP(D5,'f-travail'!A:A,'f-travail'!S:S)*(AF5+AG5))</f>
        <v>0</v>
      </c>
      <c r="AN5" s="673">
        <f>IF(G5="مدير ولائي",0,LOOKUP(D5,'f-travail'!A:A,'f-travail'!T:T)*(AF5+AG5))</f>
        <v>0</v>
      </c>
      <c r="AO5" s="673">
        <f>IF(G5="مدير ولائي",0,LOOKUP(D5,'f-travail'!A:A,'f-travail'!U:U)*(AF5+AG5))</f>
        <v>0</v>
      </c>
      <c r="AP5" s="673">
        <f>IF(G5="مدير ولائي",0,LOOKUP(D5,'f-travail'!A:A,'f-travail'!V:V)*(AF5+AG5))</f>
        <v>15084</v>
      </c>
      <c r="AQ5" s="673">
        <f>IF(G5="مدير ولائي",0,LOOKUP(D5,'f-travail'!A:A,'f-travail'!W:W)*(AF5+AG5))</f>
        <v>9427.5</v>
      </c>
      <c r="AR5" s="673">
        <f t="shared" si="23"/>
        <v>0</v>
      </c>
      <c r="AS5" s="673">
        <f>IF(G5="مدير ولائي",0,LOOKUP(D5,'f-travail'!A:A,'f-travail'!X:X)*(AF5+AG5))</f>
        <v>0</v>
      </c>
      <c r="AT5" s="673">
        <f>IF(G5="مدير ولائي",0,LOOKUP(D5,'f-travail'!Y:Y,'f-travail'!R:R)*(AF5+AG5))</f>
        <v>0</v>
      </c>
      <c r="AU5" s="673">
        <f t="shared" si="5"/>
        <v>0</v>
      </c>
      <c r="AV5" s="673">
        <f t="shared" si="6"/>
        <v>0</v>
      </c>
      <c r="AW5" s="673">
        <f t="shared" si="7"/>
        <v>0</v>
      </c>
      <c r="AX5" s="637" t="str">
        <f t="shared" si="8"/>
        <v>ررءرءؤرؤءرليسليسليسل</v>
      </c>
      <c r="AY5" s="640" t="str">
        <f t="shared" si="9"/>
        <v>م8 أ 14 - د 7</v>
      </c>
      <c r="AZ5" s="673">
        <f t="shared" si="10"/>
        <v>46485</v>
      </c>
      <c r="BA5" s="639">
        <f t="shared" si="11"/>
        <v>105733.5</v>
      </c>
      <c r="BB5" s="639">
        <f t="shared" si="12"/>
        <v>15084</v>
      </c>
      <c r="BC5" s="639">
        <f t="shared" si="13"/>
        <v>0</v>
      </c>
      <c r="BD5" s="639">
        <f t="shared" si="14"/>
        <v>1500</v>
      </c>
      <c r="BE5" s="639">
        <f t="shared" si="15"/>
        <v>0</v>
      </c>
      <c r="BF5" s="639">
        <f t="shared" si="16"/>
        <v>9427.5</v>
      </c>
      <c r="BG5" s="639">
        <f t="shared" si="24"/>
        <v>0</v>
      </c>
      <c r="BH5" s="683">
        <f t="shared" si="25"/>
        <v>0</v>
      </c>
      <c r="BI5" s="683">
        <f t="shared" si="26"/>
        <v>0</v>
      </c>
      <c r="BJ5" s="641">
        <f t="shared" si="27"/>
        <v>104533.5</v>
      </c>
      <c r="BK5" s="641">
        <f t="shared" si="28"/>
        <v>9408.02</v>
      </c>
      <c r="BL5" s="641">
        <f t="shared" si="29"/>
        <v>94456.48</v>
      </c>
      <c r="BM5" s="684">
        <f t="shared" si="30"/>
        <v>10918.47</v>
      </c>
      <c r="BN5" s="638" t="s">
        <v>760</v>
      </c>
      <c r="BO5" s="682" t="str">
        <f>CONCATENATE(Z5," ",LOOKUP(D5,'f-travail'!A:A,'f-travail'!F:F))</f>
        <v>م8 أ 14</v>
      </c>
      <c r="BP5" s="669" t="str">
        <f t="shared" si="17"/>
        <v>رئيس مصلحة (مفتش قسم)</v>
      </c>
    </row>
    <row r="6" spans="1:68">
      <c r="A6" s="636">
        <f t="shared" si="31"/>
        <v>5</v>
      </c>
      <c r="B6" s="637" t="s">
        <v>880</v>
      </c>
      <c r="C6" s="637" t="s">
        <v>881</v>
      </c>
      <c r="D6" s="652">
        <v>6</v>
      </c>
      <c r="E6" s="679" t="str">
        <f>LOOKUP(D6,'f-travail'!A:A,'f-travail'!B:B)</f>
        <v>مفتش قسم</v>
      </c>
      <c r="F6" s="650" t="s">
        <v>539</v>
      </c>
      <c r="G6" s="650" t="s">
        <v>355</v>
      </c>
      <c r="H6" s="653">
        <v>11</v>
      </c>
      <c r="I6" s="653"/>
      <c r="J6" s="654" t="s">
        <v>542</v>
      </c>
      <c r="K6" s="650">
        <v>5</v>
      </c>
      <c r="L6" s="650">
        <v>2</v>
      </c>
      <c r="M6" s="650">
        <v>0</v>
      </c>
      <c r="N6" s="654"/>
      <c r="O6" s="654"/>
      <c r="P6" s="654"/>
      <c r="Q6" s="654"/>
      <c r="R6" s="676">
        <v>555555</v>
      </c>
      <c r="S6" s="654" t="s">
        <v>550</v>
      </c>
      <c r="T6" s="675"/>
      <c r="U6" s="675"/>
      <c r="V6" s="670">
        <f>LOOKUP(D6,'f-travail'!A:A,'f-travail'!E:E)</f>
        <v>14</v>
      </c>
      <c r="W6" s="670">
        <f>VLOOKUP(V6,جرقمإستدلالي,'f-travail'!$AD$4+1,FALSE)</f>
        <v>621</v>
      </c>
      <c r="X6" s="671">
        <f t="shared" si="0"/>
        <v>342</v>
      </c>
      <c r="Y6" s="671">
        <f>IF(G6="مدير ولائي",(HLOOKUP(I6,جدروظعليا,'f-travail'!$AT$3+1,FALSE)-3200),0)</f>
        <v>0</v>
      </c>
      <c r="Z6" s="672" t="str">
        <f t="shared" si="18"/>
        <v>م8</v>
      </c>
      <c r="AA6" s="671">
        <f t="shared" si="19"/>
        <v>195</v>
      </c>
      <c r="AB6" s="677" t="str">
        <f t="shared" si="20"/>
        <v>م(5)</v>
      </c>
      <c r="AC6" s="678">
        <f t="shared" si="21"/>
        <v>800</v>
      </c>
      <c r="AD6" s="673">
        <f t="shared" si="1"/>
        <v>22.5</v>
      </c>
      <c r="AE6" s="678">
        <f t="shared" si="2"/>
        <v>2322.5</v>
      </c>
      <c r="AF6" s="678">
        <f t="shared" si="3"/>
        <v>27945</v>
      </c>
      <c r="AG6" s="678">
        <f t="shared" si="4"/>
        <v>15390</v>
      </c>
      <c r="AH6" s="673">
        <f t="shared" si="22"/>
        <v>0</v>
      </c>
      <c r="AI6" s="674">
        <f>IF(G6="مدير ولائي",(11000*35%),LOOKUP(D6,'f-travail'!A:A,'f-travail'!I:I))</f>
        <v>1869</v>
      </c>
      <c r="AJ6" s="673">
        <f>IF(G6="مدير ولائي",((W6+X6)*45)*80%,IF(V6&lt;8,0,IF(F6="إليزي",(LOOKUP(D6,'f-travail'!A:A,'f-travail'!O:O))*(AF6+AG6),LOOKUP(D6,'f-travail'!A:A,'f-travail'!P:P)*(AF6+AG6))))</f>
        <v>34668</v>
      </c>
      <c r="AK6" s="673">
        <f>IF(G6="مدير ولائي",0,LOOKUP(D6,'f-travail'!A:A,'f-travail'!Q:Q))</f>
        <v>1500</v>
      </c>
      <c r="AL6" s="673">
        <f>IF(G6="مدير ولائي",0,LOOKUP(D6,'f-travail'!A:A,'f-travail'!R:R)*(AF6+AG6))</f>
        <v>0</v>
      </c>
      <c r="AM6" s="673">
        <f>IF(G6="مدير ولائي",0,LOOKUP(D6,'f-travail'!A:A,'f-travail'!S:S)*(AF6+AG6))</f>
        <v>0</v>
      </c>
      <c r="AN6" s="673">
        <f>IF(G6="مدير ولائي",0,LOOKUP(D6,'f-travail'!A:A,'f-travail'!T:T)*(AF6+AG6))</f>
        <v>0</v>
      </c>
      <c r="AO6" s="673">
        <f>IF(G6="مدير ولائي",0,LOOKUP(D6,'f-travail'!A:A,'f-travail'!U:U)*(AF6+AG6))</f>
        <v>0</v>
      </c>
      <c r="AP6" s="673">
        <f>IF(G6="مدير ولائي",0,LOOKUP(D6,'f-travail'!A:A,'f-travail'!V:V)*(AF6+AG6))</f>
        <v>17334</v>
      </c>
      <c r="AQ6" s="673">
        <f>IF(G6="مدير ولائي",0,LOOKUP(D6,'f-travail'!A:A,'f-travail'!W:W)*(AF6+AG6))</f>
        <v>10833.75</v>
      </c>
      <c r="AR6" s="673">
        <f t="shared" si="23"/>
        <v>0</v>
      </c>
      <c r="AS6" s="673">
        <f>IF(G6="مدير ولائي",0,LOOKUP(D6,'f-travail'!A:A,'f-travail'!X:X)*(AF6+AG6))</f>
        <v>0</v>
      </c>
      <c r="AT6" s="673">
        <f>IF(G6="مدير ولائي",0,LOOKUP(D6,'f-travail'!Y:Y,'f-travail'!R:R)*(AF6+AG6))</f>
        <v>0</v>
      </c>
      <c r="AU6" s="673">
        <f t="shared" si="5"/>
        <v>0</v>
      </c>
      <c r="AV6" s="673">
        <f t="shared" si="6"/>
        <v>0</v>
      </c>
      <c r="AW6" s="673">
        <f t="shared" si="7"/>
        <v>0</v>
      </c>
      <c r="AX6" s="637" t="str">
        <f t="shared" si="8"/>
        <v>صثقصقثصقضشللبيسلبيشل</v>
      </c>
      <c r="AY6" s="640" t="str">
        <f t="shared" si="9"/>
        <v>م8 أ 14 - د 11</v>
      </c>
      <c r="AZ6" s="673">
        <f t="shared" si="10"/>
        <v>52110</v>
      </c>
      <c r="BA6" s="639">
        <f t="shared" si="11"/>
        <v>120637.25</v>
      </c>
      <c r="BB6" s="639">
        <f t="shared" si="12"/>
        <v>17334</v>
      </c>
      <c r="BC6" s="639">
        <f t="shared" si="13"/>
        <v>0</v>
      </c>
      <c r="BD6" s="639">
        <f t="shared" si="14"/>
        <v>1500</v>
      </c>
      <c r="BE6" s="639">
        <f t="shared" si="15"/>
        <v>0</v>
      </c>
      <c r="BF6" s="639">
        <f t="shared" si="16"/>
        <v>10833.75</v>
      </c>
      <c r="BG6" s="639">
        <f t="shared" si="24"/>
        <v>0</v>
      </c>
      <c r="BH6" s="683">
        <f t="shared" si="25"/>
        <v>0</v>
      </c>
      <c r="BI6" s="683">
        <f t="shared" si="26"/>
        <v>0</v>
      </c>
      <c r="BJ6" s="641">
        <f t="shared" si="27"/>
        <v>118314.75</v>
      </c>
      <c r="BK6" s="641">
        <f t="shared" si="28"/>
        <v>10648.33</v>
      </c>
      <c r="BL6" s="641">
        <f t="shared" si="29"/>
        <v>108119.92</v>
      </c>
      <c r="BM6" s="684">
        <f t="shared" si="30"/>
        <v>12967.99</v>
      </c>
      <c r="BN6" s="638" t="s">
        <v>760</v>
      </c>
      <c r="BO6" s="682" t="str">
        <f>CONCATENATE(Z6," ",LOOKUP(D6,'f-travail'!A:A,'f-travail'!F:F))</f>
        <v>م8 أ 14</v>
      </c>
      <c r="BP6" s="669" t="str">
        <f t="shared" si="17"/>
        <v>رئيس مصلحة (مفتش قسم)</v>
      </c>
    </row>
    <row r="7" spans="1:68">
      <c r="A7" s="636">
        <f t="shared" si="31"/>
        <v>6</v>
      </c>
      <c r="B7" s="637" t="s">
        <v>882</v>
      </c>
      <c r="C7" s="637" t="s">
        <v>883</v>
      </c>
      <c r="D7" s="652">
        <v>5</v>
      </c>
      <c r="E7" s="679" t="str">
        <f>LOOKUP(D7,'f-travail'!A:A,'f-travail'!B:B)</f>
        <v>متصرف رئيسي</v>
      </c>
      <c r="F7" s="650" t="s">
        <v>539</v>
      </c>
      <c r="G7" s="650" t="s">
        <v>355</v>
      </c>
      <c r="H7" s="653">
        <v>11</v>
      </c>
      <c r="I7" s="653"/>
      <c r="J7" s="654" t="s">
        <v>542</v>
      </c>
      <c r="K7" s="650">
        <v>4</v>
      </c>
      <c r="L7" s="650">
        <v>2</v>
      </c>
      <c r="M7" s="650">
        <v>0</v>
      </c>
      <c r="N7" s="654"/>
      <c r="O7" s="654"/>
      <c r="P7" s="654">
        <v>1</v>
      </c>
      <c r="Q7" s="654"/>
      <c r="R7" s="676">
        <v>6666666</v>
      </c>
      <c r="S7" s="654" t="s">
        <v>550</v>
      </c>
      <c r="T7" s="675"/>
      <c r="U7" s="675"/>
      <c r="V7" s="670">
        <f>LOOKUP(D7,'f-travail'!A:A,'f-travail'!E:E)</f>
        <v>14</v>
      </c>
      <c r="W7" s="670">
        <f>VLOOKUP(V7,جرقمإستدلالي,'f-travail'!$AD$4+1,FALSE)</f>
        <v>621</v>
      </c>
      <c r="X7" s="671">
        <f t="shared" si="0"/>
        <v>342</v>
      </c>
      <c r="Y7" s="671">
        <f>IF(G7="مدير ولائي",(HLOOKUP(I7,جدروظعليا,'f-travail'!$AT$3+1,FALSE)-3200),0)</f>
        <v>0</v>
      </c>
      <c r="Z7" s="672" t="str">
        <f t="shared" si="18"/>
        <v>م8</v>
      </c>
      <c r="AA7" s="671">
        <f t="shared" si="19"/>
        <v>195</v>
      </c>
      <c r="AB7" s="677" t="str">
        <f t="shared" si="20"/>
        <v>م(4)</v>
      </c>
      <c r="AC7" s="678">
        <f t="shared" si="21"/>
        <v>800</v>
      </c>
      <c r="AD7" s="673">
        <f t="shared" si="1"/>
        <v>22.5</v>
      </c>
      <c r="AE7" s="678">
        <f t="shared" si="2"/>
        <v>2022.5</v>
      </c>
      <c r="AF7" s="678">
        <f t="shared" si="3"/>
        <v>27945</v>
      </c>
      <c r="AG7" s="678">
        <f t="shared" si="4"/>
        <v>15390</v>
      </c>
      <c r="AH7" s="673">
        <f t="shared" si="22"/>
        <v>0</v>
      </c>
      <c r="AI7" s="674">
        <f>IF(G7="مدير ولائي",(11000*35%),LOOKUP(D7,'f-travail'!A:A,'f-travail'!I:I))</f>
        <v>1869</v>
      </c>
      <c r="AJ7" s="673">
        <f>IF(G7="مدير ولائي",((W7+X7)*45)*80%,IF(V7&lt;8,0,IF(F7="إليزي",(LOOKUP(D7,'f-travail'!A:A,'f-travail'!O:O))*(AF7+AG7),LOOKUP(D7,'f-travail'!A:A,'f-travail'!P:P)*(AF7+AG7))))</f>
        <v>34668</v>
      </c>
      <c r="AK7" s="673">
        <f>IF(G7="مدير ولائي",0,LOOKUP(D7,'f-travail'!A:A,'f-travail'!Q:Q))</f>
        <v>1500</v>
      </c>
      <c r="AL7" s="673">
        <f>IF(G7="مدير ولائي",0,LOOKUP(D7,'f-travail'!A:A,'f-travail'!R:R)*(AF7+AG7))</f>
        <v>17334</v>
      </c>
      <c r="AM7" s="673">
        <f>IF(G7="مدير ولائي",0,LOOKUP(D7,'f-travail'!A:A,'f-travail'!S:S)*(AF7+AG7))</f>
        <v>0</v>
      </c>
      <c r="AN7" s="673">
        <f>IF(G7="مدير ولائي",0,LOOKUP(D7,'f-travail'!A:A,'f-travail'!T:T)*(AF7+AG7))</f>
        <v>0</v>
      </c>
      <c r="AO7" s="673">
        <f>IF(G7="مدير ولائي",0,LOOKUP(D7,'f-travail'!A:A,'f-travail'!U:U)*(AF7+AG7))</f>
        <v>0</v>
      </c>
      <c r="AP7" s="673">
        <f>IF(G7="مدير ولائي",0,LOOKUP(D7,'f-travail'!A:A,'f-travail'!V:V)*(AF7+AG7))</f>
        <v>0</v>
      </c>
      <c r="AQ7" s="673">
        <f>IF(G7="مدير ولائي",0,LOOKUP(D7,'f-travail'!A:A,'f-travail'!W:W)*(AF7+AG7))</f>
        <v>0</v>
      </c>
      <c r="AR7" s="673">
        <f t="shared" si="23"/>
        <v>0</v>
      </c>
      <c r="AS7" s="673">
        <f>IF(G7="مدير ولائي",0,LOOKUP(D7,'f-travail'!A:A,'f-travail'!X:X)*(AF7+AG7))</f>
        <v>4333.5</v>
      </c>
      <c r="AT7" s="673">
        <f>IF(G7="مدير ولائي",0,LOOKUP(D7,'f-travail'!Y:Y,'f-travail'!R:R)*(AF7+AG7))</f>
        <v>0</v>
      </c>
      <c r="AU7" s="673">
        <f t="shared" si="5"/>
        <v>0</v>
      </c>
      <c r="AV7" s="673">
        <f t="shared" si="6"/>
        <v>0</v>
      </c>
      <c r="AW7" s="673">
        <f t="shared" si="7"/>
        <v>0</v>
      </c>
      <c r="AX7" s="637" t="str">
        <f t="shared" si="8"/>
        <v>صثقثصقثصقصثرسيبرشبيسب</v>
      </c>
      <c r="AY7" s="640" t="str">
        <f t="shared" si="9"/>
        <v>م8 أ 14 - د 11</v>
      </c>
      <c r="AZ7" s="673">
        <f t="shared" si="10"/>
        <v>52110</v>
      </c>
      <c r="BA7" s="639">
        <f t="shared" si="11"/>
        <v>113837</v>
      </c>
      <c r="BB7" s="639">
        <f t="shared" si="12"/>
        <v>17334</v>
      </c>
      <c r="BC7" s="639">
        <f t="shared" si="13"/>
        <v>0</v>
      </c>
      <c r="BD7" s="639">
        <f t="shared" si="14"/>
        <v>1500</v>
      </c>
      <c r="BE7" s="639">
        <f t="shared" si="15"/>
        <v>0</v>
      </c>
      <c r="BF7" s="639">
        <f t="shared" si="16"/>
        <v>4333.5</v>
      </c>
      <c r="BG7" s="639">
        <f t="shared" si="24"/>
        <v>0</v>
      </c>
      <c r="BH7" s="683">
        <f t="shared" si="25"/>
        <v>1677.22</v>
      </c>
      <c r="BI7" s="683">
        <f t="shared" si="26"/>
        <v>0</v>
      </c>
      <c r="BJ7" s="641">
        <f>IF(Z7="ب 1",ROUND((BA7-AE7-N7),2),ROUND((BA7-AE7),2))</f>
        <v>111814.5</v>
      </c>
      <c r="BK7" s="641">
        <f t="shared" si="28"/>
        <v>10063.31</v>
      </c>
      <c r="BL7" s="641">
        <f t="shared" si="29"/>
        <v>101904.69</v>
      </c>
      <c r="BM7" s="684">
        <f t="shared" si="30"/>
        <v>12035.7</v>
      </c>
      <c r="BN7" s="638" t="s">
        <v>760</v>
      </c>
      <c r="BO7" s="682" t="str">
        <f>CONCATENATE(Z7," ",LOOKUP(D7,'f-travail'!A:A,'f-travail'!F:F))</f>
        <v>م8 أ 14</v>
      </c>
      <c r="BP7" s="669" t="str">
        <f t="shared" si="17"/>
        <v>رئيس مصلحة (متصرف رئيسي)</v>
      </c>
    </row>
    <row r="8" spans="1:68">
      <c r="A8" s="636">
        <f t="shared" si="31"/>
        <v>7</v>
      </c>
      <c r="B8" s="637" t="s">
        <v>884</v>
      </c>
      <c r="C8" s="637" t="s">
        <v>872</v>
      </c>
      <c r="D8" s="652">
        <v>13</v>
      </c>
      <c r="E8" s="679" t="str">
        <f>LOOKUP(D8,'f-travail'!A:A,'f-travail'!B:B)</f>
        <v>متصرف</v>
      </c>
      <c r="F8" s="650" t="s">
        <v>539</v>
      </c>
      <c r="G8" s="650" t="s">
        <v>355</v>
      </c>
      <c r="H8" s="653">
        <v>2</v>
      </c>
      <c r="I8" s="653"/>
      <c r="J8" s="654" t="s">
        <v>543</v>
      </c>
      <c r="K8" s="650">
        <v>3</v>
      </c>
      <c r="L8" s="650"/>
      <c r="M8" s="650">
        <v>0</v>
      </c>
      <c r="N8" s="654"/>
      <c r="O8" s="654"/>
      <c r="P8" s="654"/>
      <c r="Q8" s="654"/>
      <c r="R8" s="676">
        <v>7777777777</v>
      </c>
      <c r="S8" s="654" t="s">
        <v>562</v>
      </c>
      <c r="T8" s="675"/>
      <c r="U8" s="675"/>
      <c r="V8" s="670">
        <f>LOOKUP(D8,'f-travail'!A:A,'f-travail'!E:E)</f>
        <v>12</v>
      </c>
      <c r="W8" s="670">
        <f>VLOOKUP(V8,جرقمإستدلالي,'f-travail'!$AD$4+1,FALSE)</f>
        <v>537</v>
      </c>
      <c r="X8" s="671">
        <f t="shared" si="0"/>
        <v>54</v>
      </c>
      <c r="Y8" s="671">
        <f>IF(G8="مدير ولائي",(HLOOKUP(I8,جدروظعليا,'f-travail'!$AT$3+1,FALSE)-3200),0)</f>
        <v>0</v>
      </c>
      <c r="Z8" s="672" t="str">
        <f t="shared" si="18"/>
        <v>م8</v>
      </c>
      <c r="AA8" s="671">
        <f t="shared" si="19"/>
        <v>195</v>
      </c>
      <c r="AB8" s="677" t="str">
        <f t="shared" si="20"/>
        <v>م(3)</v>
      </c>
      <c r="AC8" s="678">
        <f t="shared" si="21"/>
        <v>0</v>
      </c>
      <c r="AD8" s="673">
        <f t="shared" si="1"/>
        <v>0</v>
      </c>
      <c r="AE8" s="678">
        <f t="shared" si="2"/>
        <v>900</v>
      </c>
      <c r="AF8" s="678">
        <f t="shared" si="3"/>
        <v>24165</v>
      </c>
      <c r="AG8" s="678">
        <f t="shared" si="4"/>
        <v>2430</v>
      </c>
      <c r="AH8" s="673">
        <f t="shared" si="22"/>
        <v>0</v>
      </c>
      <c r="AI8" s="674">
        <f>IF(G8="مدير ولائي",(11000*35%),LOOKUP(D8,'f-travail'!A:A,'f-travail'!I:I))</f>
        <v>1519</v>
      </c>
      <c r="AJ8" s="673">
        <f>IF(G8="مدير ولائي",((W8+X8)*45)*80%,IF(V8&lt;8,0,IF(F8="إليزي",(LOOKUP(D8,'f-travail'!A:A,'f-travail'!O:O))*(AF8+AG8),LOOKUP(D8,'f-travail'!A:A,'f-travail'!P:P)*(AF8+AG8))))</f>
        <v>21276</v>
      </c>
      <c r="AK8" s="673">
        <f>IF(G8="مدير ولائي",0,LOOKUP(D8,'f-travail'!A:A,'f-travail'!Q:Q))</f>
        <v>1500</v>
      </c>
      <c r="AL8" s="673">
        <f>IF(G8="مدير ولائي",0,LOOKUP(D8,'f-travail'!A:A,'f-travail'!R:R)*(AF8+AG8))</f>
        <v>10638</v>
      </c>
      <c r="AM8" s="673">
        <f>IF(G8="مدير ولائي",0,LOOKUP(D8,'f-travail'!A:A,'f-travail'!S:S)*(AF8+AG8))</f>
        <v>0</v>
      </c>
      <c r="AN8" s="673">
        <f>IF(G8="مدير ولائي",0,LOOKUP(D8,'f-travail'!A:A,'f-travail'!T:T)*(AF8+AG8))</f>
        <v>0</v>
      </c>
      <c r="AO8" s="673">
        <f>IF(G8="مدير ولائي",0,LOOKUP(D8,'f-travail'!A:A,'f-travail'!U:U)*(AF8+AG8))</f>
        <v>0</v>
      </c>
      <c r="AP8" s="673">
        <f>IF(G8="مدير ولائي",0,LOOKUP(D8,'f-travail'!A:A,'f-travail'!V:V)*(AF8+AG8))</f>
        <v>0</v>
      </c>
      <c r="AQ8" s="673">
        <f>IF(G8="مدير ولائي",0,LOOKUP(D8,'f-travail'!A:A,'f-travail'!W:W)*(AF8+AG8))</f>
        <v>0</v>
      </c>
      <c r="AR8" s="673">
        <f t="shared" si="23"/>
        <v>0</v>
      </c>
      <c r="AS8" s="673">
        <f>IF(G8="مدير ولائي",0,LOOKUP(D8,'f-travail'!A:A,'f-travail'!X:X)*(AF8+AG8))</f>
        <v>2659.5</v>
      </c>
      <c r="AT8" s="673">
        <f>IF(G8="مدير ولائي",0,LOOKUP(D8,'f-travail'!Y:Y,'f-travail'!R:R)*(AF8+AG8))</f>
        <v>0</v>
      </c>
      <c r="AU8" s="673">
        <f t="shared" si="5"/>
        <v>0</v>
      </c>
      <c r="AV8" s="673">
        <f t="shared" si="6"/>
        <v>0</v>
      </c>
      <c r="AW8" s="673">
        <f t="shared" si="7"/>
        <v>0</v>
      </c>
      <c r="AX8" s="637" t="str">
        <f t="shared" si="8"/>
        <v>للللللللبيسلبيليبسل</v>
      </c>
      <c r="AY8" s="640" t="str">
        <f t="shared" si="9"/>
        <v>م8 أ 12 - د 2</v>
      </c>
      <c r="AZ8" s="673">
        <f t="shared" si="10"/>
        <v>35370</v>
      </c>
      <c r="BA8" s="639">
        <f>SUM(BB8:BF8,(AZ8+AT8+AJ8+AI8+AE8))</f>
        <v>73862.5</v>
      </c>
      <c r="BB8" s="639">
        <f t="shared" si="12"/>
        <v>10638</v>
      </c>
      <c r="BC8" s="639">
        <f t="shared" si="13"/>
        <v>0</v>
      </c>
      <c r="BD8" s="639">
        <f t="shared" si="14"/>
        <v>1500</v>
      </c>
      <c r="BE8" s="639">
        <f t="shared" si="15"/>
        <v>0</v>
      </c>
      <c r="BF8" s="639">
        <f t="shared" si="16"/>
        <v>2659.5</v>
      </c>
      <c r="BG8" s="639">
        <f t="shared" si="24"/>
        <v>0</v>
      </c>
      <c r="BH8" s="683">
        <f t="shared" si="25"/>
        <v>0</v>
      </c>
      <c r="BI8" s="683">
        <f t="shared" si="26"/>
        <v>0</v>
      </c>
      <c r="BJ8" s="641">
        <f>IF(Z8="ب 1",ROUND((BA8-AE8-N8),2),ROUND((BA8-AE8),2))</f>
        <v>72962.5</v>
      </c>
      <c r="BK8" s="641">
        <f t="shared" si="28"/>
        <v>6566.63</v>
      </c>
      <c r="BL8" s="641">
        <f t="shared" si="29"/>
        <v>65776.87</v>
      </c>
      <c r="BM8" s="684">
        <f t="shared" si="30"/>
        <v>6616.53</v>
      </c>
      <c r="BN8" s="638" t="s">
        <v>760</v>
      </c>
      <c r="BO8" s="682" t="str">
        <f>CONCATENATE(Z8," ",LOOKUP(D8,'f-travail'!A:A,'f-travail'!F:F))</f>
        <v>م8 أ 12</v>
      </c>
      <c r="BP8" s="669" t="str">
        <f t="shared" si="17"/>
        <v>رئيس مصلحة (متصرف)</v>
      </c>
    </row>
    <row r="9" spans="1:68">
      <c r="A9" s="636">
        <f t="shared" si="31"/>
        <v>8</v>
      </c>
      <c r="B9" s="637" t="s">
        <v>873</v>
      </c>
      <c r="C9" s="637" t="s">
        <v>874</v>
      </c>
      <c r="D9" s="652">
        <v>10</v>
      </c>
      <c r="E9" s="679" t="str">
        <f>LOOKUP(D9,'f-travail'!A:A,'f-travail'!B:B)</f>
        <v>مفتش مركزي</v>
      </c>
      <c r="F9" s="650" t="s">
        <v>539</v>
      </c>
      <c r="G9" s="650" t="s">
        <v>361</v>
      </c>
      <c r="H9" s="653">
        <v>11</v>
      </c>
      <c r="I9" s="653"/>
      <c r="J9" s="654" t="s">
        <v>542</v>
      </c>
      <c r="K9" s="650">
        <v>4</v>
      </c>
      <c r="L9" s="650">
        <v>2</v>
      </c>
      <c r="M9" s="650">
        <v>0</v>
      </c>
      <c r="N9" s="654"/>
      <c r="O9" s="654"/>
      <c r="P9" s="654"/>
      <c r="Q9" s="654"/>
      <c r="R9" s="676">
        <v>7777777777</v>
      </c>
      <c r="S9" s="654" t="s">
        <v>561</v>
      </c>
      <c r="T9" s="675"/>
      <c r="U9" s="675"/>
      <c r="V9" s="670">
        <f>LOOKUP(D9,'f-travail'!A:A,'f-travail'!E:E)</f>
        <v>13</v>
      </c>
      <c r="W9" s="670">
        <f>VLOOKUP(V9,جرقمإستدلالي,'f-travail'!$AD$4+1,FALSE)</f>
        <v>578</v>
      </c>
      <c r="X9" s="671">
        <f t="shared" si="0"/>
        <v>318</v>
      </c>
      <c r="Y9" s="671">
        <f>IF(G9="مدير ولائي",(HLOOKUP(I9,جدروظعليا,'f-travail'!$AT$3+1,FALSE)-3200),0)</f>
        <v>0</v>
      </c>
      <c r="Z9" s="672" t="str">
        <f t="shared" si="18"/>
        <v>م8</v>
      </c>
      <c r="AA9" s="671">
        <f t="shared" si="19"/>
        <v>195</v>
      </c>
      <c r="AB9" s="677" t="str">
        <f t="shared" si="20"/>
        <v>م(4)</v>
      </c>
      <c r="AC9" s="678">
        <f t="shared" ref="AC9:AC65" si="32">IF(AND(J9="متزوج(ة)ماكثة",K9=0),5.5,IF(AND(J9="متزوج(ة)ماكثة",K9&gt;0),800,0))</f>
        <v>800</v>
      </c>
      <c r="AD9" s="673">
        <f t="shared" si="1"/>
        <v>22.5</v>
      </c>
      <c r="AE9" s="678">
        <f t="shared" si="2"/>
        <v>2022.5</v>
      </c>
      <c r="AF9" s="678">
        <f t="shared" si="3"/>
        <v>26010</v>
      </c>
      <c r="AG9" s="678">
        <f t="shared" si="4"/>
        <v>14310</v>
      </c>
      <c r="AH9" s="673">
        <f t="shared" si="22"/>
        <v>0</v>
      </c>
      <c r="AI9" s="674">
        <f>IF(G9="مدير ولائي",(11000*35%),LOOKUP(D9,'f-travail'!A:A,'f-travail'!I:I))</f>
        <v>1617</v>
      </c>
      <c r="AJ9" s="673">
        <f>IF(G9="مدير ولائي",((W9+X9)*45)*80%,IF(V9&lt;8,0,IF(F9="إليزي",(LOOKUP(D9,'f-travail'!A:A,'f-travail'!O:O))*(AF9+AG9),LOOKUP(D9,'f-travail'!A:A,'f-travail'!P:P)*(AF9+AG9))))</f>
        <v>32256</v>
      </c>
      <c r="AK9" s="673">
        <f>IF(G9="مدير ولائي",0,LOOKUP(D9,'f-travail'!A:A,'f-travail'!Q:Q))</f>
        <v>1500</v>
      </c>
      <c r="AL9" s="673">
        <f>IF(G9="مدير ولائي",0,LOOKUP(D9,'f-travail'!A:A,'f-travail'!R:R)*(AF9+AG9))</f>
        <v>0</v>
      </c>
      <c r="AM9" s="673">
        <f>IF(G9="مدير ولائي",0,LOOKUP(D9,'f-travail'!A:A,'f-travail'!S:S)*(AF9+AG9))</f>
        <v>0</v>
      </c>
      <c r="AN9" s="673">
        <f>IF(G9="مدير ولائي",0,LOOKUP(D9,'f-travail'!A:A,'f-travail'!T:T)*(AF9+AG9))</f>
        <v>0</v>
      </c>
      <c r="AO9" s="673">
        <f>IF(G9="مدير ولائي",0,LOOKUP(D9,'f-travail'!A:A,'f-travail'!U:U)*(AF9+AG9))</f>
        <v>0</v>
      </c>
      <c r="AP9" s="673">
        <f>IF(G9="مدير ولائي",0,LOOKUP(D9,'f-travail'!A:A,'f-travail'!V:V)*(AF9+AG9))</f>
        <v>16128</v>
      </c>
      <c r="AQ9" s="673">
        <f>IF(G9="مدير ولائي",0,LOOKUP(D9,'f-travail'!A:A,'f-travail'!W:W)*(AF9+AG9))</f>
        <v>10080</v>
      </c>
      <c r="AR9" s="673">
        <f t="shared" si="23"/>
        <v>0</v>
      </c>
      <c r="AS9" s="673">
        <f>IF(G9="مدير ولائي",0,LOOKUP(D9,'f-travail'!A:A,'f-travail'!X:X)*(AF9+AG9))</f>
        <v>0</v>
      </c>
      <c r="AT9" s="673">
        <f>IF(G9="مدير ولائي",0,LOOKUP(D9,'f-travail'!Y:Y,'f-travail'!R:R)*(AF9+AG9))</f>
        <v>0</v>
      </c>
      <c r="AU9" s="673">
        <f t="shared" si="5"/>
        <v>0</v>
      </c>
      <c r="AV9" s="673">
        <f t="shared" si="6"/>
        <v>0</v>
      </c>
      <c r="AW9" s="673">
        <f t="shared" si="7"/>
        <v>0</v>
      </c>
      <c r="AX9" s="637" t="str">
        <f t="shared" si="8"/>
        <v>ففففففففلللللللللللللل</v>
      </c>
      <c r="AY9" s="640" t="str">
        <f t="shared" si="9"/>
        <v>م8 أ 13 - د 11</v>
      </c>
      <c r="AZ9" s="673">
        <f t="shared" si="10"/>
        <v>49095</v>
      </c>
      <c r="BA9" s="639">
        <f t="shared" si="11"/>
        <v>112698.5</v>
      </c>
      <c r="BB9" s="639">
        <f t="shared" si="12"/>
        <v>16128</v>
      </c>
      <c r="BC9" s="639">
        <f t="shared" si="13"/>
        <v>0</v>
      </c>
      <c r="BD9" s="639">
        <f t="shared" si="14"/>
        <v>1500</v>
      </c>
      <c r="BE9" s="639">
        <f t="shared" si="15"/>
        <v>0</v>
      </c>
      <c r="BF9" s="639">
        <f t="shared" si="16"/>
        <v>10080</v>
      </c>
      <c r="BG9" s="639">
        <f t="shared" si="24"/>
        <v>0</v>
      </c>
      <c r="BH9" s="683">
        <f t="shared" si="25"/>
        <v>0</v>
      </c>
      <c r="BI9" s="683">
        <f t="shared" si="26"/>
        <v>0</v>
      </c>
      <c r="BJ9" s="641">
        <f t="shared" si="27"/>
        <v>110676</v>
      </c>
      <c r="BK9" s="641">
        <f t="shared" si="28"/>
        <v>9960.84</v>
      </c>
      <c r="BL9" s="641">
        <f t="shared" si="29"/>
        <v>101120.66</v>
      </c>
      <c r="BM9" s="684">
        <f t="shared" si="30"/>
        <v>11918.1</v>
      </c>
      <c r="BN9" s="638" t="s">
        <v>760</v>
      </c>
      <c r="BO9" s="682" t="str">
        <f>CONCATENATE(Z9," ",LOOKUP(D9,'f-travail'!A:A,'f-travail'!F:F))</f>
        <v>م8 أ 13</v>
      </c>
      <c r="BP9" s="669" t="str">
        <f t="shared" si="17"/>
        <v>محافظ عقاري (مفتش مركزي)</v>
      </c>
    </row>
    <row r="10" spans="1:68">
      <c r="A10" s="636">
        <f t="shared" si="31"/>
        <v>9</v>
      </c>
      <c r="B10" s="637" t="s">
        <v>875</v>
      </c>
      <c r="C10" s="637" t="s">
        <v>876</v>
      </c>
      <c r="D10" s="652">
        <v>6</v>
      </c>
      <c r="E10" s="679" t="str">
        <f>LOOKUP(D10,'f-travail'!A:A,'f-travail'!B:B)</f>
        <v>مفتش قسم</v>
      </c>
      <c r="F10" s="650" t="s">
        <v>539</v>
      </c>
      <c r="G10" s="650" t="s">
        <v>377</v>
      </c>
      <c r="H10" s="653">
        <v>11</v>
      </c>
      <c r="I10" s="653"/>
      <c r="J10" s="654" t="s">
        <v>543</v>
      </c>
      <c r="K10" s="650">
        <v>3</v>
      </c>
      <c r="L10" s="650">
        <v>2</v>
      </c>
      <c r="M10" s="650">
        <v>0</v>
      </c>
      <c r="N10" s="654"/>
      <c r="O10" s="654"/>
      <c r="P10" s="654"/>
      <c r="Q10" s="654"/>
      <c r="R10" s="676">
        <v>7777777777</v>
      </c>
      <c r="S10" s="654" t="s">
        <v>549</v>
      </c>
      <c r="T10" s="675"/>
      <c r="U10" s="675"/>
      <c r="V10" s="670">
        <f>LOOKUP(D10,'f-travail'!A:A,'f-travail'!E:E)</f>
        <v>14</v>
      </c>
      <c r="W10" s="670">
        <f>VLOOKUP(V10,جرقمإستدلالي,'f-travail'!$AD$4+1,FALSE)</f>
        <v>621</v>
      </c>
      <c r="X10" s="671">
        <f t="shared" si="0"/>
        <v>342</v>
      </c>
      <c r="Y10" s="671">
        <f>IF(G10="مدير ولائي",(HLOOKUP(I10,جدروظعليا,'f-travail'!$AT$3+1,FALSE)-3200),0)</f>
        <v>0</v>
      </c>
      <c r="Z10" s="672" t="str">
        <f t="shared" si="18"/>
        <v>م8</v>
      </c>
      <c r="AA10" s="671">
        <f t="shared" si="19"/>
        <v>195</v>
      </c>
      <c r="AB10" s="677" t="str">
        <f t="shared" si="20"/>
        <v>م(3)</v>
      </c>
      <c r="AC10" s="678">
        <f t="shared" si="32"/>
        <v>0</v>
      </c>
      <c r="AD10" s="673">
        <f t="shared" si="1"/>
        <v>22.5</v>
      </c>
      <c r="AE10" s="678">
        <f t="shared" si="2"/>
        <v>922.5</v>
      </c>
      <c r="AF10" s="678">
        <f t="shared" si="3"/>
        <v>27945</v>
      </c>
      <c r="AG10" s="678">
        <f t="shared" si="4"/>
        <v>15390</v>
      </c>
      <c r="AH10" s="673">
        <f t="shared" si="22"/>
        <v>0</v>
      </c>
      <c r="AI10" s="674">
        <f>IF(G10="مدير ولائي",(11000*35%),LOOKUP(D10,'f-travail'!A:A,'f-travail'!I:I))</f>
        <v>1869</v>
      </c>
      <c r="AJ10" s="673">
        <f>IF(G10="مدير ولائي",((W10+X10)*45)*80%,IF(V10&lt;8,0,IF(F10="إليزي",(LOOKUP(D10,'f-travail'!A:A,'f-travail'!O:O))*(AF10+AG10),LOOKUP(D10,'f-travail'!A:A,'f-travail'!P:P)*(AF10+AG10))))</f>
        <v>34668</v>
      </c>
      <c r="AK10" s="673">
        <f>IF(G10="مدير ولائي",0,LOOKUP(D10,'f-travail'!A:A,'f-travail'!Q:Q))</f>
        <v>1500</v>
      </c>
      <c r="AL10" s="673">
        <f>IF(G10="مدير ولائي",0,LOOKUP(D10,'f-travail'!A:A,'f-travail'!R:R)*(AF10+AG10))</f>
        <v>0</v>
      </c>
      <c r="AM10" s="673">
        <f>IF(G10="مدير ولائي",0,LOOKUP(D10,'f-travail'!A:A,'f-travail'!S:S)*(AF10+AG10))</f>
        <v>0</v>
      </c>
      <c r="AN10" s="673">
        <f>IF(G10="مدير ولائي",0,LOOKUP(D10,'f-travail'!A:A,'f-travail'!T:T)*(AF10+AG10))</f>
        <v>0</v>
      </c>
      <c r="AO10" s="673">
        <f>IF(G10="مدير ولائي",0,LOOKUP(D10,'f-travail'!A:A,'f-travail'!U:U)*(AF10+AG10))</f>
        <v>0</v>
      </c>
      <c r="AP10" s="673">
        <f>IF(G10="مدير ولائي",0,LOOKUP(D10,'f-travail'!A:A,'f-travail'!V:V)*(AF10+AG10))</f>
        <v>17334</v>
      </c>
      <c r="AQ10" s="673">
        <f>IF(G10="مدير ولائي",0,LOOKUP(D10,'f-travail'!A:A,'f-travail'!W:W)*(AF10+AG10))</f>
        <v>10833.75</v>
      </c>
      <c r="AR10" s="673">
        <f t="shared" si="23"/>
        <v>0</v>
      </c>
      <c r="AS10" s="673">
        <f>IF(G10="مدير ولائي",0,LOOKUP(D10,'f-travail'!A:A,'f-travail'!X:X)*(AF10+AG10))</f>
        <v>0</v>
      </c>
      <c r="AT10" s="673">
        <f>IF(G10="مدير ولائي",0,LOOKUP(D10,'f-travail'!Y:Y,'f-travail'!R:R)*(AF10+AG10))</f>
        <v>0</v>
      </c>
      <c r="AU10" s="673">
        <f t="shared" si="5"/>
        <v>0</v>
      </c>
      <c r="AV10" s="673">
        <f t="shared" si="6"/>
        <v>0</v>
      </c>
      <c r="AW10" s="673">
        <f t="shared" si="7"/>
        <v>0</v>
      </c>
      <c r="AX10" s="637" t="str">
        <f t="shared" si="8"/>
        <v>سييييييييفففففففففففف</v>
      </c>
      <c r="AY10" s="640" t="str">
        <f t="shared" si="9"/>
        <v>م8 أ 14 - د 11</v>
      </c>
      <c r="AZ10" s="673">
        <f t="shared" si="10"/>
        <v>52110</v>
      </c>
      <c r="BA10" s="639">
        <f t="shared" si="11"/>
        <v>119237.25</v>
      </c>
      <c r="BB10" s="639">
        <f t="shared" si="12"/>
        <v>17334</v>
      </c>
      <c r="BC10" s="639">
        <f t="shared" si="13"/>
        <v>0</v>
      </c>
      <c r="BD10" s="639">
        <f t="shared" si="14"/>
        <v>1500</v>
      </c>
      <c r="BE10" s="639">
        <f t="shared" si="15"/>
        <v>0</v>
      </c>
      <c r="BF10" s="639">
        <f t="shared" si="16"/>
        <v>10833.75</v>
      </c>
      <c r="BG10" s="639">
        <f t="shared" si="24"/>
        <v>0</v>
      </c>
      <c r="BH10" s="683">
        <f t="shared" si="25"/>
        <v>0</v>
      </c>
      <c r="BI10" s="683">
        <f t="shared" si="26"/>
        <v>0</v>
      </c>
      <c r="BJ10" s="641">
        <f t="shared" si="27"/>
        <v>118314.75</v>
      </c>
      <c r="BK10" s="641">
        <f t="shared" si="28"/>
        <v>10648.33</v>
      </c>
      <c r="BL10" s="641">
        <f t="shared" si="29"/>
        <v>106719.92</v>
      </c>
      <c r="BM10" s="684">
        <f t="shared" si="30"/>
        <v>12757.99</v>
      </c>
      <c r="BN10" s="638" t="s">
        <v>760</v>
      </c>
      <c r="BO10" s="682" t="str">
        <f>CONCATENATE(Z10," ",LOOKUP(D10,'f-travail'!A:A,'f-travail'!F:F))</f>
        <v>م8 أ 14</v>
      </c>
      <c r="BP10" s="669" t="str">
        <f t="shared" si="17"/>
        <v>رئيس مفتشية (مفتش قسم)</v>
      </c>
    </row>
    <row r="11" spans="1:68">
      <c r="A11" s="636">
        <f t="shared" si="31"/>
        <v>10</v>
      </c>
      <c r="B11" s="637" t="s">
        <v>877</v>
      </c>
      <c r="C11" s="637" t="s">
        <v>878</v>
      </c>
      <c r="D11" s="652">
        <v>21</v>
      </c>
      <c r="E11" s="679" t="str">
        <f>LOOKUP(D11,'f-travail'!A:A,'f-travail'!B:B)</f>
        <v>مفتش</v>
      </c>
      <c r="F11" s="650" t="s">
        <v>545</v>
      </c>
      <c r="G11" s="650" t="s">
        <v>377</v>
      </c>
      <c r="H11" s="653">
        <v>12</v>
      </c>
      <c r="I11" s="653"/>
      <c r="J11" s="654" t="s">
        <v>542</v>
      </c>
      <c r="K11" s="650">
        <v>6</v>
      </c>
      <c r="L11" s="650">
        <v>3</v>
      </c>
      <c r="M11" s="650">
        <v>1</v>
      </c>
      <c r="N11" s="654"/>
      <c r="O11" s="654"/>
      <c r="P11" s="654">
        <v>1</v>
      </c>
      <c r="Q11" s="654"/>
      <c r="R11" s="676">
        <v>7777777777</v>
      </c>
      <c r="S11" s="654" t="s">
        <v>562</v>
      </c>
      <c r="T11" s="675"/>
      <c r="U11" s="675"/>
      <c r="V11" s="670">
        <f>LOOKUP(D11,'f-travail'!A:A,'f-travail'!E:E)</f>
        <v>10</v>
      </c>
      <c r="W11" s="670">
        <f>VLOOKUP(V11,جرقمإستدلالي,'f-travail'!$AD$4+1,FALSE)</f>
        <v>453</v>
      </c>
      <c r="X11" s="671">
        <f t="shared" si="0"/>
        <v>272</v>
      </c>
      <c r="Y11" s="671">
        <f>IF(G11="مدير ولائي",(HLOOKUP(I11,جدروظعليا,'f-travail'!$AT$3+1,FALSE)-3200),0)</f>
        <v>0</v>
      </c>
      <c r="Z11" s="672" t="str">
        <f t="shared" si="18"/>
        <v>م8</v>
      </c>
      <c r="AA11" s="671">
        <f t="shared" si="19"/>
        <v>195</v>
      </c>
      <c r="AB11" s="677" t="str">
        <f t="shared" si="20"/>
        <v>م(6)</v>
      </c>
      <c r="AC11" s="678">
        <f t="shared" si="32"/>
        <v>800</v>
      </c>
      <c r="AD11" s="673">
        <f t="shared" si="1"/>
        <v>33.75</v>
      </c>
      <c r="AE11" s="678">
        <f t="shared" si="2"/>
        <v>2633.75</v>
      </c>
      <c r="AF11" s="678">
        <f t="shared" si="3"/>
        <v>20385</v>
      </c>
      <c r="AG11" s="678">
        <f t="shared" si="4"/>
        <v>12240</v>
      </c>
      <c r="AH11" s="673">
        <f t="shared" si="22"/>
        <v>2000</v>
      </c>
      <c r="AI11" s="674">
        <f>IF(G11="مدير ولائي",(11000*35%),LOOKUP(D11,'f-travail'!A:A,'f-travail'!I:I))</f>
        <v>1372</v>
      </c>
      <c r="AJ11" s="673">
        <f>IF(G11="مدير ولائي",((W11+X11)*45)*80%,IF(V11&lt;8,0,IF(F11="إليزي",(LOOKUP(D11,'f-travail'!A:A,'f-travail'!O:O))*(AF11+AG11),LOOKUP(D11,'f-travail'!A:A,'f-travail'!P:P)*(AF11+AG11))))</f>
        <v>14681.25</v>
      </c>
      <c r="AK11" s="673">
        <f>IF(G11="مدير ولائي",0,LOOKUP(D11,'f-travail'!A:A,'f-travail'!Q:Q))</f>
        <v>3100</v>
      </c>
      <c r="AL11" s="673">
        <f>IF(G11="مدير ولائي",0,LOOKUP(D11,'f-travail'!A:A,'f-travail'!R:R)*(AF11+AG11))</f>
        <v>0</v>
      </c>
      <c r="AM11" s="673">
        <f>IF(G11="مدير ولائي",0,LOOKUP(D11,'f-travail'!A:A,'f-travail'!S:S)*(AF11+AG11))</f>
        <v>0</v>
      </c>
      <c r="AN11" s="673">
        <f>IF(G11="مدير ولائي",0,LOOKUP(D11,'f-travail'!A:A,'f-travail'!T:T)*(AF11+AG11))</f>
        <v>0</v>
      </c>
      <c r="AO11" s="673">
        <f>IF(G11="مدير ولائي",0,LOOKUP(D11,'f-travail'!A:A,'f-travail'!U:U)*(AF11+AG11))</f>
        <v>0</v>
      </c>
      <c r="AP11" s="673">
        <f>IF(G11="مدير ولائي",0,LOOKUP(D11,'f-travail'!A:A,'f-travail'!V:V)*(AF11+AG11))</f>
        <v>9787.5</v>
      </c>
      <c r="AQ11" s="673">
        <f>IF(G11="مدير ولائي",0,LOOKUP(D11,'f-travail'!A:A,'f-travail'!W:W)*(AF11+AG11))</f>
        <v>8156.25</v>
      </c>
      <c r="AR11" s="673">
        <f t="shared" si="23"/>
        <v>0</v>
      </c>
      <c r="AS11" s="673">
        <f>IF(G11="مدير ولائي",0,LOOKUP(D11,'f-travail'!A:A,'f-travail'!X:X)*(AF11+AG11))</f>
        <v>0</v>
      </c>
      <c r="AT11" s="673">
        <f>IF(G11="مدير ولائي",0,LOOKUP(D11,'f-travail'!Y:Y,'f-travail'!R:R)*(AF11+AG11))</f>
        <v>0</v>
      </c>
      <c r="AU11" s="673">
        <f t="shared" si="5"/>
        <v>0</v>
      </c>
      <c r="AV11" s="673">
        <f t="shared" si="6"/>
        <v>0</v>
      </c>
      <c r="AW11" s="673">
        <f t="shared" si="7"/>
        <v>0</v>
      </c>
      <c r="AX11" s="637" t="str">
        <f t="shared" si="8"/>
        <v>ليسليسليسليسللللللل</v>
      </c>
      <c r="AY11" s="640" t="str">
        <f t="shared" si="9"/>
        <v>م8 ب 10 - د 12</v>
      </c>
      <c r="AZ11" s="673">
        <f t="shared" si="10"/>
        <v>41400</v>
      </c>
      <c r="BA11" s="639">
        <f t="shared" si="11"/>
        <v>83130.75</v>
      </c>
      <c r="BB11" s="639">
        <f t="shared" si="12"/>
        <v>9787.5</v>
      </c>
      <c r="BC11" s="639">
        <f t="shared" si="13"/>
        <v>0</v>
      </c>
      <c r="BD11" s="639">
        <f t="shared" si="14"/>
        <v>3100</v>
      </c>
      <c r="BE11" s="639">
        <f t="shared" si="15"/>
        <v>2000</v>
      </c>
      <c r="BF11" s="639">
        <f t="shared" si="16"/>
        <v>8156.25</v>
      </c>
      <c r="BG11" s="639">
        <f t="shared" si="24"/>
        <v>0</v>
      </c>
      <c r="BH11" s="683">
        <f t="shared" si="25"/>
        <v>1207.46</v>
      </c>
      <c r="BI11" s="683">
        <f t="shared" si="26"/>
        <v>0</v>
      </c>
      <c r="BJ11" s="641">
        <f t="shared" si="27"/>
        <v>80497</v>
      </c>
      <c r="BK11" s="641">
        <f t="shared" si="28"/>
        <v>7244.73</v>
      </c>
      <c r="BL11" s="641">
        <f t="shared" si="29"/>
        <v>72514.02</v>
      </c>
      <c r="BM11" s="684">
        <f t="shared" si="30"/>
        <v>7627.1</v>
      </c>
      <c r="BN11" s="643" t="s">
        <v>814</v>
      </c>
      <c r="BO11" s="682" t="str">
        <f>CONCATENATE(Z11," ",LOOKUP(D11,'f-travail'!A:A,'f-travail'!F:F))</f>
        <v>م8 ب 10</v>
      </c>
      <c r="BP11" s="669" t="str">
        <f t="shared" si="17"/>
        <v>رئيس مفتشية (مفتش)</v>
      </c>
    </row>
    <row r="12" spans="1:68">
      <c r="A12" s="636">
        <f t="shared" si="31"/>
        <v>11</v>
      </c>
      <c r="B12" s="637" t="s">
        <v>879</v>
      </c>
      <c r="C12" s="637" t="s">
        <v>880</v>
      </c>
      <c r="D12" s="652">
        <v>10</v>
      </c>
      <c r="E12" s="679" t="str">
        <f>LOOKUP(D12,'f-travail'!A:A,'f-travail'!B:B)</f>
        <v>مفتش مركزي</v>
      </c>
      <c r="F12" s="650" t="s">
        <v>546</v>
      </c>
      <c r="G12" s="650" t="s">
        <v>377</v>
      </c>
      <c r="H12" s="653">
        <v>11</v>
      </c>
      <c r="I12" s="653"/>
      <c r="J12" s="654" t="s">
        <v>542</v>
      </c>
      <c r="K12" s="650">
        <v>4</v>
      </c>
      <c r="L12" s="650">
        <v>2</v>
      </c>
      <c r="M12" s="650">
        <v>1</v>
      </c>
      <c r="N12" s="654"/>
      <c r="O12" s="654"/>
      <c r="P12" s="654">
        <v>1</v>
      </c>
      <c r="Q12" s="654"/>
      <c r="R12" s="676">
        <v>7777777777</v>
      </c>
      <c r="S12" s="654" t="s">
        <v>562</v>
      </c>
      <c r="T12" s="675"/>
      <c r="U12" s="675"/>
      <c r="V12" s="670">
        <f>LOOKUP(D12,'f-travail'!A:A,'f-travail'!E:E)</f>
        <v>13</v>
      </c>
      <c r="W12" s="670">
        <f>VLOOKUP(V12,جرقمإستدلالي,'f-travail'!$AD$4+1,FALSE)</f>
        <v>578</v>
      </c>
      <c r="X12" s="671">
        <f t="shared" si="0"/>
        <v>318</v>
      </c>
      <c r="Y12" s="671">
        <f>IF(G12="مدير ولائي",(HLOOKUP(I12,جدروظعليا,'f-travail'!$AT$3+1,FALSE)-3200),0)</f>
        <v>0</v>
      </c>
      <c r="Z12" s="672" t="str">
        <f t="shared" si="18"/>
        <v>م8</v>
      </c>
      <c r="AA12" s="671">
        <f t="shared" si="19"/>
        <v>195</v>
      </c>
      <c r="AB12" s="677" t="str">
        <f t="shared" si="20"/>
        <v>م(4)</v>
      </c>
      <c r="AC12" s="678">
        <f t="shared" si="32"/>
        <v>800</v>
      </c>
      <c r="AD12" s="673">
        <f t="shared" si="1"/>
        <v>22.5</v>
      </c>
      <c r="AE12" s="678">
        <f t="shared" si="2"/>
        <v>2022.5</v>
      </c>
      <c r="AF12" s="678">
        <f t="shared" si="3"/>
        <v>26010</v>
      </c>
      <c r="AG12" s="678">
        <f t="shared" si="4"/>
        <v>14310</v>
      </c>
      <c r="AH12" s="673">
        <f t="shared" si="22"/>
        <v>2000</v>
      </c>
      <c r="AI12" s="674">
        <f>IF(G12="مدير ولائي",(11000*35%),LOOKUP(D12,'f-travail'!A:A,'f-travail'!I:I))</f>
        <v>1617</v>
      </c>
      <c r="AJ12" s="673">
        <f>IF(G12="مدير ولائي",((W12+X12)*45)*80%,IF(V12&lt;8,0,IF(F12="إليزي",(LOOKUP(D12,'f-travail'!A:A,'f-travail'!O:O))*(AF12+AG12),LOOKUP(D12,'f-travail'!A:A,'f-travail'!P:P)*(AF12+AG12))))</f>
        <v>36288</v>
      </c>
      <c r="AK12" s="673">
        <f>IF(G12="مدير ولائي",0,LOOKUP(D12,'f-travail'!A:A,'f-travail'!Q:Q))</f>
        <v>1500</v>
      </c>
      <c r="AL12" s="673">
        <f>IF(G12="مدير ولائي",0,LOOKUP(D12,'f-travail'!A:A,'f-travail'!R:R)*(AF12+AG12))</f>
        <v>0</v>
      </c>
      <c r="AM12" s="673">
        <f>IF(G12="مدير ولائي",0,LOOKUP(D12,'f-travail'!A:A,'f-travail'!S:S)*(AF12+AG12))</f>
        <v>0</v>
      </c>
      <c r="AN12" s="673">
        <f>IF(G12="مدير ولائي",0,LOOKUP(D12,'f-travail'!A:A,'f-travail'!T:T)*(AF12+AG12))</f>
        <v>0</v>
      </c>
      <c r="AO12" s="673">
        <f>IF(G12="مدير ولائي",0,LOOKUP(D12,'f-travail'!A:A,'f-travail'!U:U)*(AF12+AG12))</f>
        <v>0</v>
      </c>
      <c r="AP12" s="673">
        <f>IF(G12="مدير ولائي",0,LOOKUP(D12,'f-travail'!A:A,'f-travail'!V:V)*(AF12+AG12))</f>
        <v>16128</v>
      </c>
      <c r="AQ12" s="673">
        <f>IF(G12="مدير ولائي",0,LOOKUP(D12,'f-travail'!A:A,'f-travail'!W:W)*(AF12+AG12))</f>
        <v>10080</v>
      </c>
      <c r="AR12" s="673">
        <f t="shared" si="23"/>
        <v>0</v>
      </c>
      <c r="AS12" s="673">
        <f>IF(G12="مدير ولائي",0,LOOKUP(D12,'f-travail'!A:A,'f-travail'!X:X)*(AF12+AG12))</f>
        <v>0</v>
      </c>
      <c r="AT12" s="673">
        <f>IF(G12="مدير ولائي",0,LOOKUP(D12,'f-travail'!Y:Y,'f-travail'!R:R)*(AF12+AG12))</f>
        <v>0</v>
      </c>
      <c r="AU12" s="673">
        <f t="shared" si="5"/>
        <v>0</v>
      </c>
      <c r="AV12" s="673">
        <f t="shared" si="6"/>
        <v>0</v>
      </c>
      <c r="AW12" s="673">
        <f t="shared" si="7"/>
        <v>0</v>
      </c>
      <c r="AX12" s="637" t="str">
        <f t="shared" si="8"/>
        <v>شللبيسلبيشلررءرءؤرؤءر</v>
      </c>
      <c r="AY12" s="640" t="str">
        <f t="shared" si="9"/>
        <v>م8 أ 13 - د 11</v>
      </c>
      <c r="AZ12" s="673">
        <f t="shared" si="10"/>
        <v>49095</v>
      </c>
      <c r="BA12" s="639">
        <f t="shared" si="11"/>
        <v>118730.5</v>
      </c>
      <c r="BB12" s="639">
        <f t="shared" si="12"/>
        <v>16128</v>
      </c>
      <c r="BC12" s="639">
        <f t="shared" si="13"/>
        <v>0</v>
      </c>
      <c r="BD12" s="639">
        <f t="shared" si="14"/>
        <v>1500</v>
      </c>
      <c r="BE12" s="639">
        <f t="shared" si="15"/>
        <v>2000</v>
      </c>
      <c r="BF12" s="639">
        <f t="shared" si="16"/>
        <v>10080</v>
      </c>
      <c r="BG12" s="639">
        <f t="shared" si="24"/>
        <v>0</v>
      </c>
      <c r="BH12" s="683">
        <f t="shared" si="25"/>
        <v>1750.62</v>
      </c>
      <c r="BI12" s="683">
        <f t="shared" si="26"/>
        <v>0</v>
      </c>
      <c r="BJ12" s="641">
        <f t="shared" si="27"/>
        <v>116708</v>
      </c>
      <c r="BK12" s="641">
        <f t="shared" si="28"/>
        <v>10503.72</v>
      </c>
      <c r="BL12" s="641">
        <f t="shared" si="29"/>
        <v>104609.78</v>
      </c>
      <c r="BM12" s="684">
        <f t="shared" si="30"/>
        <v>12441.47</v>
      </c>
      <c r="BN12" s="643" t="s">
        <v>815</v>
      </c>
      <c r="BO12" s="682" t="str">
        <f>CONCATENATE(Z12," ",LOOKUP(D12,'f-travail'!A:A,'f-travail'!F:F))</f>
        <v>م8 أ 13</v>
      </c>
      <c r="BP12" s="669" t="str">
        <f t="shared" si="17"/>
        <v>رئيس مفتشية (مفتش مركزي)</v>
      </c>
    </row>
    <row r="13" spans="1:68">
      <c r="A13" s="636">
        <f t="shared" si="31"/>
        <v>12</v>
      </c>
      <c r="B13" s="637" t="s">
        <v>881</v>
      </c>
      <c r="C13" s="637" t="s">
        <v>882</v>
      </c>
      <c r="D13" s="652">
        <v>14</v>
      </c>
      <c r="E13" s="679" t="str">
        <f>LOOKUP(D13,'f-travail'!A:A,'f-travail'!B:B)</f>
        <v>مفتش رئيسي</v>
      </c>
      <c r="F13" s="650" t="s">
        <v>539</v>
      </c>
      <c r="G13" s="650" t="s">
        <v>379</v>
      </c>
      <c r="H13" s="653">
        <v>11</v>
      </c>
      <c r="I13" s="653"/>
      <c r="J13" s="654" t="s">
        <v>542</v>
      </c>
      <c r="K13" s="650">
        <v>6</v>
      </c>
      <c r="L13" s="650">
        <v>3</v>
      </c>
      <c r="M13" s="650">
        <v>0</v>
      </c>
      <c r="N13" s="654"/>
      <c r="O13" s="654"/>
      <c r="P13" s="654"/>
      <c r="Q13" s="654"/>
      <c r="R13" s="676">
        <v>7777777777</v>
      </c>
      <c r="S13" s="654" t="s">
        <v>550</v>
      </c>
      <c r="T13" s="675"/>
      <c r="U13" s="675"/>
      <c r="V13" s="670">
        <f>LOOKUP(D13,'f-travail'!A:A,'f-travail'!E:E)</f>
        <v>12</v>
      </c>
      <c r="W13" s="670">
        <f>VLOOKUP(V13,جرقمإستدلالي,'f-travail'!$AD$4+1,FALSE)</f>
        <v>537</v>
      </c>
      <c r="X13" s="671">
        <f t="shared" si="0"/>
        <v>295</v>
      </c>
      <c r="Y13" s="671">
        <f>IF(G13="مدير ولائي",(HLOOKUP(I13,جدروظعليا,'f-travail'!$AT$3+1,FALSE)-3200),0)</f>
        <v>0</v>
      </c>
      <c r="Z13" s="672" t="str">
        <f t="shared" si="18"/>
        <v>م7</v>
      </c>
      <c r="AA13" s="671">
        <f t="shared" si="19"/>
        <v>145</v>
      </c>
      <c r="AB13" s="677" t="str">
        <f t="shared" si="20"/>
        <v>م(6)</v>
      </c>
      <c r="AC13" s="678">
        <f t="shared" si="32"/>
        <v>800</v>
      </c>
      <c r="AD13" s="673">
        <f t="shared" si="1"/>
        <v>33.75</v>
      </c>
      <c r="AE13" s="678">
        <f t="shared" si="2"/>
        <v>2633.75</v>
      </c>
      <c r="AF13" s="678">
        <f t="shared" si="3"/>
        <v>24165</v>
      </c>
      <c r="AG13" s="678">
        <f t="shared" si="4"/>
        <v>13275</v>
      </c>
      <c r="AH13" s="673">
        <f t="shared" si="22"/>
        <v>0</v>
      </c>
      <c r="AI13" s="674">
        <f>IF(G13="مدير ولائي",(11000*35%),LOOKUP(D13,'f-travail'!A:A,'f-travail'!I:I))</f>
        <v>1617</v>
      </c>
      <c r="AJ13" s="673">
        <f>IF(G13="مدير ولائي",((W13+X13)*45)*80%,IF(V13&lt;8,0,IF(F13="إليزي",(LOOKUP(D13,'f-travail'!A:A,'f-travail'!O:O))*(AF13+AG13),LOOKUP(D13,'f-travail'!A:A,'f-travail'!P:P)*(AF13+AG13))))</f>
        <v>29952</v>
      </c>
      <c r="AK13" s="673">
        <f>IF(G13="مدير ولائي",0,LOOKUP(D13,'f-travail'!A:A,'f-travail'!Q:Q))</f>
        <v>1500</v>
      </c>
      <c r="AL13" s="673">
        <f>IF(G13="مدير ولائي",0,LOOKUP(D13,'f-travail'!A:A,'f-travail'!R:R)*(AF13+AG13))</f>
        <v>0</v>
      </c>
      <c r="AM13" s="673">
        <f>IF(G13="مدير ولائي",0,LOOKUP(D13,'f-travail'!A:A,'f-travail'!S:S)*(AF13+AG13))</f>
        <v>0</v>
      </c>
      <c r="AN13" s="673">
        <f>IF(G13="مدير ولائي",0,LOOKUP(D13,'f-travail'!A:A,'f-travail'!T:T)*(AF13+AG13))</f>
        <v>0</v>
      </c>
      <c r="AO13" s="673">
        <f>IF(G13="مدير ولائي",0,LOOKUP(D13,'f-travail'!A:A,'f-travail'!U:U)*(AF13+AG13))</f>
        <v>0</v>
      </c>
      <c r="AP13" s="673">
        <f>IF(G13="مدير ولائي",0,LOOKUP(D13,'f-travail'!A:A,'f-travail'!V:V)*(AF13+AG13))</f>
        <v>14976</v>
      </c>
      <c r="AQ13" s="673">
        <f>IF(G13="مدير ولائي",0,LOOKUP(D13,'f-travail'!A:A,'f-travail'!W:W)*(AF13+AG13))</f>
        <v>9360</v>
      </c>
      <c r="AR13" s="673">
        <f t="shared" si="23"/>
        <v>0</v>
      </c>
      <c r="AS13" s="673">
        <f>IF(G13="مدير ولائي",0,LOOKUP(D13,'f-travail'!A:A,'f-travail'!X:X)*(AF13+AG13))</f>
        <v>0</v>
      </c>
      <c r="AT13" s="673">
        <f>IF(G13="مدير ولائي",0,LOOKUP(D13,'f-travail'!Y:Y,'f-travail'!R:R)*(AF13+AG13))</f>
        <v>0</v>
      </c>
      <c r="AU13" s="673">
        <f t="shared" si="5"/>
        <v>0</v>
      </c>
      <c r="AV13" s="673">
        <f t="shared" si="6"/>
        <v>0</v>
      </c>
      <c r="AW13" s="673">
        <f t="shared" si="7"/>
        <v>0</v>
      </c>
      <c r="AX13" s="637" t="str">
        <f t="shared" si="8"/>
        <v>رسيبرشبيسبصثقصقثصقض</v>
      </c>
      <c r="AY13" s="640" t="str">
        <f t="shared" si="9"/>
        <v>م7 أ 12 - د 11</v>
      </c>
      <c r="AZ13" s="673">
        <f t="shared" si="10"/>
        <v>43965</v>
      </c>
      <c r="BA13" s="639">
        <f t="shared" si="11"/>
        <v>104003.75</v>
      </c>
      <c r="BB13" s="639">
        <f t="shared" si="12"/>
        <v>14976</v>
      </c>
      <c r="BC13" s="639">
        <f t="shared" si="13"/>
        <v>0</v>
      </c>
      <c r="BD13" s="639">
        <f t="shared" si="14"/>
        <v>1500</v>
      </c>
      <c r="BE13" s="639">
        <f t="shared" si="15"/>
        <v>0</v>
      </c>
      <c r="BF13" s="639">
        <f t="shared" si="16"/>
        <v>9360</v>
      </c>
      <c r="BG13" s="639">
        <f t="shared" si="24"/>
        <v>0</v>
      </c>
      <c r="BH13" s="683">
        <f t="shared" si="25"/>
        <v>0</v>
      </c>
      <c r="BI13" s="683">
        <f t="shared" si="26"/>
        <v>0</v>
      </c>
      <c r="BJ13" s="641">
        <f t="shared" si="27"/>
        <v>101370</v>
      </c>
      <c r="BK13" s="641">
        <f t="shared" si="28"/>
        <v>9123.2999999999993</v>
      </c>
      <c r="BL13" s="641">
        <f t="shared" si="29"/>
        <v>93263.45</v>
      </c>
      <c r="BM13" s="684">
        <f t="shared" si="30"/>
        <v>10739.52</v>
      </c>
      <c r="BN13" s="643" t="s">
        <v>816</v>
      </c>
      <c r="BO13" s="682" t="str">
        <f>CONCATENATE(Z13," ",LOOKUP(D13,'f-travail'!A:A,'f-travail'!F:F))</f>
        <v>م7 أ 12</v>
      </c>
      <c r="BP13" s="669" t="str">
        <f t="shared" si="17"/>
        <v>رئيس مكتب (مفتش رئيسي)</v>
      </c>
    </row>
    <row r="14" spans="1:68">
      <c r="A14" s="636">
        <f t="shared" si="31"/>
        <v>13</v>
      </c>
      <c r="B14" s="637" t="s">
        <v>883</v>
      </c>
      <c r="C14" s="637" t="s">
        <v>884</v>
      </c>
      <c r="D14" s="652">
        <v>14</v>
      </c>
      <c r="E14" s="679" t="str">
        <f>LOOKUP(D14,'f-travail'!A:A,'f-travail'!B:B)</f>
        <v>مفتش رئيسي</v>
      </c>
      <c r="F14" s="650" t="s">
        <v>539</v>
      </c>
      <c r="G14" s="650" t="s">
        <v>379</v>
      </c>
      <c r="H14" s="653">
        <v>2</v>
      </c>
      <c r="I14" s="653"/>
      <c r="J14" s="654" t="s">
        <v>544</v>
      </c>
      <c r="K14" s="650">
        <v>2</v>
      </c>
      <c r="L14" s="650"/>
      <c r="M14" s="650">
        <v>1</v>
      </c>
      <c r="N14" s="654"/>
      <c r="O14" s="654"/>
      <c r="P14" s="654"/>
      <c r="Q14" s="654"/>
      <c r="R14" s="676">
        <v>7777777777</v>
      </c>
      <c r="S14" s="654" t="s">
        <v>550</v>
      </c>
      <c r="T14" s="675"/>
      <c r="U14" s="675"/>
      <c r="V14" s="670">
        <f>LOOKUP(D14,'f-travail'!A:A,'f-travail'!E:E)</f>
        <v>12</v>
      </c>
      <c r="W14" s="670">
        <f>VLOOKUP(V14,جرقمإستدلالي,'f-travail'!$AD$4+1,FALSE)</f>
        <v>537</v>
      </c>
      <c r="X14" s="671">
        <f t="shared" si="0"/>
        <v>54</v>
      </c>
      <c r="Y14" s="671">
        <f>IF(G14="مدير ولائي",(HLOOKUP(I14,جدروظعليا,'f-travail'!$AT$3+1,FALSE)-3200),0)</f>
        <v>0</v>
      </c>
      <c r="Z14" s="672" t="str">
        <f t="shared" si="18"/>
        <v>م7</v>
      </c>
      <c r="AA14" s="671">
        <f t="shared" si="19"/>
        <v>145</v>
      </c>
      <c r="AB14" s="677" t="str">
        <f t="shared" si="20"/>
        <v>ع/ك(2)</v>
      </c>
      <c r="AC14" s="678">
        <f t="shared" si="32"/>
        <v>0</v>
      </c>
      <c r="AD14" s="673">
        <f t="shared" si="1"/>
        <v>0</v>
      </c>
      <c r="AE14" s="678">
        <f t="shared" si="2"/>
        <v>600</v>
      </c>
      <c r="AF14" s="678">
        <f t="shared" si="3"/>
        <v>24165</v>
      </c>
      <c r="AG14" s="678">
        <f t="shared" si="4"/>
        <v>2430</v>
      </c>
      <c r="AH14" s="673">
        <f t="shared" si="22"/>
        <v>2000</v>
      </c>
      <c r="AI14" s="674">
        <f>IF(G14="مدير ولائي",(11000*35%),LOOKUP(D14,'f-travail'!A:A,'f-travail'!I:I))</f>
        <v>1617</v>
      </c>
      <c r="AJ14" s="673">
        <f>IF(G14="مدير ولائي",((W14+X14)*45)*80%,IF(V14&lt;8,0,IF(F14="إليزي",(LOOKUP(D14,'f-travail'!A:A,'f-travail'!O:O))*(AF14+AG14),LOOKUP(D14,'f-travail'!A:A,'f-travail'!P:P)*(AF14+AG14))))</f>
        <v>21276</v>
      </c>
      <c r="AK14" s="673">
        <f>IF(G14="مدير ولائي",0,LOOKUP(D14,'f-travail'!A:A,'f-travail'!Q:Q))</f>
        <v>1500</v>
      </c>
      <c r="AL14" s="673">
        <f>IF(G14="مدير ولائي",0,LOOKUP(D14,'f-travail'!A:A,'f-travail'!R:R)*(AF14+AG14))</f>
        <v>0</v>
      </c>
      <c r="AM14" s="673">
        <f>IF(G14="مدير ولائي",0,LOOKUP(D14,'f-travail'!A:A,'f-travail'!S:S)*(AF14+AG14))</f>
        <v>0</v>
      </c>
      <c r="AN14" s="673">
        <f>IF(G14="مدير ولائي",0,LOOKUP(D14,'f-travail'!A:A,'f-travail'!T:T)*(AF14+AG14))</f>
        <v>0</v>
      </c>
      <c r="AO14" s="673">
        <f>IF(G14="مدير ولائي",0,LOOKUP(D14,'f-travail'!A:A,'f-travail'!U:U)*(AF14+AG14))</f>
        <v>0</v>
      </c>
      <c r="AP14" s="673">
        <f>IF(G14="مدير ولائي",0,LOOKUP(D14,'f-travail'!A:A,'f-travail'!V:V)*(AF14+AG14))</f>
        <v>10638</v>
      </c>
      <c r="AQ14" s="673">
        <f>IF(G14="مدير ولائي",0,LOOKUP(D14,'f-travail'!A:A,'f-travail'!W:W)*(AF14+AG14))</f>
        <v>6648.75</v>
      </c>
      <c r="AR14" s="673">
        <f t="shared" si="23"/>
        <v>0</v>
      </c>
      <c r="AS14" s="673">
        <f>IF(G14="مدير ولائي",0,LOOKUP(D14,'f-travail'!A:A,'f-travail'!X:X)*(AF14+AG14))</f>
        <v>0</v>
      </c>
      <c r="AT14" s="673">
        <f>IF(G14="مدير ولائي",0,LOOKUP(D14,'f-travail'!Y:Y,'f-travail'!R:R)*(AF14+AG14))</f>
        <v>0</v>
      </c>
      <c r="AU14" s="673">
        <f t="shared" si="5"/>
        <v>0</v>
      </c>
      <c r="AV14" s="673">
        <f t="shared" si="6"/>
        <v>0</v>
      </c>
      <c r="AW14" s="673">
        <f t="shared" si="7"/>
        <v>0</v>
      </c>
      <c r="AX14" s="637" t="str">
        <f t="shared" si="8"/>
        <v>بيسلبيليبسلصثقثصقثصقصث</v>
      </c>
      <c r="AY14" s="640" t="str">
        <f t="shared" si="9"/>
        <v>م7 أ 12 - د 2</v>
      </c>
      <c r="AZ14" s="673">
        <f t="shared" si="10"/>
        <v>33120</v>
      </c>
      <c r="BA14" s="639">
        <f t="shared" si="11"/>
        <v>77399.75</v>
      </c>
      <c r="BB14" s="639">
        <f t="shared" si="12"/>
        <v>10638</v>
      </c>
      <c r="BC14" s="639">
        <f t="shared" si="13"/>
        <v>0</v>
      </c>
      <c r="BD14" s="639">
        <f t="shared" si="14"/>
        <v>1500</v>
      </c>
      <c r="BE14" s="639">
        <f t="shared" si="15"/>
        <v>2000</v>
      </c>
      <c r="BF14" s="639">
        <f t="shared" si="16"/>
        <v>6648.75</v>
      </c>
      <c r="BG14" s="639">
        <f t="shared" si="24"/>
        <v>0</v>
      </c>
      <c r="BH14" s="683">
        <f t="shared" si="25"/>
        <v>0</v>
      </c>
      <c r="BI14" s="683">
        <f t="shared" si="26"/>
        <v>0</v>
      </c>
      <c r="BJ14" s="641">
        <f t="shared" si="27"/>
        <v>76799.75</v>
      </c>
      <c r="BK14" s="641">
        <f t="shared" si="28"/>
        <v>6911.98</v>
      </c>
      <c r="BL14" s="641">
        <f t="shared" si="29"/>
        <v>66870.77</v>
      </c>
      <c r="BM14" s="684">
        <f t="shared" si="30"/>
        <v>6780.62</v>
      </c>
      <c r="BN14" s="643" t="s">
        <v>817</v>
      </c>
      <c r="BO14" s="682" t="str">
        <f>CONCATENATE(Z14," ",LOOKUP(D14,'f-travail'!A:A,'f-travail'!F:F))</f>
        <v>م7 أ 12</v>
      </c>
      <c r="BP14" s="669" t="str">
        <f t="shared" si="17"/>
        <v>رئيس مكتب (مفتش رئيسي)</v>
      </c>
    </row>
    <row r="15" spans="1:68">
      <c r="A15" s="636">
        <f t="shared" si="31"/>
        <v>14</v>
      </c>
      <c r="B15" s="637" t="s">
        <v>872</v>
      </c>
      <c r="C15" s="637" t="s">
        <v>873</v>
      </c>
      <c r="D15" s="652">
        <v>14</v>
      </c>
      <c r="E15" s="679" t="str">
        <f>LOOKUP(D15,'f-travail'!A:A,'f-travail'!B:B)</f>
        <v>مفتش رئيسي</v>
      </c>
      <c r="F15" s="650" t="s">
        <v>539</v>
      </c>
      <c r="G15" s="650" t="s">
        <v>379</v>
      </c>
      <c r="H15" s="653">
        <v>2</v>
      </c>
      <c r="I15" s="653"/>
      <c r="J15" s="654" t="s">
        <v>541</v>
      </c>
      <c r="K15" s="650"/>
      <c r="L15" s="650"/>
      <c r="M15" s="650">
        <v>0</v>
      </c>
      <c r="N15" s="654"/>
      <c r="O15" s="654"/>
      <c r="P15" s="654"/>
      <c r="Q15" s="654"/>
      <c r="R15" s="676">
        <v>7777777777</v>
      </c>
      <c r="S15" s="654" t="s">
        <v>562</v>
      </c>
      <c r="T15" s="675"/>
      <c r="U15" s="675"/>
      <c r="V15" s="670">
        <f>LOOKUP(D15,'f-travail'!A:A,'f-travail'!E:E)</f>
        <v>12</v>
      </c>
      <c r="W15" s="670">
        <f>VLOOKUP(V15,جرقمإستدلالي,'f-travail'!$AD$4+1,FALSE)</f>
        <v>537</v>
      </c>
      <c r="X15" s="671">
        <f t="shared" si="0"/>
        <v>54</v>
      </c>
      <c r="Y15" s="671">
        <f>IF(G15="مدير ولائي",(HLOOKUP(I15,جدروظعليا,'f-travail'!$AT$3+1,FALSE)-3200),0)</f>
        <v>0</v>
      </c>
      <c r="Z15" s="672" t="str">
        <f t="shared" si="18"/>
        <v>م7</v>
      </c>
      <c r="AA15" s="671">
        <f t="shared" si="19"/>
        <v>145</v>
      </c>
      <c r="AB15" s="677" t="str">
        <f t="shared" si="20"/>
        <v>م()</v>
      </c>
      <c r="AC15" s="678">
        <f t="shared" si="32"/>
        <v>0</v>
      </c>
      <c r="AD15" s="673">
        <f t="shared" si="1"/>
        <v>0</v>
      </c>
      <c r="AE15" s="678">
        <f t="shared" si="2"/>
        <v>0</v>
      </c>
      <c r="AF15" s="678">
        <f t="shared" si="3"/>
        <v>24165</v>
      </c>
      <c r="AG15" s="678">
        <f t="shared" si="4"/>
        <v>2430</v>
      </c>
      <c r="AH15" s="673">
        <f t="shared" si="22"/>
        <v>0</v>
      </c>
      <c r="AI15" s="674">
        <f>IF(G15="مدير ولائي",(11000*35%),LOOKUP(D15,'f-travail'!A:A,'f-travail'!I:I))</f>
        <v>1617</v>
      </c>
      <c r="AJ15" s="673">
        <f>IF(G15="مدير ولائي",((W15+X15)*45)*80%,IF(V15&lt;8,0,IF(F15="إليزي",(LOOKUP(D15,'f-travail'!A:A,'f-travail'!O:O))*(AF15+AG15),LOOKUP(D15,'f-travail'!A:A,'f-travail'!P:P)*(AF15+AG15))))</f>
        <v>21276</v>
      </c>
      <c r="AK15" s="673">
        <f>IF(G15="مدير ولائي",0,LOOKUP(D15,'f-travail'!A:A,'f-travail'!Q:Q))</f>
        <v>1500</v>
      </c>
      <c r="AL15" s="673">
        <f>IF(G15="مدير ولائي",0,LOOKUP(D15,'f-travail'!A:A,'f-travail'!R:R)*(AF15+AG15))</f>
        <v>0</v>
      </c>
      <c r="AM15" s="673">
        <f>IF(G15="مدير ولائي",0,LOOKUP(D15,'f-travail'!A:A,'f-travail'!S:S)*(AF15+AG15))</f>
        <v>0</v>
      </c>
      <c r="AN15" s="673">
        <f>IF(G15="مدير ولائي",0,LOOKUP(D15,'f-travail'!A:A,'f-travail'!T:T)*(AF15+AG15))</f>
        <v>0</v>
      </c>
      <c r="AO15" s="673">
        <f>IF(G15="مدير ولائي",0,LOOKUP(D15,'f-travail'!A:A,'f-travail'!U:U)*(AF15+AG15))</f>
        <v>0</v>
      </c>
      <c r="AP15" s="673">
        <f>IF(G15="مدير ولائي",0,LOOKUP(D15,'f-travail'!A:A,'f-travail'!V:V)*(AF15+AG15))</f>
        <v>10638</v>
      </c>
      <c r="AQ15" s="673">
        <f>IF(G15="مدير ولائي",0,LOOKUP(D15,'f-travail'!A:A,'f-travail'!W:W)*(AF15+AG15))</f>
        <v>6648.75</v>
      </c>
      <c r="AR15" s="673">
        <f t="shared" si="23"/>
        <v>0</v>
      </c>
      <c r="AS15" s="673">
        <f>IF(G15="مدير ولائي",0,LOOKUP(D15,'f-travail'!A:A,'f-travail'!X:X)*(AF15+AG15))</f>
        <v>0</v>
      </c>
      <c r="AT15" s="673">
        <f>IF(G15="مدير ولائي",0,LOOKUP(D15,'f-travail'!Y:Y,'f-travail'!R:R)*(AF15+AG15))</f>
        <v>0</v>
      </c>
      <c r="AU15" s="673">
        <f t="shared" si="5"/>
        <v>0</v>
      </c>
      <c r="AV15" s="673">
        <f t="shared" si="6"/>
        <v>0</v>
      </c>
      <c r="AW15" s="673">
        <f t="shared" si="7"/>
        <v>0</v>
      </c>
      <c r="AX15" s="637" t="str">
        <f t="shared" si="8"/>
        <v>لللللللللللللللللللللل</v>
      </c>
      <c r="AY15" s="640" t="str">
        <f t="shared" si="9"/>
        <v>م7 أ 12 - د 2</v>
      </c>
      <c r="AZ15" s="673">
        <f t="shared" si="10"/>
        <v>33120</v>
      </c>
      <c r="BA15" s="639">
        <f t="shared" si="11"/>
        <v>74799.75</v>
      </c>
      <c r="BB15" s="639">
        <f t="shared" si="12"/>
        <v>10638</v>
      </c>
      <c r="BC15" s="639">
        <f t="shared" si="13"/>
        <v>0</v>
      </c>
      <c r="BD15" s="639">
        <f t="shared" si="14"/>
        <v>1500</v>
      </c>
      <c r="BE15" s="639">
        <f t="shared" si="15"/>
        <v>0</v>
      </c>
      <c r="BF15" s="639">
        <f t="shared" si="16"/>
        <v>6648.75</v>
      </c>
      <c r="BG15" s="639">
        <f t="shared" si="24"/>
        <v>0</v>
      </c>
      <c r="BH15" s="683">
        <f t="shared" si="25"/>
        <v>0</v>
      </c>
      <c r="BI15" s="683">
        <f t="shared" si="26"/>
        <v>0</v>
      </c>
      <c r="BJ15" s="641">
        <f t="shared" si="27"/>
        <v>74799.75</v>
      </c>
      <c r="BK15" s="641">
        <f t="shared" si="28"/>
        <v>6731.98</v>
      </c>
      <c r="BL15" s="641">
        <f t="shared" si="29"/>
        <v>66450.77</v>
      </c>
      <c r="BM15" s="684">
        <f t="shared" si="30"/>
        <v>6717.62</v>
      </c>
      <c r="BN15" s="643" t="s">
        <v>818</v>
      </c>
      <c r="BO15" s="682" t="str">
        <f>CONCATENATE(Z15," ",LOOKUP(D15,'f-travail'!A:A,'f-travail'!F:F))</f>
        <v>م7 أ 12</v>
      </c>
      <c r="BP15" s="669" t="str">
        <f t="shared" si="17"/>
        <v>رئيس مكتب (مفتش رئيسي)</v>
      </c>
    </row>
    <row r="16" spans="1:68">
      <c r="A16" s="636">
        <f t="shared" si="31"/>
        <v>15</v>
      </c>
      <c r="B16" s="637" t="s">
        <v>874</v>
      </c>
      <c r="C16" s="637" t="s">
        <v>875</v>
      </c>
      <c r="D16" s="652">
        <v>14</v>
      </c>
      <c r="E16" s="679" t="str">
        <f>LOOKUP(D16,'f-travail'!A:A,'f-travail'!B:B)</f>
        <v>مفتش رئيسي</v>
      </c>
      <c r="F16" s="650" t="s">
        <v>539</v>
      </c>
      <c r="G16" s="650" t="s">
        <v>379</v>
      </c>
      <c r="H16" s="653">
        <v>2</v>
      </c>
      <c r="I16" s="653"/>
      <c r="J16" s="654" t="s">
        <v>541</v>
      </c>
      <c r="K16" s="650"/>
      <c r="L16" s="650"/>
      <c r="M16" s="650">
        <v>0</v>
      </c>
      <c r="N16" s="654"/>
      <c r="O16" s="654"/>
      <c r="P16" s="654"/>
      <c r="Q16" s="654"/>
      <c r="R16" s="676">
        <v>7777777777</v>
      </c>
      <c r="S16" s="654" t="s">
        <v>562</v>
      </c>
      <c r="T16" s="675"/>
      <c r="U16" s="675"/>
      <c r="V16" s="670">
        <f>LOOKUP(D16,'f-travail'!A:A,'f-travail'!E:E)</f>
        <v>12</v>
      </c>
      <c r="W16" s="670">
        <f>VLOOKUP(V16,جرقمإستدلالي,'f-travail'!$AD$4+1,FALSE)</f>
        <v>537</v>
      </c>
      <c r="X16" s="671">
        <f t="shared" si="0"/>
        <v>54</v>
      </c>
      <c r="Y16" s="671">
        <f>IF(G16="مدير ولائي",(HLOOKUP(I16,جدروظعليا,'f-travail'!$AT$3+1,FALSE)-3200),0)</f>
        <v>0</v>
      </c>
      <c r="Z16" s="672" t="str">
        <f t="shared" si="18"/>
        <v>م7</v>
      </c>
      <c r="AA16" s="671">
        <f t="shared" si="19"/>
        <v>145</v>
      </c>
      <c r="AB16" s="677" t="str">
        <f t="shared" si="20"/>
        <v>م()</v>
      </c>
      <c r="AC16" s="678">
        <f t="shared" si="32"/>
        <v>0</v>
      </c>
      <c r="AD16" s="673">
        <f t="shared" si="1"/>
        <v>0</v>
      </c>
      <c r="AE16" s="678">
        <f t="shared" si="2"/>
        <v>0</v>
      </c>
      <c r="AF16" s="678">
        <f t="shared" si="3"/>
        <v>24165</v>
      </c>
      <c r="AG16" s="678">
        <f t="shared" si="4"/>
        <v>2430</v>
      </c>
      <c r="AH16" s="673">
        <f t="shared" si="22"/>
        <v>0</v>
      </c>
      <c r="AI16" s="674">
        <f>IF(G16="مدير ولائي",(11000*35%),LOOKUP(D16,'f-travail'!A:A,'f-travail'!I:I))</f>
        <v>1617</v>
      </c>
      <c r="AJ16" s="673">
        <f>IF(G16="مدير ولائي",((W16+X16)*45)*80%,IF(V16&lt;8,0,IF(F16="إليزي",(LOOKUP(D16,'f-travail'!A:A,'f-travail'!O:O))*(AF16+AG16),LOOKUP(D16,'f-travail'!A:A,'f-travail'!P:P)*(AF16+AG16))))</f>
        <v>21276</v>
      </c>
      <c r="AK16" s="673">
        <f>IF(G16="مدير ولائي",0,LOOKUP(D16,'f-travail'!A:A,'f-travail'!Q:Q))</f>
        <v>1500</v>
      </c>
      <c r="AL16" s="673">
        <f>IF(G16="مدير ولائي",0,LOOKUP(D16,'f-travail'!A:A,'f-travail'!R:R)*(AF16+AG16))</f>
        <v>0</v>
      </c>
      <c r="AM16" s="673">
        <f>IF(G16="مدير ولائي",0,LOOKUP(D16,'f-travail'!A:A,'f-travail'!S:S)*(AF16+AG16))</f>
        <v>0</v>
      </c>
      <c r="AN16" s="673">
        <f>IF(G16="مدير ولائي",0,LOOKUP(D16,'f-travail'!A:A,'f-travail'!T:T)*(AF16+AG16))</f>
        <v>0</v>
      </c>
      <c r="AO16" s="673">
        <f>IF(G16="مدير ولائي",0,LOOKUP(D16,'f-travail'!A:A,'f-travail'!U:U)*(AF16+AG16))</f>
        <v>0</v>
      </c>
      <c r="AP16" s="673">
        <f>IF(G16="مدير ولائي",0,LOOKUP(D16,'f-travail'!A:A,'f-travail'!V:V)*(AF16+AG16))</f>
        <v>10638</v>
      </c>
      <c r="AQ16" s="673">
        <f>IF(G16="مدير ولائي",0,LOOKUP(D16,'f-travail'!A:A,'f-travail'!W:W)*(AF16+AG16))</f>
        <v>6648.75</v>
      </c>
      <c r="AR16" s="673">
        <f t="shared" si="23"/>
        <v>0</v>
      </c>
      <c r="AS16" s="673">
        <f>IF(G16="مدير ولائي",0,LOOKUP(D16,'f-travail'!A:A,'f-travail'!X:X)*(AF16+AG16))</f>
        <v>0</v>
      </c>
      <c r="AT16" s="673">
        <f>IF(G16="مدير ولائي",0,LOOKUP(D16,'f-travail'!Y:Y,'f-travail'!R:R)*(AF16+AG16))</f>
        <v>0</v>
      </c>
      <c r="AU16" s="673">
        <f t="shared" si="5"/>
        <v>0</v>
      </c>
      <c r="AV16" s="673">
        <f t="shared" si="6"/>
        <v>0</v>
      </c>
      <c r="AW16" s="673">
        <f t="shared" si="7"/>
        <v>0</v>
      </c>
      <c r="AX16" s="637" t="str">
        <f t="shared" si="8"/>
        <v>فففففففففففففففففففف</v>
      </c>
      <c r="AY16" s="640" t="str">
        <f t="shared" si="9"/>
        <v>م7 أ 12 - د 2</v>
      </c>
      <c r="AZ16" s="673">
        <f t="shared" si="10"/>
        <v>33120</v>
      </c>
      <c r="BA16" s="639">
        <f t="shared" si="11"/>
        <v>74799.75</v>
      </c>
      <c r="BB16" s="639">
        <f t="shared" si="12"/>
        <v>10638</v>
      </c>
      <c r="BC16" s="639">
        <f t="shared" si="13"/>
        <v>0</v>
      </c>
      <c r="BD16" s="639">
        <f t="shared" si="14"/>
        <v>1500</v>
      </c>
      <c r="BE16" s="639">
        <f t="shared" si="15"/>
        <v>0</v>
      </c>
      <c r="BF16" s="639">
        <f t="shared" si="16"/>
        <v>6648.75</v>
      </c>
      <c r="BG16" s="639">
        <f t="shared" si="24"/>
        <v>0</v>
      </c>
      <c r="BH16" s="683">
        <f t="shared" si="25"/>
        <v>0</v>
      </c>
      <c r="BI16" s="683">
        <f t="shared" si="26"/>
        <v>0</v>
      </c>
      <c r="BJ16" s="641">
        <f t="shared" si="27"/>
        <v>74799.75</v>
      </c>
      <c r="BK16" s="641">
        <f t="shared" si="28"/>
        <v>6731.98</v>
      </c>
      <c r="BL16" s="641">
        <f t="shared" si="29"/>
        <v>66450.77</v>
      </c>
      <c r="BM16" s="684">
        <f t="shared" si="30"/>
        <v>6717.62</v>
      </c>
      <c r="BN16" s="643" t="s">
        <v>819</v>
      </c>
      <c r="BO16" s="682" t="str">
        <f>CONCATENATE(Z16," ",LOOKUP(D16,'f-travail'!A:A,'f-travail'!F:F))</f>
        <v>م7 أ 12</v>
      </c>
      <c r="BP16" s="669" t="str">
        <f t="shared" si="17"/>
        <v>رئيس مكتب (مفتش رئيسي)</v>
      </c>
    </row>
    <row r="17" spans="1:68">
      <c r="A17" s="636">
        <f t="shared" si="31"/>
        <v>16</v>
      </c>
      <c r="B17" s="637" t="s">
        <v>876</v>
      </c>
      <c r="C17" s="637" t="s">
        <v>877</v>
      </c>
      <c r="D17" s="652">
        <v>21</v>
      </c>
      <c r="E17" s="679" t="str">
        <f>LOOKUP(D17,'f-travail'!A:A,'f-travail'!B:B)</f>
        <v>مفتش</v>
      </c>
      <c r="F17" s="650" t="s">
        <v>539</v>
      </c>
      <c r="G17" s="650" t="s">
        <v>379</v>
      </c>
      <c r="H17" s="653">
        <v>12</v>
      </c>
      <c r="I17" s="653"/>
      <c r="J17" s="654" t="s">
        <v>543</v>
      </c>
      <c r="K17" s="650">
        <v>5</v>
      </c>
      <c r="L17" s="650"/>
      <c r="M17" s="650">
        <v>0</v>
      </c>
      <c r="N17" s="654"/>
      <c r="O17" s="654"/>
      <c r="P17" s="654"/>
      <c r="Q17" s="654"/>
      <c r="R17" s="676">
        <v>11111111111</v>
      </c>
      <c r="S17" s="654" t="s">
        <v>562</v>
      </c>
      <c r="T17" s="675"/>
      <c r="U17" s="675"/>
      <c r="V17" s="670">
        <f>LOOKUP(D17,'f-travail'!A:A,'f-travail'!E:E)</f>
        <v>10</v>
      </c>
      <c r="W17" s="670">
        <f>VLOOKUP(V17,جرقمإستدلالي,'f-travail'!$AD$4+1,FALSE)</f>
        <v>453</v>
      </c>
      <c r="X17" s="671">
        <f t="shared" si="0"/>
        <v>272</v>
      </c>
      <c r="Y17" s="671">
        <f>IF(G17="مدير ولائي",(HLOOKUP(I17,جدروظعليا,'f-travail'!$AT$3+1,FALSE)-3200),0)</f>
        <v>0</v>
      </c>
      <c r="Z17" s="672" t="str">
        <f t="shared" si="18"/>
        <v>م7</v>
      </c>
      <c r="AA17" s="671">
        <f t="shared" si="19"/>
        <v>145</v>
      </c>
      <c r="AB17" s="677" t="str">
        <f t="shared" si="20"/>
        <v>م(5)</v>
      </c>
      <c r="AC17" s="678">
        <f t="shared" si="32"/>
        <v>0</v>
      </c>
      <c r="AD17" s="673">
        <f t="shared" si="1"/>
        <v>0</v>
      </c>
      <c r="AE17" s="678">
        <f t="shared" si="2"/>
        <v>1500</v>
      </c>
      <c r="AF17" s="678">
        <f t="shared" si="3"/>
        <v>20385</v>
      </c>
      <c r="AG17" s="678">
        <f t="shared" si="4"/>
        <v>12240</v>
      </c>
      <c r="AH17" s="673">
        <f t="shared" si="22"/>
        <v>0</v>
      </c>
      <c r="AI17" s="674">
        <f>IF(G17="مدير ولائي",(11000*35%),LOOKUP(D17,'f-travail'!A:A,'f-travail'!I:I))</f>
        <v>1372</v>
      </c>
      <c r="AJ17" s="673">
        <f>IF(G17="مدير ولائي",((W17+X17)*45)*80%,IF(V17&lt;8,0,IF(F17="إليزي",(LOOKUP(D17,'f-travail'!A:A,'f-travail'!O:O))*(AF17+AG17),LOOKUP(D17,'f-travail'!A:A,'f-travail'!P:P)*(AF17+AG17))))</f>
        <v>11418.75</v>
      </c>
      <c r="AK17" s="673">
        <f>IF(G17="مدير ولائي",0,LOOKUP(D17,'f-travail'!A:A,'f-travail'!Q:Q))</f>
        <v>3100</v>
      </c>
      <c r="AL17" s="673">
        <f>IF(G17="مدير ولائي",0,LOOKUP(D17,'f-travail'!A:A,'f-travail'!R:R)*(AF17+AG17))</f>
        <v>0</v>
      </c>
      <c r="AM17" s="673">
        <f>IF(G17="مدير ولائي",0,LOOKUP(D17,'f-travail'!A:A,'f-travail'!S:S)*(AF17+AG17))</f>
        <v>0</v>
      </c>
      <c r="AN17" s="673">
        <f>IF(G17="مدير ولائي",0,LOOKUP(D17,'f-travail'!A:A,'f-travail'!T:T)*(AF17+AG17))</f>
        <v>0</v>
      </c>
      <c r="AO17" s="673">
        <f>IF(G17="مدير ولائي",0,LOOKUP(D17,'f-travail'!A:A,'f-travail'!U:U)*(AF17+AG17))</f>
        <v>0</v>
      </c>
      <c r="AP17" s="673">
        <f>IF(G17="مدير ولائي",0,LOOKUP(D17,'f-travail'!A:A,'f-travail'!V:V)*(AF17+AG17))</f>
        <v>9787.5</v>
      </c>
      <c r="AQ17" s="673">
        <f>IF(G17="مدير ولائي",0,LOOKUP(D17,'f-travail'!A:A,'f-travail'!W:W)*(AF17+AG17))</f>
        <v>8156.25</v>
      </c>
      <c r="AR17" s="673">
        <f t="shared" si="23"/>
        <v>0</v>
      </c>
      <c r="AS17" s="673">
        <f>IF(G17="مدير ولائي",0,LOOKUP(D17,'f-travail'!A:A,'f-travail'!X:X)*(AF17+AG17))</f>
        <v>0</v>
      </c>
      <c r="AT17" s="673">
        <f>IF(G17="مدير ولائي",0,LOOKUP(D17,'f-travail'!Y:Y,'f-travail'!R:R)*(AF17+AG17))</f>
        <v>0</v>
      </c>
      <c r="AU17" s="673">
        <f t="shared" si="5"/>
        <v>0</v>
      </c>
      <c r="AV17" s="673">
        <f t="shared" si="6"/>
        <v>0</v>
      </c>
      <c r="AW17" s="673">
        <f t="shared" si="7"/>
        <v>0</v>
      </c>
      <c r="AX17" s="637" t="str">
        <f t="shared" si="8"/>
        <v>يسلللللللسيييييييي</v>
      </c>
      <c r="AY17" s="640" t="str">
        <f t="shared" si="9"/>
        <v>م7 ب 10 - د 12</v>
      </c>
      <c r="AZ17" s="673">
        <f t="shared" si="10"/>
        <v>39150</v>
      </c>
      <c r="BA17" s="639">
        <f t="shared" si="11"/>
        <v>74484.5</v>
      </c>
      <c r="BB17" s="639">
        <f t="shared" si="12"/>
        <v>9787.5</v>
      </c>
      <c r="BC17" s="639">
        <f t="shared" si="13"/>
        <v>0</v>
      </c>
      <c r="BD17" s="639">
        <f t="shared" si="14"/>
        <v>3100</v>
      </c>
      <c r="BE17" s="639">
        <f t="shared" si="15"/>
        <v>0</v>
      </c>
      <c r="BF17" s="639">
        <f t="shared" si="16"/>
        <v>8156.25</v>
      </c>
      <c r="BG17" s="639">
        <f t="shared" si="24"/>
        <v>0</v>
      </c>
      <c r="BH17" s="683">
        <f t="shared" si="25"/>
        <v>0</v>
      </c>
      <c r="BI17" s="683">
        <f t="shared" si="26"/>
        <v>0</v>
      </c>
      <c r="BJ17" s="641">
        <f t="shared" si="27"/>
        <v>72984.5</v>
      </c>
      <c r="BK17" s="641">
        <f t="shared" si="28"/>
        <v>6568.61</v>
      </c>
      <c r="BL17" s="641">
        <f t="shared" si="29"/>
        <v>66543.89</v>
      </c>
      <c r="BM17" s="684">
        <f t="shared" si="30"/>
        <v>6731.58</v>
      </c>
      <c r="BN17" s="643" t="s">
        <v>820</v>
      </c>
      <c r="BO17" s="682" t="str">
        <f>CONCATENATE(Z17," ",LOOKUP(D17,'f-travail'!A:A,'f-travail'!F:F))</f>
        <v>م7 ب 10</v>
      </c>
      <c r="BP17" s="669" t="str">
        <f t="shared" si="17"/>
        <v>رئيس مكتب (مفتش)</v>
      </c>
    </row>
    <row r="18" spans="1:68">
      <c r="A18" s="636">
        <f t="shared" si="31"/>
        <v>17</v>
      </c>
      <c r="B18" s="637" t="s">
        <v>878</v>
      </c>
      <c r="C18" s="637" t="s">
        <v>879</v>
      </c>
      <c r="D18" s="652">
        <v>21</v>
      </c>
      <c r="E18" s="679" t="str">
        <f>LOOKUP(D18,'f-travail'!A:A,'f-travail'!B:B)</f>
        <v>مفتش</v>
      </c>
      <c r="F18" s="650" t="s">
        <v>539</v>
      </c>
      <c r="G18" s="650"/>
      <c r="H18" s="653">
        <v>10</v>
      </c>
      <c r="I18" s="653"/>
      <c r="J18" s="654" t="s">
        <v>543</v>
      </c>
      <c r="K18" s="650">
        <v>3</v>
      </c>
      <c r="L18" s="650">
        <v>1</v>
      </c>
      <c r="M18" s="650">
        <v>0</v>
      </c>
      <c r="N18" s="654"/>
      <c r="O18" s="654"/>
      <c r="P18" s="654"/>
      <c r="Q18" s="654"/>
      <c r="R18" s="676">
        <v>11111111111</v>
      </c>
      <c r="S18" s="654" t="s">
        <v>550</v>
      </c>
      <c r="T18" s="675"/>
      <c r="U18" s="675"/>
      <c r="V18" s="670">
        <f>LOOKUP(D18,'f-travail'!A:A,'f-travail'!E:E)</f>
        <v>10</v>
      </c>
      <c r="W18" s="670">
        <f>VLOOKUP(V18,جرقمإستدلالي,'f-travail'!$AD$4+1,FALSE)</f>
        <v>453</v>
      </c>
      <c r="X18" s="671">
        <f t="shared" si="0"/>
        <v>227</v>
      </c>
      <c r="Y18" s="671">
        <f>IF(G18="مدير ولائي",(HLOOKUP(I18,جدروظعليا,'f-travail'!$AT$3+1,FALSE)-3200),0)</f>
        <v>0</v>
      </c>
      <c r="Z18" s="672" t="str">
        <f t="shared" si="18"/>
        <v/>
      </c>
      <c r="AA18" s="671">
        <f t="shared" si="19"/>
        <v>0</v>
      </c>
      <c r="AB18" s="677" t="str">
        <f t="shared" si="20"/>
        <v>م(3)</v>
      </c>
      <c r="AC18" s="678">
        <f t="shared" si="32"/>
        <v>0</v>
      </c>
      <c r="AD18" s="673">
        <f t="shared" si="1"/>
        <v>11.25</v>
      </c>
      <c r="AE18" s="678">
        <f t="shared" si="2"/>
        <v>911.25</v>
      </c>
      <c r="AF18" s="678">
        <f t="shared" si="3"/>
        <v>20385</v>
      </c>
      <c r="AG18" s="678">
        <f t="shared" si="4"/>
        <v>10215</v>
      </c>
      <c r="AH18" s="673">
        <f t="shared" si="22"/>
        <v>0</v>
      </c>
      <c r="AI18" s="674">
        <f>IF(G18="مدير ولائي",(11000*35%),LOOKUP(D18,'f-travail'!A:A,'f-travail'!I:I))</f>
        <v>1372</v>
      </c>
      <c r="AJ18" s="673">
        <f>IF(G18="مدير ولائي",((W18+X18)*45)*80%,IF(V18&lt;8,0,IF(F18="إليزي",(LOOKUP(D18,'f-travail'!A:A,'f-travail'!O:O))*(AF18+AG18),LOOKUP(D18,'f-travail'!A:A,'f-travail'!P:P)*(AF18+AG18))))</f>
        <v>10710</v>
      </c>
      <c r="AK18" s="673">
        <f>IF(G18="مدير ولائي",0,LOOKUP(D18,'f-travail'!A:A,'f-travail'!Q:Q))</f>
        <v>3100</v>
      </c>
      <c r="AL18" s="673">
        <f>IF(G18="مدير ولائي",0,LOOKUP(D18,'f-travail'!A:A,'f-travail'!R:R)*(AF18+AG18))</f>
        <v>0</v>
      </c>
      <c r="AM18" s="673">
        <f>IF(G18="مدير ولائي",0,LOOKUP(D18,'f-travail'!A:A,'f-travail'!S:S)*(AF18+AG18))</f>
        <v>0</v>
      </c>
      <c r="AN18" s="673">
        <f>IF(G18="مدير ولائي",0,LOOKUP(D18,'f-travail'!A:A,'f-travail'!T:T)*(AF18+AG18))</f>
        <v>0</v>
      </c>
      <c r="AO18" s="673">
        <f>IF(G18="مدير ولائي",0,LOOKUP(D18,'f-travail'!A:A,'f-travail'!U:U)*(AF18+AG18))</f>
        <v>0</v>
      </c>
      <c r="AP18" s="673">
        <f>IF(G18="مدير ولائي",0,LOOKUP(D18,'f-travail'!A:A,'f-travail'!V:V)*(AF18+AG18))</f>
        <v>9180</v>
      </c>
      <c r="AQ18" s="673">
        <f>IF(G18="مدير ولائي",0,LOOKUP(D18,'f-travail'!A:A,'f-travail'!W:W)*(AF18+AG18))</f>
        <v>7650</v>
      </c>
      <c r="AR18" s="673">
        <f t="shared" si="23"/>
        <v>0</v>
      </c>
      <c r="AS18" s="673">
        <f>IF(G18="مدير ولائي",0,LOOKUP(D18,'f-travail'!A:A,'f-travail'!X:X)*(AF18+AG18))</f>
        <v>0</v>
      </c>
      <c r="AT18" s="673">
        <f>IF(G18="مدير ولائي",0,LOOKUP(D18,'f-travail'!Y:Y,'f-travail'!R:R)*(AF18+AG18))</f>
        <v>0</v>
      </c>
      <c r="AU18" s="673">
        <f t="shared" si="5"/>
        <v>0</v>
      </c>
      <c r="AV18" s="673">
        <f t="shared" si="6"/>
        <v>0</v>
      </c>
      <c r="AW18" s="673">
        <f t="shared" si="7"/>
        <v>0</v>
      </c>
      <c r="AX18" s="637" t="str">
        <f t="shared" si="8"/>
        <v>ررءرءؤرؤءرليسليسليسل</v>
      </c>
      <c r="AY18" s="640" t="str">
        <f t="shared" si="9"/>
        <v xml:space="preserve"> ب 10 - د 10</v>
      </c>
      <c r="AZ18" s="673">
        <f t="shared" si="10"/>
        <v>30600</v>
      </c>
      <c r="BA18" s="639">
        <f t="shared" si="11"/>
        <v>63523.25</v>
      </c>
      <c r="BB18" s="639">
        <f t="shared" si="12"/>
        <v>9180</v>
      </c>
      <c r="BC18" s="639">
        <f t="shared" si="13"/>
        <v>0</v>
      </c>
      <c r="BD18" s="639">
        <f t="shared" si="14"/>
        <v>3100</v>
      </c>
      <c r="BE18" s="639">
        <f t="shared" si="15"/>
        <v>0</v>
      </c>
      <c r="BF18" s="639">
        <f t="shared" si="16"/>
        <v>7650</v>
      </c>
      <c r="BG18" s="639">
        <f t="shared" si="24"/>
        <v>0</v>
      </c>
      <c r="BH18" s="683">
        <f t="shared" si="25"/>
        <v>0</v>
      </c>
      <c r="BI18" s="683">
        <f t="shared" si="26"/>
        <v>0</v>
      </c>
      <c r="BJ18" s="641">
        <f t="shared" si="27"/>
        <v>62612</v>
      </c>
      <c r="BK18" s="641">
        <f t="shared" si="28"/>
        <v>5635.08</v>
      </c>
      <c r="BL18" s="641">
        <f t="shared" si="29"/>
        <v>56516.17</v>
      </c>
      <c r="BM18" s="684">
        <f t="shared" si="30"/>
        <v>5227.43</v>
      </c>
      <c r="BN18" s="643" t="s">
        <v>821</v>
      </c>
      <c r="BO18" s="682" t="str">
        <f>CONCATENATE(Z18," ",LOOKUP(D18,'f-travail'!A:A,'f-travail'!F:F))</f>
        <v xml:space="preserve"> ب 10</v>
      </c>
      <c r="BP18" s="669" t="str">
        <f t="shared" si="17"/>
        <v xml:space="preserve"> مفتش</v>
      </c>
    </row>
    <row r="19" spans="1:68">
      <c r="A19" s="636">
        <f t="shared" si="31"/>
        <v>18</v>
      </c>
      <c r="B19" s="637" t="s">
        <v>880</v>
      </c>
      <c r="C19" s="637" t="s">
        <v>881</v>
      </c>
      <c r="D19" s="652">
        <v>5</v>
      </c>
      <c r="E19" s="679" t="str">
        <f>LOOKUP(D19,'f-travail'!A:A,'f-travail'!B:B)</f>
        <v>متصرف رئيسي</v>
      </c>
      <c r="F19" s="650" t="s">
        <v>539</v>
      </c>
      <c r="G19" s="650" t="s">
        <v>379</v>
      </c>
      <c r="H19" s="653">
        <v>3</v>
      </c>
      <c r="I19" s="653"/>
      <c r="J19" s="654" t="s">
        <v>542</v>
      </c>
      <c r="K19" s="650">
        <v>1</v>
      </c>
      <c r="L19" s="650"/>
      <c r="M19" s="650">
        <v>1</v>
      </c>
      <c r="N19" s="654"/>
      <c r="O19" s="654"/>
      <c r="P19" s="654"/>
      <c r="Q19" s="654"/>
      <c r="R19" s="676">
        <v>11111111111</v>
      </c>
      <c r="S19" s="654" t="s">
        <v>562</v>
      </c>
      <c r="T19" s="675"/>
      <c r="U19" s="675"/>
      <c r="V19" s="670">
        <f>LOOKUP(D19,'f-travail'!A:A,'f-travail'!E:E)</f>
        <v>14</v>
      </c>
      <c r="W19" s="670">
        <f>VLOOKUP(V19,جرقمإستدلالي,'f-travail'!$AD$4+1,FALSE)</f>
        <v>621</v>
      </c>
      <c r="X19" s="671">
        <f t="shared" si="0"/>
        <v>93</v>
      </c>
      <c r="Y19" s="671">
        <f>IF(G19="مدير ولائي",(HLOOKUP(I19,جدروظعليا,'f-travail'!$AT$3+1,FALSE)-3200),0)</f>
        <v>0</v>
      </c>
      <c r="Z19" s="672" t="str">
        <f t="shared" si="18"/>
        <v>م7</v>
      </c>
      <c r="AA19" s="671">
        <f t="shared" si="19"/>
        <v>145</v>
      </c>
      <c r="AB19" s="677" t="str">
        <f t="shared" si="20"/>
        <v>م(1)</v>
      </c>
      <c r="AC19" s="678">
        <f t="shared" si="32"/>
        <v>800</v>
      </c>
      <c r="AD19" s="673">
        <f t="shared" si="1"/>
        <v>0</v>
      </c>
      <c r="AE19" s="678">
        <f t="shared" si="2"/>
        <v>1100</v>
      </c>
      <c r="AF19" s="678">
        <f t="shared" si="3"/>
        <v>27945</v>
      </c>
      <c r="AG19" s="678">
        <f t="shared" si="4"/>
        <v>4185</v>
      </c>
      <c r="AH19" s="673">
        <f t="shared" si="22"/>
        <v>2000</v>
      </c>
      <c r="AI19" s="674">
        <f>IF(G19="مدير ولائي",(11000*35%),LOOKUP(D19,'f-travail'!A:A,'f-travail'!I:I))</f>
        <v>1869</v>
      </c>
      <c r="AJ19" s="673">
        <f>IF(G19="مدير ولائي",((W19+X19)*45)*80%,IF(V19&lt;8,0,IF(F19="إليزي",(LOOKUP(D19,'f-travail'!A:A,'f-travail'!O:O))*(AF19+AG19),LOOKUP(D19,'f-travail'!A:A,'f-travail'!P:P)*(AF19+AG19))))</f>
        <v>25704</v>
      </c>
      <c r="AK19" s="673">
        <f>IF(G19="مدير ولائي",0,LOOKUP(D19,'f-travail'!A:A,'f-travail'!Q:Q))</f>
        <v>1500</v>
      </c>
      <c r="AL19" s="673">
        <f>IF(G19="مدير ولائي",0,LOOKUP(D19,'f-travail'!A:A,'f-travail'!R:R)*(AF19+AG19))</f>
        <v>12852</v>
      </c>
      <c r="AM19" s="673">
        <f>IF(G19="مدير ولائي",0,LOOKUP(D19,'f-travail'!A:A,'f-travail'!S:S)*(AF19+AG19))</f>
        <v>0</v>
      </c>
      <c r="AN19" s="673">
        <f>IF(G19="مدير ولائي",0,LOOKUP(D19,'f-travail'!A:A,'f-travail'!T:T)*(AF19+AG19))</f>
        <v>0</v>
      </c>
      <c r="AO19" s="673">
        <f>IF(G19="مدير ولائي",0,LOOKUP(D19,'f-travail'!A:A,'f-travail'!U:U)*(AF19+AG19))</f>
        <v>0</v>
      </c>
      <c r="AP19" s="673">
        <f>IF(G19="مدير ولائي",0,LOOKUP(D19,'f-travail'!A:A,'f-travail'!V:V)*(AF19+AG19))</f>
        <v>0</v>
      </c>
      <c r="AQ19" s="673">
        <f>IF(G19="مدير ولائي",0,LOOKUP(D19,'f-travail'!A:A,'f-travail'!W:W)*(AF19+AG19))</f>
        <v>0</v>
      </c>
      <c r="AR19" s="673">
        <f t="shared" si="23"/>
        <v>0</v>
      </c>
      <c r="AS19" s="673">
        <f>IF(G19="مدير ولائي",0,LOOKUP(D19,'f-travail'!A:A,'f-travail'!X:X)*(AF19+AG19))</f>
        <v>3213</v>
      </c>
      <c r="AT19" s="673">
        <f>IF(G19="مدير ولائي",0,LOOKUP(D19,'f-travail'!Y:Y,'f-travail'!R:R)*(AF19+AG19))</f>
        <v>0</v>
      </c>
      <c r="AU19" s="673">
        <f t="shared" si="5"/>
        <v>0</v>
      </c>
      <c r="AV19" s="673">
        <f t="shared" si="6"/>
        <v>0</v>
      </c>
      <c r="AW19" s="673">
        <f t="shared" si="7"/>
        <v>0</v>
      </c>
      <c r="AX19" s="637" t="str">
        <f t="shared" si="8"/>
        <v>صثقصقثصقضشللبيسلبيشل</v>
      </c>
      <c r="AY19" s="640" t="str">
        <f t="shared" si="9"/>
        <v>م7 أ 14 - د 3</v>
      </c>
      <c r="AZ19" s="673">
        <f t="shared" si="10"/>
        <v>38655</v>
      </c>
      <c r="BA19" s="639">
        <f t="shared" si="11"/>
        <v>86893</v>
      </c>
      <c r="BB19" s="639">
        <f t="shared" si="12"/>
        <v>12852</v>
      </c>
      <c r="BC19" s="639">
        <f t="shared" si="13"/>
        <v>0</v>
      </c>
      <c r="BD19" s="639">
        <f t="shared" si="14"/>
        <v>1500</v>
      </c>
      <c r="BE19" s="639">
        <f t="shared" si="15"/>
        <v>2000</v>
      </c>
      <c r="BF19" s="639">
        <f t="shared" si="16"/>
        <v>3213</v>
      </c>
      <c r="BG19" s="639">
        <f t="shared" si="24"/>
        <v>0</v>
      </c>
      <c r="BH19" s="683">
        <f t="shared" si="25"/>
        <v>0</v>
      </c>
      <c r="BI19" s="683">
        <f t="shared" si="26"/>
        <v>0</v>
      </c>
      <c r="BJ19" s="641">
        <f t="shared" si="27"/>
        <v>85793</v>
      </c>
      <c r="BK19" s="641">
        <f t="shared" si="28"/>
        <v>7721.37</v>
      </c>
      <c r="BL19" s="641">
        <f t="shared" si="29"/>
        <v>75302.63</v>
      </c>
      <c r="BM19" s="684">
        <f t="shared" si="30"/>
        <v>8045.39</v>
      </c>
      <c r="BN19" s="643" t="s">
        <v>822</v>
      </c>
      <c r="BO19" s="682" t="str">
        <f>CONCATENATE(Z19," ",LOOKUP(D19,'f-travail'!A:A,'f-travail'!F:F))</f>
        <v>م7 أ 14</v>
      </c>
      <c r="BP19" s="669" t="str">
        <f t="shared" si="17"/>
        <v>رئيس مكتب (متصرف رئيسي)</v>
      </c>
    </row>
    <row r="20" spans="1:68">
      <c r="A20" s="636">
        <f t="shared" si="31"/>
        <v>19</v>
      </c>
      <c r="B20" s="637" t="s">
        <v>882</v>
      </c>
      <c r="C20" s="637" t="s">
        <v>883</v>
      </c>
      <c r="D20" s="652">
        <v>21</v>
      </c>
      <c r="E20" s="679" t="str">
        <f>LOOKUP(D20,'f-travail'!A:A,'f-travail'!B:B)</f>
        <v>مفتش</v>
      </c>
      <c r="F20" s="650" t="s">
        <v>539</v>
      </c>
      <c r="G20" s="650" t="s">
        <v>383</v>
      </c>
      <c r="H20" s="653">
        <v>10</v>
      </c>
      <c r="I20" s="653"/>
      <c r="J20" s="654" t="s">
        <v>542</v>
      </c>
      <c r="K20" s="650">
        <v>3</v>
      </c>
      <c r="L20" s="650">
        <v>2</v>
      </c>
      <c r="M20" s="650">
        <v>1</v>
      </c>
      <c r="N20" s="654"/>
      <c r="O20" s="654"/>
      <c r="P20" s="654"/>
      <c r="Q20" s="654"/>
      <c r="R20" s="676">
        <v>11111111111</v>
      </c>
      <c r="S20" s="654" t="s">
        <v>550</v>
      </c>
      <c r="T20" s="675"/>
      <c r="U20" s="675"/>
      <c r="V20" s="670">
        <f>LOOKUP(D20,'f-travail'!A:A,'f-travail'!E:E)</f>
        <v>10</v>
      </c>
      <c r="W20" s="670">
        <f>VLOOKUP(V20,جرقمإستدلالي,'f-travail'!$AD$4+1,FALSE)</f>
        <v>453</v>
      </c>
      <c r="X20" s="671">
        <f t="shared" si="0"/>
        <v>227</v>
      </c>
      <c r="Y20" s="671">
        <f>IF(G20="مدير ولائي",(HLOOKUP(I20,جدروظعليا,'f-travail'!$AT$3+1,FALSE)-3200),0)</f>
        <v>0</v>
      </c>
      <c r="Z20" s="672" t="str">
        <f t="shared" si="18"/>
        <v>م5</v>
      </c>
      <c r="AA20" s="671">
        <f t="shared" si="19"/>
        <v>75</v>
      </c>
      <c r="AB20" s="677" t="str">
        <f t="shared" si="20"/>
        <v>م(3)</v>
      </c>
      <c r="AC20" s="678">
        <f t="shared" si="32"/>
        <v>800</v>
      </c>
      <c r="AD20" s="673">
        <f t="shared" si="1"/>
        <v>22.5</v>
      </c>
      <c r="AE20" s="678">
        <f t="shared" si="2"/>
        <v>1722.5</v>
      </c>
      <c r="AF20" s="678">
        <f t="shared" si="3"/>
        <v>20385</v>
      </c>
      <c r="AG20" s="678">
        <f t="shared" si="4"/>
        <v>10215</v>
      </c>
      <c r="AH20" s="673">
        <f t="shared" si="22"/>
        <v>2000</v>
      </c>
      <c r="AI20" s="674">
        <f>IF(G20="مدير ولائي",(11000*35%),LOOKUP(D20,'f-travail'!A:A,'f-travail'!I:I))</f>
        <v>1372</v>
      </c>
      <c r="AJ20" s="673">
        <f>IF(G20="مدير ولائي",((W20+X20)*45)*80%,IF(V20&lt;8,0,IF(F20="إليزي",(LOOKUP(D20,'f-travail'!A:A,'f-travail'!O:O))*(AF20+AG20),LOOKUP(D20,'f-travail'!A:A,'f-travail'!P:P)*(AF20+AG20))))</f>
        <v>10710</v>
      </c>
      <c r="AK20" s="673">
        <f>IF(G20="مدير ولائي",0,LOOKUP(D20,'f-travail'!A:A,'f-travail'!Q:Q))</f>
        <v>3100</v>
      </c>
      <c r="AL20" s="673">
        <f>IF(G20="مدير ولائي",0,LOOKUP(D20,'f-travail'!A:A,'f-travail'!R:R)*(AF20+AG20))</f>
        <v>0</v>
      </c>
      <c r="AM20" s="673">
        <f>IF(G20="مدير ولائي",0,LOOKUP(D20,'f-travail'!A:A,'f-travail'!S:S)*(AF20+AG20))</f>
        <v>0</v>
      </c>
      <c r="AN20" s="673">
        <f>IF(G20="مدير ولائي",0,LOOKUP(D20,'f-travail'!A:A,'f-travail'!T:T)*(AF20+AG20))</f>
        <v>0</v>
      </c>
      <c r="AO20" s="673">
        <f>IF(G20="مدير ولائي",0,LOOKUP(D20,'f-travail'!A:A,'f-travail'!U:U)*(AF20+AG20))</f>
        <v>0</v>
      </c>
      <c r="AP20" s="673">
        <f>IF(G20="مدير ولائي",0,LOOKUP(D20,'f-travail'!A:A,'f-travail'!V:V)*(AF20+AG20))</f>
        <v>9180</v>
      </c>
      <c r="AQ20" s="673">
        <f>IF(G20="مدير ولائي",0,LOOKUP(D20,'f-travail'!A:A,'f-travail'!W:W)*(AF20+AG20))</f>
        <v>7650</v>
      </c>
      <c r="AR20" s="673">
        <f t="shared" si="23"/>
        <v>0</v>
      </c>
      <c r="AS20" s="673">
        <f>IF(G20="مدير ولائي",0,LOOKUP(D20,'f-travail'!A:A,'f-travail'!X:X)*(AF20+AG20))</f>
        <v>0</v>
      </c>
      <c r="AT20" s="673">
        <f>IF(G20="مدير ولائي",0,LOOKUP(D20,'f-travail'!Y:Y,'f-travail'!R:R)*(AF20+AG20))</f>
        <v>0</v>
      </c>
      <c r="AU20" s="673">
        <f t="shared" si="5"/>
        <v>0</v>
      </c>
      <c r="AV20" s="673">
        <f t="shared" si="6"/>
        <v>0</v>
      </c>
      <c r="AW20" s="673">
        <f t="shared" si="7"/>
        <v>0</v>
      </c>
      <c r="AX20" s="637" t="str">
        <f t="shared" si="8"/>
        <v>صثقثصقثصقصثرسيبرشبيسب</v>
      </c>
      <c r="AY20" s="640" t="str">
        <f t="shared" si="9"/>
        <v>م5 ب 10 - د 10</v>
      </c>
      <c r="AZ20" s="673">
        <f t="shared" si="10"/>
        <v>33975</v>
      </c>
      <c r="BA20" s="639">
        <f t="shared" si="11"/>
        <v>69709.5</v>
      </c>
      <c r="BB20" s="639">
        <f t="shared" si="12"/>
        <v>9180</v>
      </c>
      <c r="BC20" s="639">
        <f t="shared" si="13"/>
        <v>0</v>
      </c>
      <c r="BD20" s="639">
        <f t="shared" si="14"/>
        <v>3100</v>
      </c>
      <c r="BE20" s="639">
        <f t="shared" si="15"/>
        <v>2000</v>
      </c>
      <c r="BF20" s="639">
        <f t="shared" si="16"/>
        <v>7650</v>
      </c>
      <c r="BG20" s="639">
        <f t="shared" si="24"/>
        <v>0</v>
      </c>
      <c r="BH20" s="683">
        <f t="shared" si="25"/>
        <v>0</v>
      </c>
      <c r="BI20" s="683">
        <f t="shared" si="26"/>
        <v>0</v>
      </c>
      <c r="BJ20" s="641">
        <f t="shared" si="27"/>
        <v>67987</v>
      </c>
      <c r="BK20" s="641">
        <f t="shared" si="28"/>
        <v>6118.83</v>
      </c>
      <c r="BL20" s="641">
        <f t="shared" si="29"/>
        <v>60218.67</v>
      </c>
      <c r="BM20" s="684">
        <f t="shared" si="30"/>
        <v>5782.8</v>
      </c>
      <c r="BN20" s="643" t="s">
        <v>823</v>
      </c>
      <c r="BO20" s="682" t="str">
        <f>CONCATENATE(Z20," ",LOOKUP(D20,'f-travail'!A:A,'f-travail'!F:F))</f>
        <v>م5 ب 10</v>
      </c>
      <c r="BP20" s="669" t="str">
        <f t="shared" si="17"/>
        <v>رئيس قسم (مفتش)</v>
      </c>
    </row>
    <row r="21" spans="1:68">
      <c r="A21" s="636">
        <f t="shared" si="31"/>
        <v>20</v>
      </c>
      <c r="B21" s="637" t="s">
        <v>884</v>
      </c>
      <c r="C21" s="637" t="s">
        <v>872</v>
      </c>
      <c r="D21" s="652">
        <v>21</v>
      </c>
      <c r="E21" s="679" t="str">
        <f>LOOKUP(D21,'f-travail'!A:A,'f-travail'!B:B)</f>
        <v>مفتش</v>
      </c>
      <c r="F21" s="650" t="s">
        <v>539</v>
      </c>
      <c r="G21" s="650" t="s">
        <v>383</v>
      </c>
      <c r="H21" s="653">
        <v>10</v>
      </c>
      <c r="I21" s="653"/>
      <c r="J21" s="654" t="s">
        <v>542</v>
      </c>
      <c r="K21" s="650">
        <v>6</v>
      </c>
      <c r="L21" s="650">
        <v>1</v>
      </c>
      <c r="M21" s="650">
        <v>1</v>
      </c>
      <c r="N21" s="654"/>
      <c r="O21" s="654"/>
      <c r="P21" s="654"/>
      <c r="Q21" s="654"/>
      <c r="R21" s="676">
        <v>11111111111</v>
      </c>
      <c r="S21" s="654" t="s">
        <v>550</v>
      </c>
      <c r="T21" s="675"/>
      <c r="U21" s="675"/>
      <c r="V21" s="670">
        <f>LOOKUP(D21,'f-travail'!A:A,'f-travail'!E:E)</f>
        <v>10</v>
      </c>
      <c r="W21" s="670">
        <f>VLOOKUP(V21,جرقمإستدلالي,'f-travail'!$AD$4+1,FALSE)</f>
        <v>453</v>
      </c>
      <c r="X21" s="671">
        <f t="shared" si="0"/>
        <v>227</v>
      </c>
      <c r="Y21" s="671">
        <f>IF(G21="مدير ولائي",(HLOOKUP(I21,جدروظعليا,'f-travail'!$AT$3+1,FALSE)-3200),0)</f>
        <v>0</v>
      </c>
      <c r="Z21" s="672" t="str">
        <f t="shared" si="18"/>
        <v>م5</v>
      </c>
      <c r="AA21" s="671">
        <f t="shared" si="19"/>
        <v>75</v>
      </c>
      <c r="AB21" s="677" t="str">
        <f t="shared" si="20"/>
        <v>م(6)</v>
      </c>
      <c r="AC21" s="678">
        <f t="shared" si="32"/>
        <v>800</v>
      </c>
      <c r="AD21" s="673">
        <f t="shared" si="1"/>
        <v>11.25</v>
      </c>
      <c r="AE21" s="678">
        <f t="shared" si="2"/>
        <v>2611.25</v>
      </c>
      <c r="AF21" s="678">
        <f t="shared" si="3"/>
        <v>20385</v>
      </c>
      <c r="AG21" s="678">
        <f t="shared" si="4"/>
        <v>10215</v>
      </c>
      <c r="AH21" s="673">
        <f t="shared" si="22"/>
        <v>2000</v>
      </c>
      <c r="AI21" s="674">
        <f>IF(G21="مدير ولائي",(11000*35%),LOOKUP(D21,'f-travail'!A:A,'f-travail'!I:I))</f>
        <v>1372</v>
      </c>
      <c r="AJ21" s="673">
        <f>IF(G21="مدير ولائي",((W21+X21)*45)*80%,IF(V21&lt;8,0,IF(F21="إليزي",(LOOKUP(D21,'f-travail'!A:A,'f-travail'!O:O))*(AF21+AG21),LOOKUP(D21,'f-travail'!A:A,'f-travail'!P:P)*(AF21+AG21))))</f>
        <v>10710</v>
      </c>
      <c r="AK21" s="673">
        <f>IF(G21="مدير ولائي",0,LOOKUP(D21,'f-travail'!A:A,'f-travail'!Q:Q))</f>
        <v>3100</v>
      </c>
      <c r="AL21" s="673">
        <f>IF(G21="مدير ولائي",0,LOOKUP(D21,'f-travail'!A:A,'f-travail'!R:R)*(AF21+AG21))</f>
        <v>0</v>
      </c>
      <c r="AM21" s="673">
        <f>IF(G21="مدير ولائي",0,LOOKUP(D21,'f-travail'!A:A,'f-travail'!S:S)*(AF21+AG21))</f>
        <v>0</v>
      </c>
      <c r="AN21" s="673">
        <f>IF(G21="مدير ولائي",0,LOOKUP(D21,'f-travail'!A:A,'f-travail'!T:T)*(AF21+AG21))</f>
        <v>0</v>
      </c>
      <c r="AO21" s="673">
        <f>IF(G21="مدير ولائي",0,LOOKUP(D21,'f-travail'!A:A,'f-travail'!U:U)*(AF21+AG21))</f>
        <v>0</v>
      </c>
      <c r="AP21" s="673">
        <f>IF(G21="مدير ولائي",0,LOOKUP(D21,'f-travail'!A:A,'f-travail'!V:V)*(AF21+AG21))</f>
        <v>9180</v>
      </c>
      <c r="AQ21" s="673">
        <f>IF(G21="مدير ولائي",0,LOOKUP(D21,'f-travail'!A:A,'f-travail'!W:W)*(AF21+AG21))</f>
        <v>7650</v>
      </c>
      <c r="AR21" s="673">
        <f t="shared" si="23"/>
        <v>0</v>
      </c>
      <c r="AS21" s="673">
        <f>IF(G21="مدير ولائي",0,LOOKUP(D21,'f-travail'!A:A,'f-travail'!X:X)*(AF21+AG21))</f>
        <v>0</v>
      </c>
      <c r="AT21" s="673">
        <f>IF(G21="مدير ولائي",0,LOOKUP(D21,'f-travail'!Y:Y,'f-travail'!R:R)*(AF21+AG21))</f>
        <v>0</v>
      </c>
      <c r="AU21" s="673">
        <f t="shared" si="5"/>
        <v>0</v>
      </c>
      <c r="AV21" s="673">
        <f t="shared" si="6"/>
        <v>0</v>
      </c>
      <c r="AW21" s="673">
        <f t="shared" si="7"/>
        <v>0</v>
      </c>
      <c r="AX21" s="637" t="str">
        <f t="shared" si="8"/>
        <v>للللللللبيسلبيليبسل</v>
      </c>
      <c r="AY21" s="640" t="str">
        <f t="shared" si="9"/>
        <v>م5 ب 10 - د 10</v>
      </c>
      <c r="AZ21" s="673">
        <f t="shared" si="10"/>
        <v>33975</v>
      </c>
      <c r="BA21" s="639">
        <f t="shared" si="11"/>
        <v>70598.25</v>
      </c>
      <c r="BB21" s="639">
        <f t="shared" si="12"/>
        <v>9180</v>
      </c>
      <c r="BC21" s="639">
        <f t="shared" si="13"/>
        <v>0</v>
      </c>
      <c r="BD21" s="639">
        <f t="shared" si="14"/>
        <v>3100</v>
      </c>
      <c r="BE21" s="639">
        <f t="shared" si="15"/>
        <v>2000</v>
      </c>
      <c r="BF21" s="639">
        <f t="shared" si="16"/>
        <v>7650</v>
      </c>
      <c r="BG21" s="639">
        <f t="shared" si="24"/>
        <v>0</v>
      </c>
      <c r="BH21" s="683">
        <f t="shared" si="25"/>
        <v>0</v>
      </c>
      <c r="BI21" s="683">
        <f t="shared" si="26"/>
        <v>0</v>
      </c>
      <c r="BJ21" s="641">
        <f t="shared" si="27"/>
        <v>67987</v>
      </c>
      <c r="BK21" s="641">
        <f t="shared" si="28"/>
        <v>6118.83</v>
      </c>
      <c r="BL21" s="641">
        <f t="shared" si="29"/>
        <v>61107.42</v>
      </c>
      <c r="BM21" s="684">
        <f t="shared" si="30"/>
        <v>5916.11</v>
      </c>
      <c r="BN21" s="643" t="s">
        <v>824</v>
      </c>
      <c r="BO21" s="682" t="str">
        <f>CONCATENATE(Z21," ",LOOKUP(D21,'f-travail'!A:A,'f-travail'!F:F))</f>
        <v>م5 ب 10</v>
      </c>
      <c r="BP21" s="669" t="str">
        <f t="shared" si="17"/>
        <v>رئيس قسم (مفتش)</v>
      </c>
    </row>
    <row r="22" spans="1:68">
      <c r="A22" s="636">
        <f t="shared" si="31"/>
        <v>21</v>
      </c>
      <c r="B22" s="637" t="s">
        <v>873</v>
      </c>
      <c r="C22" s="637" t="s">
        <v>874</v>
      </c>
      <c r="D22" s="652">
        <v>21</v>
      </c>
      <c r="E22" s="679" t="str">
        <f>LOOKUP(D22,'f-travail'!A:A,'f-travail'!B:B)</f>
        <v>مفتش</v>
      </c>
      <c r="F22" s="650" t="s">
        <v>546</v>
      </c>
      <c r="G22" s="650" t="s">
        <v>383</v>
      </c>
      <c r="H22" s="653">
        <v>2</v>
      </c>
      <c r="I22" s="653"/>
      <c r="J22" s="654" t="s">
        <v>542</v>
      </c>
      <c r="K22" s="650">
        <v>2</v>
      </c>
      <c r="L22" s="650"/>
      <c r="M22" s="650">
        <v>1</v>
      </c>
      <c r="N22" s="654"/>
      <c r="O22" s="654"/>
      <c r="P22" s="654"/>
      <c r="Q22" s="654"/>
      <c r="R22" s="676">
        <v>11111111111</v>
      </c>
      <c r="S22" s="654" t="s">
        <v>562</v>
      </c>
      <c r="T22" s="675"/>
      <c r="U22" s="675"/>
      <c r="V22" s="670">
        <f>LOOKUP(D22,'f-travail'!A:A,'f-travail'!E:E)</f>
        <v>10</v>
      </c>
      <c r="W22" s="670">
        <f>VLOOKUP(V22,جرقمإستدلالي,'f-travail'!$AD$4+1,FALSE)</f>
        <v>453</v>
      </c>
      <c r="X22" s="671">
        <f t="shared" si="0"/>
        <v>45</v>
      </c>
      <c r="Y22" s="671">
        <f>IF(G22="مدير ولائي",(HLOOKUP(I22,جدروظعليا,'f-travail'!$AT$3+1,FALSE)-3200),0)</f>
        <v>0</v>
      </c>
      <c r="Z22" s="672" t="str">
        <f t="shared" si="18"/>
        <v>م5</v>
      </c>
      <c r="AA22" s="671">
        <f t="shared" si="19"/>
        <v>75</v>
      </c>
      <c r="AB22" s="677" t="str">
        <f t="shared" si="20"/>
        <v>م(2)</v>
      </c>
      <c r="AC22" s="678">
        <f t="shared" si="32"/>
        <v>800</v>
      </c>
      <c r="AD22" s="673">
        <f t="shared" si="1"/>
        <v>0</v>
      </c>
      <c r="AE22" s="678">
        <f t="shared" si="2"/>
        <v>1400</v>
      </c>
      <c r="AF22" s="678">
        <f t="shared" si="3"/>
        <v>20385</v>
      </c>
      <c r="AG22" s="678">
        <f t="shared" si="4"/>
        <v>2025</v>
      </c>
      <c r="AH22" s="673">
        <f t="shared" si="22"/>
        <v>2000</v>
      </c>
      <c r="AI22" s="674">
        <f>IF(G22="مدير ولائي",(11000*35%),LOOKUP(D22,'f-travail'!A:A,'f-travail'!I:I))</f>
        <v>1372</v>
      </c>
      <c r="AJ22" s="673">
        <f>IF(G22="مدير ولائي",((W22+X22)*45)*80%,IF(V22&lt;8,0,IF(F22="إليزي",(LOOKUP(D22,'f-travail'!A:A,'f-travail'!O:O))*(AF22+AG22),LOOKUP(D22,'f-travail'!A:A,'f-travail'!P:P)*(AF22+AG22))))</f>
        <v>10084.5</v>
      </c>
      <c r="AK22" s="673">
        <f>IF(G22="مدير ولائي",0,LOOKUP(D22,'f-travail'!A:A,'f-travail'!Q:Q))</f>
        <v>3100</v>
      </c>
      <c r="AL22" s="673">
        <f>IF(G22="مدير ولائي",0,LOOKUP(D22,'f-travail'!A:A,'f-travail'!R:R)*(AF22+AG22))</f>
        <v>0</v>
      </c>
      <c r="AM22" s="673">
        <f>IF(G22="مدير ولائي",0,LOOKUP(D22,'f-travail'!A:A,'f-travail'!S:S)*(AF22+AG22))</f>
        <v>0</v>
      </c>
      <c r="AN22" s="673">
        <f>IF(G22="مدير ولائي",0,LOOKUP(D22,'f-travail'!A:A,'f-travail'!T:T)*(AF22+AG22))</f>
        <v>0</v>
      </c>
      <c r="AO22" s="673">
        <f>IF(G22="مدير ولائي",0,LOOKUP(D22,'f-travail'!A:A,'f-travail'!U:U)*(AF22+AG22))</f>
        <v>0</v>
      </c>
      <c r="AP22" s="673">
        <f>IF(G22="مدير ولائي",0,LOOKUP(D22,'f-travail'!A:A,'f-travail'!V:V)*(AF22+AG22))</f>
        <v>6723</v>
      </c>
      <c r="AQ22" s="673">
        <f>IF(G22="مدير ولائي",0,LOOKUP(D22,'f-travail'!A:A,'f-travail'!W:W)*(AF22+AG22))</f>
        <v>5602.5</v>
      </c>
      <c r="AR22" s="673">
        <f t="shared" si="23"/>
        <v>0</v>
      </c>
      <c r="AS22" s="673">
        <f>IF(G22="مدير ولائي",0,LOOKUP(D22,'f-travail'!A:A,'f-travail'!X:X)*(AF22+AG22))</f>
        <v>0</v>
      </c>
      <c r="AT22" s="673">
        <f>IF(G22="مدير ولائي",0,LOOKUP(D22,'f-travail'!Y:Y,'f-travail'!R:R)*(AF22+AG22))</f>
        <v>0</v>
      </c>
      <c r="AU22" s="673">
        <f t="shared" si="5"/>
        <v>0</v>
      </c>
      <c r="AV22" s="673">
        <f t="shared" si="6"/>
        <v>0</v>
      </c>
      <c r="AW22" s="673">
        <f t="shared" si="7"/>
        <v>0</v>
      </c>
      <c r="AX22" s="637" t="str">
        <f t="shared" si="8"/>
        <v>ففففففففلللللللللللللل</v>
      </c>
      <c r="AY22" s="640" t="str">
        <f t="shared" si="9"/>
        <v>م5 ب 10 - د 2</v>
      </c>
      <c r="AZ22" s="673">
        <f t="shared" si="10"/>
        <v>25785</v>
      </c>
      <c r="BA22" s="639">
        <f t="shared" si="11"/>
        <v>56067</v>
      </c>
      <c r="BB22" s="639">
        <f t="shared" si="12"/>
        <v>6723</v>
      </c>
      <c r="BC22" s="639">
        <f t="shared" si="13"/>
        <v>0</v>
      </c>
      <c r="BD22" s="639">
        <f t="shared" si="14"/>
        <v>3100</v>
      </c>
      <c r="BE22" s="639">
        <f t="shared" si="15"/>
        <v>2000</v>
      </c>
      <c r="BF22" s="639">
        <f t="shared" si="16"/>
        <v>5602.5</v>
      </c>
      <c r="BG22" s="639">
        <f t="shared" si="24"/>
        <v>0</v>
      </c>
      <c r="BH22" s="683">
        <f t="shared" si="25"/>
        <v>0</v>
      </c>
      <c r="BI22" s="683">
        <f t="shared" si="26"/>
        <v>0</v>
      </c>
      <c r="BJ22" s="641">
        <f t="shared" si="27"/>
        <v>54667</v>
      </c>
      <c r="BK22" s="641">
        <f t="shared" si="28"/>
        <v>4920.03</v>
      </c>
      <c r="BL22" s="641">
        <f t="shared" si="29"/>
        <v>47774.97</v>
      </c>
      <c r="BM22" s="684">
        <f t="shared" si="30"/>
        <v>3916.25</v>
      </c>
      <c r="BN22" s="643" t="s">
        <v>825</v>
      </c>
      <c r="BO22" s="682" t="str">
        <f>CONCATENATE(Z22," ",LOOKUP(D22,'f-travail'!A:A,'f-travail'!F:F))</f>
        <v>م5 ب 10</v>
      </c>
      <c r="BP22" s="669" t="str">
        <f t="shared" si="17"/>
        <v>رئيس قسم (مفتش)</v>
      </c>
    </row>
    <row r="23" spans="1:68">
      <c r="A23" s="636">
        <f t="shared" si="31"/>
        <v>22</v>
      </c>
      <c r="B23" s="637" t="s">
        <v>875</v>
      </c>
      <c r="C23" s="637" t="s">
        <v>876</v>
      </c>
      <c r="D23" s="652">
        <v>21</v>
      </c>
      <c r="E23" s="679" t="str">
        <f>LOOKUP(D23,'f-travail'!A:A,'f-travail'!B:B)</f>
        <v>مفتش</v>
      </c>
      <c r="F23" s="650" t="s">
        <v>546</v>
      </c>
      <c r="G23" s="650" t="s">
        <v>383</v>
      </c>
      <c r="H23" s="653">
        <v>11</v>
      </c>
      <c r="I23" s="653"/>
      <c r="J23" s="654" t="s">
        <v>542</v>
      </c>
      <c r="K23" s="650">
        <v>4</v>
      </c>
      <c r="L23" s="650">
        <v>2</v>
      </c>
      <c r="M23" s="650">
        <v>1</v>
      </c>
      <c r="N23" s="654"/>
      <c r="O23" s="654"/>
      <c r="P23" s="654"/>
      <c r="Q23" s="654"/>
      <c r="R23" s="676">
        <v>11111111111</v>
      </c>
      <c r="S23" s="654" t="s">
        <v>562</v>
      </c>
      <c r="T23" s="675"/>
      <c r="U23" s="675"/>
      <c r="V23" s="670">
        <f>LOOKUP(D23,'f-travail'!A:A,'f-travail'!E:E)</f>
        <v>10</v>
      </c>
      <c r="W23" s="670">
        <f>VLOOKUP(V23,جرقمإستدلالي,'f-travail'!$AD$4+1,FALSE)</f>
        <v>453</v>
      </c>
      <c r="X23" s="671">
        <f t="shared" si="0"/>
        <v>249</v>
      </c>
      <c r="Y23" s="671">
        <f>IF(G23="مدير ولائي",(HLOOKUP(I23,جدروظعليا,'f-travail'!$AT$3+1,FALSE)-3200),0)</f>
        <v>0</v>
      </c>
      <c r="Z23" s="672" t="str">
        <f t="shared" si="18"/>
        <v>م5</v>
      </c>
      <c r="AA23" s="671">
        <f t="shared" si="19"/>
        <v>75</v>
      </c>
      <c r="AB23" s="677" t="str">
        <f t="shared" si="20"/>
        <v>م(4)</v>
      </c>
      <c r="AC23" s="678">
        <f t="shared" si="32"/>
        <v>800</v>
      </c>
      <c r="AD23" s="673">
        <f t="shared" si="1"/>
        <v>22.5</v>
      </c>
      <c r="AE23" s="678">
        <f t="shared" si="2"/>
        <v>2022.5</v>
      </c>
      <c r="AF23" s="678">
        <f t="shared" si="3"/>
        <v>20385</v>
      </c>
      <c r="AG23" s="678">
        <f t="shared" si="4"/>
        <v>11205</v>
      </c>
      <c r="AH23" s="673">
        <f t="shared" si="22"/>
        <v>2000</v>
      </c>
      <c r="AI23" s="674">
        <f>IF(G23="مدير ولائي",(11000*35%),LOOKUP(D23,'f-travail'!A:A,'f-travail'!I:I))</f>
        <v>1372</v>
      </c>
      <c r="AJ23" s="673">
        <f>IF(G23="مدير ولائي",((W23+X23)*45)*80%,IF(V23&lt;8,0,IF(F23="إليزي",(LOOKUP(D23,'f-travail'!A:A,'f-travail'!O:O))*(AF23+AG23),LOOKUP(D23,'f-travail'!A:A,'f-travail'!P:P)*(AF23+AG23))))</f>
        <v>14215.5</v>
      </c>
      <c r="AK23" s="673">
        <f>IF(G23="مدير ولائي",0,LOOKUP(D23,'f-travail'!A:A,'f-travail'!Q:Q))</f>
        <v>3100</v>
      </c>
      <c r="AL23" s="673">
        <f>IF(G23="مدير ولائي",0,LOOKUP(D23,'f-travail'!A:A,'f-travail'!R:R)*(AF23+AG23))</f>
        <v>0</v>
      </c>
      <c r="AM23" s="673">
        <f>IF(G23="مدير ولائي",0,LOOKUP(D23,'f-travail'!A:A,'f-travail'!S:S)*(AF23+AG23))</f>
        <v>0</v>
      </c>
      <c r="AN23" s="673">
        <f>IF(G23="مدير ولائي",0,LOOKUP(D23,'f-travail'!A:A,'f-travail'!T:T)*(AF23+AG23))</f>
        <v>0</v>
      </c>
      <c r="AO23" s="673">
        <f>IF(G23="مدير ولائي",0,LOOKUP(D23,'f-travail'!A:A,'f-travail'!U:U)*(AF23+AG23))</f>
        <v>0</v>
      </c>
      <c r="AP23" s="673">
        <f>IF(G23="مدير ولائي",0,LOOKUP(D23,'f-travail'!A:A,'f-travail'!V:V)*(AF23+AG23))</f>
        <v>9477</v>
      </c>
      <c r="AQ23" s="673">
        <f>IF(G23="مدير ولائي",0,LOOKUP(D23,'f-travail'!A:A,'f-travail'!W:W)*(AF23+AG23))</f>
        <v>7897.5</v>
      </c>
      <c r="AR23" s="673">
        <f t="shared" si="23"/>
        <v>0</v>
      </c>
      <c r="AS23" s="673">
        <f>IF(G23="مدير ولائي",0,LOOKUP(D23,'f-travail'!A:A,'f-travail'!X:X)*(AF23+AG23))</f>
        <v>0</v>
      </c>
      <c r="AT23" s="673">
        <f>IF(G23="مدير ولائي",0,LOOKUP(D23,'f-travail'!Y:Y,'f-travail'!R:R)*(AF23+AG23))</f>
        <v>0</v>
      </c>
      <c r="AU23" s="673">
        <f t="shared" si="5"/>
        <v>0</v>
      </c>
      <c r="AV23" s="673">
        <f t="shared" si="6"/>
        <v>0</v>
      </c>
      <c r="AW23" s="673">
        <f t="shared" si="7"/>
        <v>0</v>
      </c>
      <c r="AX23" s="637" t="str">
        <f t="shared" si="8"/>
        <v>سييييييييفففففففففففف</v>
      </c>
      <c r="AY23" s="640" t="str">
        <f t="shared" si="9"/>
        <v>م5 ب 10 - د 11</v>
      </c>
      <c r="AZ23" s="673">
        <f t="shared" si="10"/>
        <v>34965</v>
      </c>
      <c r="BA23" s="639">
        <f t="shared" si="11"/>
        <v>75049.5</v>
      </c>
      <c r="BB23" s="639">
        <f t="shared" si="12"/>
        <v>9477</v>
      </c>
      <c r="BC23" s="639">
        <f t="shared" si="13"/>
        <v>0</v>
      </c>
      <c r="BD23" s="639">
        <f t="shared" si="14"/>
        <v>3100</v>
      </c>
      <c r="BE23" s="639">
        <f t="shared" si="15"/>
        <v>2000</v>
      </c>
      <c r="BF23" s="639">
        <f t="shared" si="16"/>
        <v>7897.5</v>
      </c>
      <c r="BG23" s="639">
        <f t="shared" si="24"/>
        <v>0</v>
      </c>
      <c r="BH23" s="683">
        <f t="shared" si="25"/>
        <v>0</v>
      </c>
      <c r="BI23" s="683">
        <f t="shared" si="26"/>
        <v>0</v>
      </c>
      <c r="BJ23" s="641">
        <f t="shared" si="27"/>
        <v>73027</v>
      </c>
      <c r="BK23" s="641">
        <f t="shared" si="28"/>
        <v>6572.43</v>
      </c>
      <c r="BL23" s="641">
        <f t="shared" si="29"/>
        <v>65105.07</v>
      </c>
      <c r="BM23" s="684">
        <f t="shared" si="30"/>
        <v>6515.76</v>
      </c>
      <c r="BN23" s="643" t="s">
        <v>826</v>
      </c>
      <c r="BO23" s="682" t="str">
        <f>CONCATENATE(Z23," ",LOOKUP(D23,'f-travail'!A:A,'f-travail'!F:F))</f>
        <v>م5 ب 10</v>
      </c>
      <c r="BP23" s="669" t="str">
        <f t="shared" si="17"/>
        <v>رئيس قسم (مفتش)</v>
      </c>
    </row>
    <row r="24" spans="1:68">
      <c r="A24" s="636">
        <f t="shared" si="31"/>
        <v>23</v>
      </c>
      <c r="B24" s="637" t="s">
        <v>877</v>
      </c>
      <c r="C24" s="637" t="s">
        <v>878</v>
      </c>
      <c r="D24" s="652">
        <v>21</v>
      </c>
      <c r="E24" s="679" t="str">
        <f>LOOKUP(D24,'f-travail'!A:A,'f-travail'!B:B)</f>
        <v>مفتش</v>
      </c>
      <c r="F24" s="650" t="s">
        <v>546</v>
      </c>
      <c r="G24" s="650" t="s">
        <v>383</v>
      </c>
      <c r="H24" s="653">
        <v>2</v>
      </c>
      <c r="I24" s="653"/>
      <c r="J24" s="654" t="s">
        <v>543</v>
      </c>
      <c r="K24" s="650">
        <v>3</v>
      </c>
      <c r="L24" s="650"/>
      <c r="M24" s="650">
        <v>1</v>
      </c>
      <c r="N24" s="654"/>
      <c r="O24" s="654"/>
      <c r="P24" s="654"/>
      <c r="Q24" s="654"/>
      <c r="R24" s="676">
        <v>11111111111</v>
      </c>
      <c r="S24" s="654" t="s">
        <v>562</v>
      </c>
      <c r="T24" s="675"/>
      <c r="U24" s="675"/>
      <c r="V24" s="670">
        <f>LOOKUP(D24,'f-travail'!A:A,'f-travail'!E:E)</f>
        <v>10</v>
      </c>
      <c r="W24" s="670">
        <f>VLOOKUP(V24,جرقمإستدلالي,'f-travail'!$AD$4+1,FALSE)</f>
        <v>453</v>
      </c>
      <c r="X24" s="671">
        <f t="shared" si="0"/>
        <v>45</v>
      </c>
      <c r="Y24" s="671">
        <f>IF(G24="مدير ولائي",(HLOOKUP(I24,جدروظعليا,'f-travail'!$AT$3+1,FALSE)-3200),0)</f>
        <v>0</v>
      </c>
      <c r="Z24" s="672" t="str">
        <f t="shared" si="18"/>
        <v>م5</v>
      </c>
      <c r="AA24" s="671">
        <f t="shared" si="19"/>
        <v>75</v>
      </c>
      <c r="AB24" s="677" t="str">
        <f t="shared" si="20"/>
        <v>م(3)</v>
      </c>
      <c r="AC24" s="678">
        <f t="shared" si="32"/>
        <v>0</v>
      </c>
      <c r="AD24" s="673">
        <f t="shared" si="1"/>
        <v>0</v>
      </c>
      <c r="AE24" s="678">
        <f t="shared" si="2"/>
        <v>900</v>
      </c>
      <c r="AF24" s="678">
        <f t="shared" si="3"/>
        <v>20385</v>
      </c>
      <c r="AG24" s="678">
        <f t="shared" si="4"/>
        <v>2025</v>
      </c>
      <c r="AH24" s="673">
        <f t="shared" si="22"/>
        <v>2000</v>
      </c>
      <c r="AI24" s="674">
        <f>IF(G24="مدير ولائي",(11000*35%),LOOKUP(D24,'f-travail'!A:A,'f-travail'!I:I))</f>
        <v>1372</v>
      </c>
      <c r="AJ24" s="673">
        <f>IF(G24="مدير ولائي",((W24+X24)*45)*80%,IF(V24&lt;8,0,IF(F24="إليزي",(LOOKUP(D24,'f-travail'!A:A,'f-travail'!O:O))*(AF24+AG24),LOOKUP(D24,'f-travail'!A:A,'f-travail'!P:P)*(AF24+AG24))))</f>
        <v>10084.5</v>
      </c>
      <c r="AK24" s="673">
        <f>IF(G24="مدير ولائي",0,LOOKUP(D24,'f-travail'!A:A,'f-travail'!Q:Q))</f>
        <v>3100</v>
      </c>
      <c r="AL24" s="673">
        <f>IF(G24="مدير ولائي",0,LOOKUP(D24,'f-travail'!A:A,'f-travail'!R:R)*(AF24+AG24))</f>
        <v>0</v>
      </c>
      <c r="AM24" s="673">
        <f>IF(G24="مدير ولائي",0,LOOKUP(D24,'f-travail'!A:A,'f-travail'!S:S)*(AF24+AG24))</f>
        <v>0</v>
      </c>
      <c r="AN24" s="673">
        <f>IF(G24="مدير ولائي",0,LOOKUP(D24,'f-travail'!A:A,'f-travail'!T:T)*(AF24+AG24))</f>
        <v>0</v>
      </c>
      <c r="AO24" s="673">
        <f>IF(G24="مدير ولائي",0,LOOKUP(D24,'f-travail'!A:A,'f-travail'!U:U)*(AF24+AG24))</f>
        <v>0</v>
      </c>
      <c r="AP24" s="673">
        <f>IF(G24="مدير ولائي",0,LOOKUP(D24,'f-travail'!A:A,'f-travail'!V:V)*(AF24+AG24))</f>
        <v>6723</v>
      </c>
      <c r="AQ24" s="673">
        <f>IF(G24="مدير ولائي",0,LOOKUP(D24,'f-travail'!A:A,'f-travail'!W:W)*(AF24+AG24))</f>
        <v>5602.5</v>
      </c>
      <c r="AR24" s="673">
        <f t="shared" si="23"/>
        <v>0</v>
      </c>
      <c r="AS24" s="673">
        <f>IF(G24="مدير ولائي",0,LOOKUP(D24,'f-travail'!A:A,'f-travail'!X:X)*(AF24+AG24))</f>
        <v>0</v>
      </c>
      <c r="AT24" s="673">
        <f>IF(G24="مدير ولائي",0,LOOKUP(D24,'f-travail'!Y:Y,'f-travail'!R:R)*(AF24+AG24))</f>
        <v>0</v>
      </c>
      <c r="AU24" s="673">
        <f t="shared" si="5"/>
        <v>0</v>
      </c>
      <c r="AV24" s="673">
        <f t="shared" si="6"/>
        <v>0</v>
      </c>
      <c r="AW24" s="673">
        <f t="shared" si="7"/>
        <v>0</v>
      </c>
      <c r="AX24" s="637" t="str">
        <f t="shared" si="8"/>
        <v>ليسليسليسليسللللللل</v>
      </c>
      <c r="AY24" s="640" t="str">
        <f t="shared" si="9"/>
        <v>م5 ب 10 - د 2</v>
      </c>
      <c r="AZ24" s="673">
        <f t="shared" si="10"/>
        <v>25785</v>
      </c>
      <c r="BA24" s="639">
        <f t="shared" si="11"/>
        <v>55567</v>
      </c>
      <c r="BB24" s="639">
        <f t="shared" si="12"/>
        <v>6723</v>
      </c>
      <c r="BC24" s="639">
        <f t="shared" si="13"/>
        <v>0</v>
      </c>
      <c r="BD24" s="639">
        <f t="shared" si="14"/>
        <v>3100</v>
      </c>
      <c r="BE24" s="639">
        <f t="shared" si="15"/>
        <v>2000</v>
      </c>
      <c r="BF24" s="639">
        <f t="shared" si="16"/>
        <v>5602.5</v>
      </c>
      <c r="BG24" s="639">
        <f t="shared" si="24"/>
        <v>0</v>
      </c>
      <c r="BH24" s="683">
        <f t="shared" si="25"/>
        <v>0</v>
      </c>
      <c r="BI24" s="683">
        <f t="shared" si="26"/>
        <v>0</v>
      </c>
      <c r="BJ24" s="641">
        <f t="shared" si="27"/>
        <v>54667</v>
      </c>
      <c r="BK24" s="641">
        <f t="shared" si="28"/>
        <v>4920.03</v>
      </c>
      <c r="BL24" s="641">
        <f t="shared" si="29"/>
        <v>47274.97</v>
      </c>
      <c r="BM24" s="684">
        <f t="shared" si="30"/>
        <v>3841.25</v>
      </c>
      <c r="BN24" s="643" t="s">
        <v>827</v>
      </c>
      <c r="BO24" s="682" t="str">
        <f>CONCATENATE(Z24," ",LOOKUP(D24,'f-travail'!A:A,'f-travail'!F:F))</f>
        <v>م5 ب 10</v>
      </c>
      <c r="BP24" s="669" t="str">
        <f t="shared" si="17"/>
        <v>رئيس قسم (مفتش)</v>
      </c>
    </row>
    <row r="25" spans="1:68">
      <c r="A25" s="636">
        <f t="shared" si="31"/>
        <v>24</v>
      </c>
      <c r="B25" s="637" t="s">
        <v>879</v>
      </c>
      <c r="C25" s="637" t="s">
        <v>880</v>
      </c>
      <c r="D25" s="652">
        <v>27</v>
      </c>
      <c r="E25" s="679" t="str">
        <f>LOOKUP(D25,'f-travail'!A:A,'f-travail'!B:B)</f>
        <v>مراقب</v>
      </c>
      <c r="F25" s="650" t="s">
        <v>539</v>
      </c>
      <c r="G25" s="650" t="s">
        <v>383</v>
      </c>
      <c r="H25" s="653">
        <v>11</v>
      </c>
      <c r="I25" s="653"/>
      <c r="J25" s="654" t="s">
        <v>542</v>
      </c>
      <c r="K25" s="650">
        <v>4</v>
      </c>
      <c r="L25" s="650">
        <v>1</v>
      </c>
      <c r="M25" s="650">
        <v>1</v>
      </c>
      <c r="N25" s="654"/>
      <c r="O25" s="654"/>
      <c r="P25" s="654">
        <v>1</v>
      </c>
      <c r="Q25" s="654"/>
      <c r="R25" s="676">
        <v>11111111111</v>
      </c>
      <c r="S25" s="654" t="s">
        <v>550</v>
      </c>
      <c r="T25" s="675"/>
      <c r="U25" s="675"/>
      <c r="V25" s="670">
        <f>LOOKUP(D25,'f-travail'!A:A,'f-travail'!E:E)</f>
        <v>9</v>
      </c>
      <c r="W25" s="670">
        <f>VLOOKUP(V25,جرقمإستدلالي,'f-travail'!$AD$4+1,FALSE)</f>
        <v>418</v>
      </c>
      <c r="X25" s="671">
        <f t="shared" si="0"/>
        <v>230</v>
      </c>
      <c r="Y25" s="671">
        <f>IF(G25="مدير ولائي",(HLOOKUP(I25,جدروظعليا,'f-travail'!$AT$3+1,FALSE)-3200),0)</f>
        <v>0</v>
      </c>
      <c r="Z25" s="672" t="str">
        <f t="shared" si="18"/>
        <v>م5</v>
      </c>
      <c r="AA25" s="671">
        <f t="shared" si="19"/>
        <v>75</v>
      </c>
      <c r="AB25" s="677" t="str">
        <f t="shared" si="20"/>
        <v>م(4)</v>
      </c>
      <c r="AC25" s="678">
        <f t="shared" si="32"/>
        <v>800</v>
      </c>
      <c r="AD25" s="673">
        <f t="shared" si="1"/>
        <v>11.25</v>
      </c>
      <c r="AE25" s="678">
        <f t="shared" si="2"/>
        <v>2011.25</v>
      </c>
      <c r="AF25" s="678">
        <f t="shared" si="3"/>
        <v>18810</v>
      </c>
      <c r="AG25" s="678">
        <f t="shared" si="4"/>
        <v>10350</v>
      </c>
      <c r="AH25" s="673">
        <f t="shared" si="22"/>
        <v>2000</v>
      </c>
      <c r="AI25" s="674">
        <f>IF(G25="مدير ولائي",(11000*35%),LOOKUP(D25,'f-travail'!A:A,'f-travail'!I:I))</f>
        <v>1207.5</v>
      </c>
      <c r="AJ25" s="673">
        <f>IF(G25="مدير ولائي",((W25+X25)*45)*80%,IF(V25&lt;8,0,IF(F25="إليزي",(LOOKUP(D25,'f-travail'!A:A,'f-travail'!O:O))*(AF25+AG25),LOOKUP(D25,'f-travail'!A:A,'f-travail'!P:P)*(AF25+AG25))))</f>
        <v>10206</v>
      </c>
      <c r="AK25" s="673">
        <f>IF(G25="مدير ولائي",0,LOOKUP(D25,'f-travail'!A:A,'f-travail'!Q:Q))</f>
        <v>3100</v>
      </c>
      <c r="AL25" s="673">
        <f>IF(G25="مدير ولائي",0,LOOKUP(D25,'f-travail'!A:A,'f-travail'!R:R)*(AF25+AG25))</f>
        <v>0</v>
      </c>
      <c r="AM25" s="673">
        <f>IF(G25="مدير ولائي",0,LOOKUP(D25,'f-travail'!A:A,'f-travail'!S:S)*(AF25+AG25))</f>
        <v>0</v>
      </c>
      <c r="AN25" s="673">
        <f>IF(G25="مدير ولائي",0,LOOKUP(D25,'f-travail'!A:A,'f-travail'!T:T)*(AF25+AG25))</f>
        <v>0</v>
      </c>
      <c r="AO25" s="673">
        <f>IF(G25="مدير ولائي",0,LOOKUP(D25,'f-travail'!A:A,'f-travail'!U:U)*(AF25+AG25))</f>
        <v>0</v>
      </c>
      <c r="AP25" s="673">
        <f>IF(G25="مدير ولائي",0,LOOKUP(D25,'f-travail'!A:A,'f-travail'!V:V)*(AF25+AG25))</f>
        <v>8748</v>
      </c>
      <c r="AQ25" s="673">
        <f>IF(G25="مدير ولائي",0,LOOKUP(D25,'f-travail'!A:A,'f-travail'!W:W)*(AF25+AG25))</f>
        <v>7290</v>
      </c>
      <c r="AR25" s="673">
        <f t="shared" si="23"/>
        <v>0</v>
      </c>
      <c r="AS25" s="673">
        <f>IF(G25="مدير ولائي",0,LOOKUP(D25,'f-travail'!A:A,'f-travail'!X:X)*(AF25+AG25))</f>
        <v>0</v>
      </c>
      <c r="AT25" s="673">
        <f>IF(G25="مدير ولائي",0,LOOKUP(D25,'f-travail'!Y:Y,'f-travail'!R:R)*(AF25+AG25))</f>
        <v>0</v>
      </c>
      <c r="AU25" s="673">
        <f t="shared" si="5"/>
        <v>0</v>
      </c>
      <c r="AV25" s="673">
        <f t="shared" si="6"/>
        <v>0</v>
      </c>
      <c r="AW25" s="673">
        <f t="shared" si="7"/>
        <v>0</v>
      </c>
      <c r="AX25" s="637" t="str">
        <f t="shared" si="8"/>
        <v>شللبيسلبيشلررءرءؤرؤءر</v>
      </c>
      <c r="AY25" s="640" t="str">
        <f t="shared" si="9"/>
        <v>م5 ب 9 - د 11</v>
      </c>
      <c r="AZ25" s="673">
        <f t="shared" si="10"/>
        <v>32535</v>
      </c>
      <c r="BA25" s="639">
        <f t="shared" si="11"/>
        <v>67097.75</v>
      </c>
      <c r="BB25" s="639">
        <f t="shared" si="12"/>
        <v>8748</v>
      </c>
      <c r="BC25" s="639">
        <f t="shared" si="13"/>
        <v>0</v>
      </c>
      <c r="BD25" s="639">
        <f t="shared" si="14"/>
        <v>3100</v>
      </c>
      <c r="BE25" s="639">
        <f t="shared" si="15"/>
        <v>2000</v>
      </c>
      <c r="BF25" s="639">
        <f t="shared" si="16"/>
        <v>7290</v>
      </c>
      <c r="BG25" s="639">
        <f t="shared" si="24"/>
        <v>0</v>
      </c>
      <c r="BH25" s="683">
        <f t="shared" si="25"/>
        <v>976.3</v>
      </c>
      <c r="BI25" s="683">
        <f t="shared" si="26"/>
        <v>0</v>
      </c>
      <c r="BJ25" s="641">
        <f t="shared" si="27"/>
        <v>65086.5</v>
      </c>
      <c r="BK25" s="641">
        <f t="shared" si="28"/>
        <v>5857.79</v>
      </c>
      <c r="BL25" s="641">
        <f t="shared" si="29"/>
        <v>58032.46</v>
      </c>
      <c r="BM25" s="684">
        <f t="shared" si="30"/>
        <v>5454.87</v>
      </c>
      <c r="BN25" s="643" t="s">
        <v>828</v>
      </c>
      <c r="BO25" s="682" t="str">
        <f>CONCATENATE(Z25," ",LOOKUP(D25,'f-travail'!A:A,'f-travail'!F:F))</f>
        <v>م5 ب 9</v>
      </c>
      <c r="BP25" s="669" t="str">
        <f t="shared" si="17"/>
        <v>رئيس قسم (مراقب)</v>
      </c>
    </row>
    <row r="26" spans="1:68">
      <c r="A26" s="636">
        <f t="shared" si="31"/>
        <v>25</v>
      </c>
      <c r="B26" s="637" t="s">
        <v>881</v>
      </c>
      <c r="C26" s="637" t="s">
        <v>882</v>
      </c>
      <c r="D26" s="652">
        <v>27</v>
      </c>
      <c r="E26" s="679" t="str">
        <f>LOOKUP(D26,'f-travail'!A:A,'f-travail'!B:B)</f>
        <v>مراقب</v>
      </c>
      <c r="F26" s="650" t="s">
        <v>545</v>
      </c>
      <c r="G26" s="650" t="s">
        <v>383</v>
      </c>
      <c r="H26" s="653">
        <v>10</v>
      </c>
      <c r="I26" s="653"/>
      <c r="J26" s="654" t="s">
        <v>543</v>
      </c>
      <c r="K26" s="650">
        <v>3</v>
      </c>
      <c r="L26" s="650"/>
      <c r="M26" s="650">
        <v>1</v>
      </c>
      <c r="N26" s="654"/>
      <c r="O26" s="654"/>
      <c r="P26" s="654"/>
      <c r="Q26" s="654"/>
      <c r="R26" s="676">
        <v>11111111111</v>
      </c>
      <c r="S26" s="654" t="s">
        <v>562</v>
      </c>
      <c r="T26" s="675"/>
      <c r="U26" s="675"/>
      <c r="V26" s="670">
        <f>LOOKUP(D26,'f-travail'!A:A,'f-travail'!E:E)</f>
        <v>9</v>
      </c>
      <c r="W26" s="670">
        <f>VLOOKUP(V26,جرقمإستدلالي,'f-travail'!$AD$4+1,FALSE)</f>
        <v>418</v>
      </c>
      <c r="X26" s="671">
        <f t="shared" si="0"/>
        <v>209</v>
      </c>
      <c r="Y26" s="671">
        <f>IF(G26="مدير ولائي",(HLOOKUP(I26,جدروظعليا,'f-travail'!$AT$3+1,FALSE)-3200),0)</f>
        <v>0</v>
      </c>
      <c r="Z26" s="672" t="str">
        <f t="shared" si="18"/>
        <v>م5</v>
      </c>
      <c r="AA26" s="671">
        <f t="shared" si="19"/>
        <v>75</v>
      </c>
      <c r="AB26" s="677" t="str">
        <f t="shared" si="20"/>
        <v>م(3)</v>
      </c>
      <c r="AC26" s="678">
        <f t="shared" si="32"/>
        <v>0</v>
      </c>
      <c r="AD26" s="673">
        <f t="shared" si="1"/>
        <v>0</v>
      </c>
      <c r="AE26" s="678">
        <f t="shared" si="2"/>
        <v>900</v>
      </c>
      <c r="AF26" s="678">
        <f t="shared" si="3"/>
        <v>18810</v>
      </c>
      <c r="AG26" s="678">
        <f t="shared" si="4"/>
        <v>9405</v>
      </c>
      <c r="AH26" s="673">
        <f t="shared" si="22"/>
        <v>2000</v>
      </c>
      <c r="AI26" s="674">
        <f>IF(G26="مدير ولائي",(11000*35%),LOOKUP(D26,'f-travail'!A:A,'f-travail'!I:I))</f>
        <v>1207.5</v>
      </c>
      <c r="AJ26" s="673">
        <f>IF(G26="مدير ولائي",((W26+X26)*45)*80%,IF(V26&lt;8,0,IF(F26="إليزي",(LOOKUP(D26,'f-travail'!A:A,'f-travail'!O:O))*(AF26+AG26),LOOKUP(D26,'f-travail'!A:A,'f-travail'!P:P)*(AF26+AG26))))</f>
        <v>12696.75</v>
      </c>
      <c r="AK26" s="673">
        <f>IF(G26="مدير ولائي",0,LOOKUP(D26,'f-travail'!A:A,'f-travail'!Q:Q))</f>
        <v>3100</v>
      </c>
      <c r="AL26" s="673">
        <f>IF(G26="مدير ولائي",0,LOOKUP(D26,'f-travail'!A:A,'f-travail'!R:R)*(AF26+AG26))</f>
        <v>0</v>
      </c>
      <c r="AM26" s="673">
        <f>IF(G26="مدير ولائي",0,LOOKUP(D26,'f-travail'!A:A,'f-travail'!S:S)*(AF26+AG26))</f>
        <v>0</v>
      </c>
      <c r="AN26" s="673">
        <f>IF(G26="مدير ولائي",0,LOOKUP(D26,'f-travail'!A:A,'f-travail'!T:T)*(AF26+AG26))</f>
        <v>0</v>
      </c>
      <c r="AO26" s="673">
        <f>IF(G26="مدير ولائي",0,LOOKUP(D26,'f-travail'!A:A,'f-travail'!U:U)*(AF26+AG26))</f>
        <v>0</v>
      </c>
      <c r="AP26" s="673">
        <f>IF(G26="مدير ولائي",0,LOOKUP(D26,'f-travail'!A:A,'f-travail'!V:V)*(AF26+AG26))</f>
        <v>8464.5</v>
      </c>
      <c r="AQ26" s="673">
        <f>IF(G26="مدير ولائي",0,LOOKUP(D26,'f-travail'!A:A,'f-travail'!W:W)*(AF26+AG26))</f>
        <v>7053.75</v>
      </c>
      <c r="AR26" s="673">
        <f t="shared" si="23"/>
        <v>0</v>
      </c>
      <c r="AS26" s="673">
        <f>IF(G26="مدير ولائي",0,LOOKUP(D26,'f-travail'!A:A,'f-travail'!X:X)*(AF26+AG26))</f>
        <v>0</v>
      </c>
      <c r="AT26" s="673">
        <f>IF(G26="مدير ولائي",0,LOOKUP(D26,'f-travail'!Y:Y,'f-travail'!R:R)*(AF26+AG26))</f>
        <v>0</v>
      </c>
      <c r="AU26" s="673">
        <f t="shared" si="5"/>
        <v>0</v>
      </c>
      <c r="AV26" s="673">
        <f t="shared" si="6"/>
        <v>0</v>
      </c>
      <c r="AW26" s="673">
        <f t="shared" si="7"/>
        <v>0</v>
      </c>
      <c r="AX26" s="637" t="str">
        <f t="shared" si="8"/>
        <v>رسيبرشبيسبصثقصقثصقض</v>
      </c>
      <c r="AY26" s="640" t="str">
        <f t="shared" si="9"/>
        <v>م5 ب 9 - د 10</v>
      </c>
      <c r="AZ26" s="673">
        <f t="shared" si="10"/>
        <v>31590</v>
      </c>
      <c r="BA26" s="639">
        <f t="shared" si="11"/>
        <v>67012.5</v>
      </c>
      <c r="BB26" s="639">
        <f t="shared" si="12"/>
        <v>8464.5</v>
      </c>
      <c r="BC26" s="639">
        <f t="shared" si="13"/>
        <v>0</v>
      </c>
      <c r="BD26" s="639">
        <f t="shared" si="14"/>
        <v>3100</v>
      </c>
      <c r="BE26" s="639">
        <f t="shared" si="15"/>
        <v>2000</v>
      </c>
      <c r="BF26" s="639">
        <f t="shared" si="16"/>
        <v>7053.75</v>
      </c>
      <c r="BG26" s="639">
        <f t="shared" si="24"/>
        <v>0</v>
      </c>
      <c r="BH26" s="683">
        <f t="shared" si="25"/>
        <v>0</v>
      </c>
      <c r="BI26" s="683">
        <f t="shared" si="26"/>
        <v>0</v>
      </c>
      <c r="BJ26" s="641">
        <f t="shared" si="27"/>
        <v>66112.5</v>
      </c>
      <c r="BK26" s="641">
        <f t="shared" si="28"/>
        <v>5950.13</v>
      </c>
      <c r="BL26" s="641">
        <f t="shared" si="29"/>
        <v>57854.87</v>
      </c>
      <c r="BM26" s="684">
        <f t="shared" si="30"/>
        <v>5428.23</v>
      </c>
      <c r="BN26" s="643" t="s">
        <v>829</v>
      </c>
      <c r="BO26" s="682" t="str">
        <f>CONCATENATE(Z26," ",LOOKUP(D26,'f-travail'!A:A,'f-travail'!F:F))</f>
        <v>م5 ب 9</v>
      </c>
      <c r="BP26" s="669" t="str">
        <f t="shared" si="17"/>
        <v>رئيس قسم (مراقب)</v>
      </c>
    </row>
    <row r="27" spans="1:68">
      <c r="A27" s="636">
        <f t="shared" si="31"/>
        <v>26</v>
      </c>
      <c r="B27" s="637" t="s">
        <v>883</v>
      </c>
      <c r="C27" s="637" t="s">
        <v>884</v>
      </c>
      <c r="D27" s="652">
        <v>21</v>
      </c>
      <c r="E27" s="679" t="str">
        <f>LOOKUP(D27,'f-travail'!A:A,'f-travail'!B:B)</f>
        <v>مفتش</v>
      </c>
      <c r="F27" s="650" t="s">
        <v>539</v>
      </c>
      <c r="G27" s="650" t="s">
        <v>540</v>
      </c>
      <c r="H27" s="653">
        <v>8</v>
      </c>
      <c r="I27" s="653"/>
      <c r="J27" s="654" t="s">
        <v>542</v>
      </c>
      <c r="K27" s="650">
        <v>1</v>
      </c>
      <c r="L27" s="650"/>
      <c r="M27" s="650">
        <v>1</v>
      </c>
      <c r="N27" s="654"/>
      <c r="O27" s="654"/>
      <c r="P27" s="654">
        <v>1</v>
      </c>
      <c r="Q27" s="654"/>
      <c r="R27" s="676">
        <v>11111111111</v>
      </c>
      <c r="S27" s="654" t="s">
        <v>549</v>
      </c>
      <c r="T27" s="675"/>
      <c r="U27" s="675"/>
      <c r="V27" s="670">
        <f>LOOKUP(D27,'f-travail'!A:A,'f-travail'!E:E)</f>
        <v>10</v>
      </c>
      <c r="W27" s="670">
        <f>VLOOKUP(V27,جرقمإستدلالي,'f-travail'!$AD$4+1,FALSE)</f>
        <v>453</v>
      </c>
      <c r="X27" s="671">
        <f t="shared" si="0"/>
        <v>181</v>
      </c>
      <c r="Y27" s="671">
        <f>IF(G27="مدير ولائي",(HLOOKUP(I27,جدروظعليا,'f-travail'!$AT$3+1,FALSE)-3200),0)</f>
        <v>0</v>
      </c>
      <c r="Z27" s="672" t="str">
        <f t="shared" si="18"/>
        <v/>
      </c>
      <c r="AA27" s="671">
        <f t="shared" si="19"/>
        <v>0</v>
      </c>
      <c r="AB27" s="677" t="str">
        <f t="shared" si="20"/>
        <v>م(1)</v>
      </c>
      <c r="AC27" s="678">
        <f t="shared" si="32"/>
        <v>800</v>
      </c>
      <c r="AD27" s="673">
        <f t="shared" si="1"/>
        <v>0</v>
      </c>
      <c r="AE27" s="678">
        <f t="shared" si="2"/>
        <v>1100</v>
      </c>
      <c r="AF27" s="678">
        <f t="shared" si="3"/>
        <v>20385</v>
      </c>
      <c r="AG27" s="678">
        <f t="shared" si="4"/>
        <v>8145</v>
      </c>
      <c r="AH27" s="673">
        <f t="shared" si="22"/>
        <v>2000</v>
      </c>
      <c r="AI27" s="674">
        <f>IF(G27="مدير ولائي",(11000*35%),LOOKUP(D27,'f-travail'!A:A,'f-travail'!I:I))</f>
        <v>1372</v>
      </c>
      <c r="AJ27" s="673">
        <f>IF(G27="مدير ولائي",((W27+X27)*45)*80%,IF(V27&lt;8,0,IF(F27="إليزي",(LOOKUP(D27,'f-travail'!A:A,'f-travail'!O:O))*(AF27+AG27),LOOKUP(D27,'f-travail'!A:A,'f-travail'!P:P)*(AF27+AG27))))</f>
        <v>9985.5</v>
      </c>
      <c r="AK27" s="673">
        <f>IF(G27="مدير ولائي",0,LOOKUP(D27,'f-travail'!A:A,'f-travail'!Q:Q))</f>
        <v>3100</v>
      </c>
      <c r="AL27" s="673">
        <f>IF(G27="مدير ولائي",0,LOOKUP(D27,'f-travail'!A:A,'f-travail'!R:R)*(AF27+AG27))</f>
        <v>0</v>
      </c>
      <c r="AM27" s="673">
        <f>IF(G27="مدير ولائي",0,LOOKUP(D27,'f-travail'!A:A,'f-travail'!S:S)*(AF27+AG27))</f>
        <v>0</v>
      </c>
      <c r="AN27" s="673">
        <f>IF(G27="مدير ولائي",0,LOOKUP(D27,'f-travail'!A:A,'f-travail'!T:T)*(AF27+AG27))</f>
        <v>0</v>
      </c>
      <c r="AO27" s="673">
        <f>IF(G27="مدير ولائي",0,LOOKUP(D27,'f-travail'!A:A,'f-travail'!U:U)*(AF27+AG27))</f>
        <v>0</v>
      </c>
      <c r="AP27" s="673">
        <f>IF(G27="مدير ولائي",0,LOOKUP(D27,'f-travail'!A:A,'f-travail'!V:V)*(AF27+AG27))</f>
        <v>8559</v>
      </c>
      <c r="AQ27" s="673">
        <f>IF(G27="مدير ولائي",0,LOOKUP(D27,'f-travail'!A:A,'f-travail'!W:W)*(AF27+AG27))</f>
        <v>7132.5</v>
      </c>
      <c r="AR27" s="673">
        <f t="shared" si="23"/>
        <v>4000</v>
      </c>
      <c r="AS27" s="673">
        <f>IF(G27="مدير ولائي",0,LOOKUP(D27,'f-travail'!A:A,'f-travail'!X:X)*(AF27+AG27))</f>
        <v>0</v>
      </c>
      <c r="AT27" s="673">
        <f>IF(G27="مدير ولائي",0,LOOKUP(D27,'f-travail'!Y:Y,'f-travail'!R:R)*(AF27+AG27))</f>
        <v>0</v>
      </c>
      <c r="AU27" s="673">
        <f t="shared" si="5"/>
        <v>0</v>
      </c>
      <c r="AV27" s="673">
        <f t="shared" si="6"/>
        <v>0</v>
      </c>
      <c r="AW27" s="673">
        <f t="shared" si="7"/>
        <v>0</v>
      </c>
      <c r="AX27" s="637" t="str">
        <f t="shared" si="8"/>
        <v>بيسلبيليبسلصثقثصقثصقصث</v>
      </c>
      <c r="AY27" s="640" t="str">
        <f t="shared" si="9"/>
        <v xml:space="preserve"> ب 10 - د 8</v>
      </c>
      <c r="AZ27" s="673">
        <f t="shared" si="10"/>
        <v>28530</v>
      </c>
      <c r="BA27" s="639">
        <f t="shared" si="11"/>
        <v>65779</v>
      </c>
      <c r="BB27" s="639">
        <f t="shared" si="12"/>
        <v>8559</v>
      </c>
      <c r="BC27" s="639">
        <f t="shared" si="13"/>
        <v>4000</v>
      </c>
      <c r="BD27" s="639">
        <f t="shared" si="14"/>
        <v>3100</v>
      </c>
      <c r="BE27" s="639">
        <f t="shared" si="15"/>
        <v>2000</v>
      </c>
      <c r="BF27" s="639">
        <f t="shared" si="16"/>
        <v>7132.5</v>
      </c>
      <c r="BG27" s="639">
        <f t="shared" si="24"/>
        <v>0</v>
      </c>
      <c r="BH27" s="683">
        <f t="shared" si="25"/>
        <v>970.19</v>
      </c>
      <c r="BI27" s="683">
        <f t="shared" si="26"/>
        <v>0</v>
      </c>
      <c r="BJ27" s="641">
        <f t="shared" si="27"/>
        <v>64679</v>
      </c>
      <c r="BK27" s="641">
        <f t="shared" si="28"/>
        <v>5821.11</v>
      </c>
      <c r="BL27" s="641">
        <f t="shared" si="29"/>
        <v>56585.89</v>
      </c>
      <c r="BM27" s="684">
        <f t="shared" si="30"/>
        <v>5237.88</v>
      </c>
      <c r="BN27" s="643" t="s">
        <v>830</v>
      </c>
      <c r="BO27" s="682" t="str">
        <f>CONCATENATE(Z27," ",LOOKUP(D27,'f-travail'!A:A,'f-travail'!F:F))</f>
        <v xml:space="preserve"> ب 10</v>
      </c>
      <c r="BP27" s="669" t="str">
        <f t="shared" si="17"/>
        <v>أمين صندوق (مفتش)</v>
      </c>
    </row>
    <row r="28" spans="1:68">
      <c r="A28" s="636">
        <f t="shared" si="31"/>
        <v>27</v>
      </c>
      <c r="B28" s="637" t="s">
        <v>872</v>
      </c>
      <c r="C28" s="637" t="s">
        <v>873</v>
      </c>
      <c r="D28" s="652">
        <v>27</v>
      </c>
      <c r="E28" s="679" t="str">
        <f>LOOKUP(D28,'f-travail'!A:A,'f-travail'!B:B)</f>
        <v>مراقب</v>
      </c>
      <c r="F28" s="650" t="s">
        <v>539</v>
      </c>
      <c r="G28" s="650"/>
      <c r="H28" s="653">
        <v>10</v>
      </c>
      <c r="I28" s="653"/>
      <c r="J28" s="654" t="s">
        <v>543</v>
      </c>
      <c r="K28" s="650">
        <v>3</v>
      </c>
      <c r="L28" s="650">
        <v>2</v>
      </c>
      <c r="M28" s="650">
        <v>0</v>
      </c>
      <c r="N28" s="654"/>
      <c r="O28" s="654"/>
      <c r="P28" s="654"/>
      <c r="Q28" s="654"/>
      <c r="R28" s="676">
        <v>11111111111</v>
      </c>
      <c r="S28" s="654" t="s">
        <v>561</v>
      </c>
      <c r="T28" s="675"/>
      <c r="U28" s="675"/>
      <c r="V28" s="670">
        <f>LOOKUP(D28,'f-travail'!A:A,'f-travail'!E:E)</f>
        <v>9</v>
      </c>
      <c r="W28" s="670">
        <f>VLOOKUP(V28,جرقمإستدلالي,'f-travail'!$AD$4+1,FALSE)</f>
        <v>418</v>
      </c>
      <c r="X28" s="671">
        <f t="shared" si="0"/>
        <v>209</v>
      </c>
      <c r="Y28" s="671">
        <f>IF(G28="مدير ولائي",(HLOOKUP(I28,جدروظعليا,'f-travail'!$AT$3+1,FALSE)-3200),0)</f>
        <v>0</v>
      </c>
      <c r="Z28" s="672" t="str">
        <f t="shared" si="18"/>
        <v/>
      </c>
      <c r="AA28" s="671">
        <f t="shared" si="19"/>
        <v>0</v>
      </c>
      <c r="AB28" s="677" t="str">
        <f t="shared" si="20"/>
        <v>م(3)</v>
      </c>
      <c r="AC28" s="678">
        <f t="shared" si="32"/>
        <v>0</v>
      </c>
      <c r="AD28" s="673">
        <f t="shared" si="1"/>
        <v>22.5</v>
      </c>
      <c r="AE28" s="678">
        <f t="shared" si="2"/>
        <v>922.5</v>
      </c>
      <c r="AF28" s="678">
        <f t="shared" si="3"/>
        <v>18810</v>
      </c>
      <c r="AG28" s="678">
        <f t="shared" si="4"/>
        <v>9405</v>
      </c>
      <c r="AH28" s="673">
        <f t="shared" si="22"/>
        <v>0</v>
      </c>
      <c r="AI28" s="674">
        <f>IF(G28="مدير ولائي",(11000*35%),LOOKUP(D28,'f-travail'!A:A,'f-travail'!I:I))</f>
        <v>1207.5</v>
      </c>
      <c r="AJ28" s="673">
        <f>IF(G28="مدير ولائي",((W28+X28)*45)*80%,IF(V28&lt;8,0,IF(F28="إليزي",(LOOKUP(D28,'f-travail'!A:A,'f-travail'!O:O))*(AF28+AG28),LOOKUP(D28,'f-travail'!A:A,'f-travail'!P:P)*(AF28+AG28))))</f>
        <v>9875.25</v>
      </c>
      <c r="AK28" s="673">
        <f>IF(G28="مدير ولائي",0,LOOKUP(D28,'f-travail'!A:A,'f-travail'!Q:Q))</f>
        <v>3100</v>
      </c>
      <c r="AL28" s="673">
        <f>IF(G28="مدير ولائي",0,LOOKUP(D28,'f-travail'!A:A,'f-travail'!R:R)*(AF28+AG28))</f>
        <v>0</v>
      </c>
      <c r="AM28" s="673">
        <f>IF(G28="مدير ولائي",0,LOOKUP(D28,'f-travail'!A:A,'f-travail'!S:S)*(AF28+AG28))</f>
        <v>0</v>
      </c>
      <c r="AN28" s="673">
        <f>IF(G28="مدير ولائي",0,LOOKUP(D28,'f-travail'!A:A,'f-travail'!T:T)*(AF28+AG28))</f>
        <v>0</v>
      </c>
      <c r="AO28" s="673">
        <f>IF(G28="مدير ولائي",0,LOOKUP(D28,'f-travail'!A:A,'f-travail'!U:U)*(AF28+AG28))</f>
        <v>0</v>
      </c>
      <c r="AP28" s="673">
        <f>IF(G28="مدير ولائي",0,LOOKUP(D28,'f-travail'!A:A,'f-travail'!V:V)*(AF28+AG28))</f>
        <v>8464.5</v>
      </c>
      <c r="AQ28" s="673">
        <f>IF(G28="مدير ولائي",0,LOOKUP(D28,'f-travail'!A:A,'f-travail'!W:W)*(AF28+AG28))</f>
        <v>7053.75</v>
      </c>
      <c r="AR28" s="673">
        <f t="shared" si="23"/>
        <v>0</v>
      </c>
      <c r="AS28" s="673">
        <f>IF(G28="مدير ولائي",0,LOOKUP(D28,'f-travail'!A:A,'f-travail'!X:X)*(AF28+AG28))</f>
        <v>0</v>
      </c>
      <c r="AT28" s="673">
        <f>IF(G28="مدير ولائي",0,LOOKUP(D28,'f-travail'!Y:Y,'f-travail'!R:R)*(AF28+AG28))</f>
        <v>0</v>
      </c>
      <c r="AU28" s="673">
        <f t="shared" si="5"/>
        <v>0</v>
      </c>
      <c r="AV28" s="673">
        <f t="shared" si="6"/>
        <v>0</v>
      </c>
      <c r="AW28" s="673">
        <f t="shared" si="7"/>
        <v>0</v>
      </c>
      <c r="AX28" s="637" t="str">
        <f t="shared" si="8"/>
        <v>لللللللللللللللللللللل</v>
      </c>
      <c r="AY28" s="640" t="str">
        <f t="shared" si="9"/>
        <v xml:space="preserve"> ب 9 - د 10</v>
      </c>
      <c r="AZ28" s="673">
        <f t="shared" si="10"/>
        <v>28215</v>
      </c>
      <c r="BA28" s="639">
        <f t="shared" si="11"/>
        <v>58838.5</v>
      </c>
      <c r="BB28" s="639">
        <f t="shared" si="12"/>
        <v>8464.5</v>
      </c>
      <c r="BC28" s="639">
        <f t="shared" si="13"/>
        <v>0</v>
      </c>
      <c r="BD28" s="639">
        <f t="shared" si="14"/>
        <v>3100</v>
      </c>
      <c r="BE28" s="639">
        <f t="shared" si="15"/>
        <v>0</v>
      </c>
      <c r="BF28" s="639">
        <f t="shared" si="16"/>
        <v>7053.75</v>
      </c>
      <c r="BG28" s="639">
        <f t="shared" si="24"/>
        <v>0</v>
      </c>
      <c r="BH28" s="683">
        <f t="shared" si="25"/>
        <v>0</v>
      </c>
      <c r="BI28" s="683">
        <f t="shared" si="26"/>
        <v>0</v>
      </c>
      <c r="BJ28" s="641">
        <f t="shared" si="27"/>
        <v>57916</v>
      </c>
      <c r="BK28" s="641">
        <f t="shared" si="28"/>
        <v>5212.4399999999996</v>
      </c>
      <c r="BL28" s="641">
        <f t="shared" si="29"/>
        <v>52418.559999999998</v>
      </c>
      <c r="BM28" s="684">
        <f t="shared" si="30"/>
        <v>4612.78</v>
      </c>
      <c r="BN28" s="643" t="s">
        <v>831</v>
      </c>
      <c r="BO28" s="682" t="str">
        <f>CONCATENATE(Z28," ",LOOKUP(D28,'f-travail'!A:A,'f-travail'!F:F))</f>
        <v xml:space="preserve"> ب 9</v>
      </c>
      <c r="BP28" s="669" t="str">
        <f t="shared" si="17"/>
        <v xml:space="preserve"> مراقب</v>
      </c>
    </row>
    <row r="29" spans="1:68">
      <c r="A29" s="636">
        <f t="shared" si="31"/>
        <v>28</v>
      </c>
      <c r="B29" s="637" t="s">
        <v>874</v>
      </c>
      <c r="C29" s="637" t="s">
        <v>875</v>
      </c>
      <c r="D29" s="652">
        <v>5</v>
      </c>
      <c r="E29" s="679" t="str">
        <f>LOOKUP(D29,'f-travail'!A:A,'f-travail'!B:B)</f>
        <v>متصرف رئيسي</v>
      </c>
      <c r="F29" s="650" t="s">
        <v>539</v>
      </c>
      <c r="G29" s="650"/>
      <c r="H29" s="653">
        <v>6</v>
      </c>
      <c r="I29" s="653"/>
      <c r="J29" s="654" t="s">
        <v>542</v>
      </c>
      <c r="K29" s="650">
        <v>3</v>
      </c>
      <c r="L29" s="650"/>
      <c r="M29" s="650">
        <v>0</v>
      </c>
      <c r="N29" s="654"/>
      <c r="O29" s="654"/>
      <c r="P29" s="654"/>
      <c r="Q29" s="654"/>
      <c r="R29" s="676">
        <v>11111111111</v>
      </c>
      <c r="S29" s="654" t="s">
        <v>561</v>
      </c>
      <c r="T29" s="675"/>
      <c r="U29" s="675"/>
      <c r="V29" s="670">
        <f>LOOKUP(D29,'f-travail'!A:A,'f-travail'!E:E)</f>
        <v>14</v>
      </c>
      <c r="W29" s="670">
        <f>VLOOKUP(V29,جرقمإستدلالي,'f-travail'!$AD$4+1,FALSE)</f>
        <v>621</v>
      </c>
      <c r="X29" s="671">
        <f t="shared" si="0"/>
        <v>186</v>
      </c>
      <c r="Y29" s="671">
        <f>IF(G29="مدير ولائي",(HLOOKUP(I29,جدروظعليا,'f-travail'!$AT$3+1,FALSE)-3200),0)</f>
        <v>0</v>
      </c>
      <c r="Z29" s="672" t="str">
        <f t="shared" si="18"/>
        <v/>
      </c>
      <c r="AA29" s="671">
        <f t="shared" si="19"/>
        <v>0</v>
      </c>
      <c r="AB29" s="677" t="str">
        <f t="shared" si="20"/>
        <v>م(3)</v>
      </c>
      <c r="AC29" s="678">
        <f t="shared" si="32"/>
        <v>800</v>
      </c>
      <c r="AD29" s="673">
        <f t="shared" si="1"/>
        <v>0</v>
      </c>
      <c r="AE29" s="678">
        <f t="shared" si="2"/>
        <v>1700</v>
      </c>
      <c r="AF29" s="678">
        <f t="shared" si="3"/>
        <v>27945</v>
      </c>
      <c r="AG29" s="678">
        <f t="shared" si="4"/>
        <v>8370</v>
      </c>
      <c r="AH29" s="673">
        <f t="shared" si="22"/>
        <v>0</v>
      </c>
      <c r="AI29" s="674">
        <f>IF(G29="مدير ولائي",(11000*35%),LOOKUP(D29,'f-travail'!A:A,'f-travail'!I:I))</f>
        <v>1869</v>
      </c>
      <c r="AJ29" s="673">
        <f>IF(G29="مدير ولائي",((W29+X29)*45)*80%,IF(V29&lt;8,0,IF(F29="إليزي",(LOOKUP(D29,'f-travail'!A:A,'f-travail'!O:O))*(AF29+AG29),LOOKUP(D29,'f-travail'!A:A,'f-travail'!P:P)*(AF29+AG29))))</f>
        <v>29052</v>
      </c>
      <c r="AK29" s="673">
        <f>IF(G29="مدير ولائي",0,LOOKUP(D29,'f-travail'!A:A,'f-travail'!Q:Q))</f>
        <v>1500</v>
      </c>
      <c r="AL29" s="673">
        <f>IF(G29="مدير ولائي",0,LOOKUP(D29,'f-travail'!A:A,'f-travail'!R:R)*(AF29+AG29))</f>
        <v>14526</v>
      </c>
      <c r="AM29" s="673">
        <f>IF(G29="مدير ولائي",0,LOOKUP(D29,'f-travail'!A:A,'f-travail'!S:S)*(AF29+AG29))</f>
        <v>0</v>
      </c>
      <c r="AN29" s="673">
        <f>IF(G29="مدير ولائي",0,LOOKUP(D29,'f-travail'!A:A,'f-travail'!T:T)*(AF29+AG29))</f>
        <v>0</v>
      </c>
      <c r="AO29" s="673">
        <f>IF(G29="مدير ولائي",0,LOOKUP(D29,'f-travail'!A:A,'f-travail'!U:U)*(AF29+AG29))</f>
        <v>0</v>
      </c>
      <c r="AP29" s="673">
        <f>IF(G29="مدير ولائي",0,LOOKUP(D29,'f-travail'!A:A,'f-travail'!V:V)*(AF29+AG29))</f>
        <v>0</v>
      </c>
      <c r="AQ29" s="673">
        <f>IF(G29="مدير ولائي",0,LOOKUP(D29,'f-travail'!A:A,'f-travail'!W:W)*(AF29+AG29))</f>
        <v>0</v>
      </c>
      <c r="AR29" s="673">
        <f t="shared" si="23"/>
        <v>0</v>
      </c>
      <c r="AS29" s="673">
        <f>IF(G29="مدير ولائي",0,LOOKUP(D29,'f-travail'!A:A,'f-travail'!X:X)*(AF29+AG29))</f>
        <v>3631.5</v>
      </c>
      <c r="AT29" s="673">
        <f>IF(G29="مدير ولائي",0,LOOKUP(D29,'f-travail'!Y:Y,'f-travail'!R:R)*(AF29+AG29))</f>
        <v>0</v>
      </c>
      <c r="AU29" s="673">
        <f t="shared" si="5"/>
        <v>0</v>
      </c>
      <c r="AV29" s="673">
        <f t="shared" si="6"/>
        <v>0</v>
      </c>
      <c r="AW29" s="673">
        <f t="shared" si="7"/>
        <v>0</v>
      </c>
      <c r="AX29" s="637" t="str">
        <f t="shared" si="8"/>
        <v>فففففففففففففففففففف</v>
      </c>
      <c r="AY29" s="640" t="str">
        <f t="shared" si="9"/>
        <v xml:space="preserve"> أ 14 - د 6</v>
      </c>
      <c r="AZ29" s="673">
        <f t="shared" si="10"/>
        <v>36315</v>
      </c>
      <c r="BA29" s="639">
        <f t="shared" si="11"/>
        <v>88593.5</v>
      </c>
      <c r="BB29" s="639">
        <f t="shared" si="12"/>
        <v>14526</v>
      </c>
      <c r="BC29" s="639">
        <f t="shared" si="13"/>
        <v>0</v>
      </c>
      <c r="BD29" s="639">
        <f t="shared" si="14"/>
        <v>1500</v>
      </c>
      <c r="BE29" s="639">
        <f t="shared" si="15"/>
        <v>0</v>
      </c>
      <c r="BF29" s="639">
        <f t="shared" si="16"/>
        <v>3631.5</v>
      </c>
      <c r="BG29" s="639">
        <f t="shared" si="24"/>
        <v>0</v>
      </c>
      <c r="BH29" s="683">
        <f t="shared" si="25"/>
        <v>0</v>
      </c>
      <c r="BI29" s="683">
        <f t="shared" si="26"/>
        <v>0</v>
      </c>
      <c r="BJ29" s="641">
        <f t="shared" si="27"/>
        <v>86893.5</v>
      </c>
      <c r="BK29" s="641">
        <f t="shared" si="28"/>
        <v>7820.42</v>
      </c>
      <c r="BL29" s="641">
        <f t="shared" si="29"/>
        <v>78904.08</v>
      </c>
      <c r="BM29" s="684">
        <f t="shared" si="30"/>
        <v>8585.61</v>
      </c>
      <c r="BN29" s="643" t="s">
        <v>832</v>
      </c>
      <c r="BO29" s="682" t="str">
        <f>CONCATENATE(Z29," ",LOOKUP(D29,'f-travail'!A:A,'f-travail'!F:F))</f>
        <v xml:space="preserve"> أ 14</v>
      </c>
      <c r="BP29" s="669" t="str">
        <f t="shared" si="17"/>
        <v xml:space="preserve"> متصرف رئيسي</v>
      </c>
    </row>
    <row r="30" spans="1:68">
      <c r="A30" s="636">
        <f t="shared" si="31"/>
        <v>29</v>
      </c>
      <c r="B30" s="637" t="s">
        <v>876</v>
      </c>
      <c r="C30" s="637" t="s">
        <v>877</v>
      </c>
      <c r="D30" s="652">
        <v>7</v>
      </c>
      <c r="E30" s="679" t="str">
        <f>LOOKUP(D30,'f-travail'!A:A,'f-travail'!B:B)</f>
        <v>مهندس رئيسي في إ الآلي</v>
      </c>
      <c r="F30" s="650" t="s">
        <v>539</v>
      </c>
      <c r="G30" s="650"/>
      <c r="H30" s="653">
        <v>6</v>
      </c>
      <c r="I30" s="653"/>
      <c r="J30" s="654" t="s">
        <v>543</v>
      </c>
      <c r="K30" s="650">
        <v>2</v>
      </c>
      <c r="L30" s="650"/>
      <c r="M30" s="650">
        <v>0</v>
      </c>
      <c r="N30" s="654"/>
      <c r="O30" s="654"/>
      <c r="P30" s="654"/>
      <c r="Q30" s="654"/>
      <c r="R30" s="676">
        <v>11111111111</v>
      </c>
      <c r="S30" s="654" t="s">
        <v>550</v>
      </c>
      <c r="T30" s="675"/>
      <c r="U30" s="675"/>
      <c r="V30" s="670">
        <f>LOOKUP(D30,'f-travail'!A:A,'f-travail'!E:E)</f>
        <v>14</v>
      </c>
      <c r="W30" s="670">
        <f>VLOOKUP(V30,جرقمإستدلالي,'f-travail'!$AD$4+1,FALSE)</f>
        <v>621</v>
      </c>
      <c r="X30" s="671">
        <f t="shared" si="0"/>
        <v>186</v>
      </c>
      <c r="Y30" s="671">
        <f>IF(G30="مدير ولائي",(HLOOKUP(I30,جدروظعليا,'f-travail'!$AT$3+1,FALSE)-3200),0)</f>
        <v>0</v>
      </c>
      <c r="Z30" s="672" t="str">
        <f t="shared" si="18"/>
        <v/>
      </c>
      <c r="AA30" s="671">
        <f t="shared" si="19"/>
        <v>0</v>
      </c>
      <c r="AB30" s="677" t="str">
        <f t="shared" si="20"/>
        <v>م(2)</v>
      </c>
      <c r="AC30" s="678">
        <f t="shared" si="32"/>
        <v>0</v>
      </c>
      <c r="AD30" s="673">
        <f t="shared" si="1"/>
        <v>0</v>
      </c>
      <c r="AE30" s="678">
        <f t="shared" si="2"/>
        <v>600</v>
      </c>
      <c r="AF30" s="678">
        <f t="shared" si="3"/>
        <v>27945</v>
      </c>
      <c r="AG30" s="678">
        <f t="shared" si="4"/>
        <v>8370</v>
      </c>
      <c r="AH30" s="673">
        <f t="shared" si="22"/>
        <v>0</v>
      </c>
      <c r="AI30" s="674">
        <f>IF(G30="مدير ولائي",(11000*35%),LOOKUP(D30,'f-travail'!A:A,'f-travail'!I:I))</f>
        <v>1869</v>
      </c>
      <c r="AJ30" s="673">
        <f>IF(G30="مدير ولائي",((W30+X30)*45)*80%,IF(V30&lt;8,0,IF(F30="إليزي",(LOOKUP(D30,'f-travail'!A:A,'f-travail'!O:O))*(AF30+AG30),LOOKUP(D30,'f-travail'!A:A,'f-travail'!P:P)*(AF30+AG30))))</f>
        <v>29052</v>
      </c>
      <c r="AK30" s="673">
        <f>IF(G30="مدير ولائي",0,LOOKUP(D30,'f-travail'!A:A,'f-travail'!Q:Q))</f>
        <v>1500</v>
      </c>
      <c r="AL30" s="673">
        <f>IF(G30="مدير ولائي",0,LOOKUP(D30,'f-travail'!A:A,'f-travail'!R:R)*(AF30+AG30))</f>
        <v>0</v>
      </c>
      <c r="AM30" s="673">
        <f>IF(G30="مدير ولائي",0,LOOKUP(D30,'f-travail'!A:A,'f-travail'!S:S)*(AF30+AG30))</f>
        <v>14526</v>
      </c>
      <c r="AN30" s="673">
        <f>IF(G30="مدير ولائي",0,LOOKUP(D30,'f-travail'!A:A,'f-travail'!T:T)*(AF30+AG30))</f>
        <v>0</v>
      </c>
      <c r="AO30" s="673">
        <f>IF(G30="مدير ولائي",0,LOOKUP(D30,'f-travail'!A:A,'f-travail'!U:U)*(AF30+AG30))</f>
        <v>0</v>
      </c>
      <c r="AP30" s="673">
        <f>IF(G30="مدير ولائي",0,LOOKUP(D30,'f-travail'!A:A,'f-travail'!V:V)*(AF30+AG30))</f>
        <v>0</v>
      </c>
      <c r="AQ30" s="673">
        <f>IF(G30="مدير ولائي",0,LOOKUP(D30,'f-travail'!A:A,'f-travail'!W:W)*(AF30+AG30))</f>
        <v>0</v>
      </c>
      <c r="AR30" s="673">
        <f t="shared" si="23"/>
        <v>0</v>
      </c>
      <c r="AS30" s="673">
        <f>IF(G30="مدير ولائي",0,LOOKUP(D30,'f-travail'!A:A,'f-travail'!X:X)*(AF30+AG30))</f>
        <v>3631.5</v>
      </c>
      <c r="AT30" s="673">
        <f>IF(G30="مدير ولائي",0,LOOKUP(D30,'f-travail'!Y:Y,'f-travail'!R:R)*(AF30+AG30))</f>
        <v>0</v>
      </c>
      <c r="AU30" s="673">
        <f t="shared" si="5"/>
        <v>0</v>
      </c>
      <c r="AV30" s="673">
        <f t="shared" si="6"/>
        <v>0</v>
      </c>
      <c r="AW30" s="673">
        <f t="shared" si="7"/>
        <v>0</v>
      </c>
      <c r="AX30" s="637" t="str">
        <f t="shared" si="8"/>
        <v>يسلللللللسيييييييي</v>
      </c>
      <c r="AY30" s="640" t="str">
        <f t="shared" si="9"/>
        <v xml:space="preserve"> أ 14 - د 6</v>
      </c>
      <c r="AZ30" s="673">
        <f t="shared" si="10"/>
        <v>36315</v>
      </c>
      <c r="BA30" s="639">
        <f t="shared" si="11"/>
        <v>87493.5</v>
      </c>
      <c r="BB30" s="639">
        <f t="shared" si="12"/>
        <v>14526</v>
      </c>
      <c r="BC30" s="639">
        <f t="shared" si="13"/>
        <v>0</v>
      </c>
      <c r="BD30" s="639">
        <f t="shared" si="14"/>
        <v>1500</v>
      </c>
      <c r="BE30" s="639">
        <f t="shared" si="15"/>
        <v>0</v>
      </c>
      <c r="BF30" s="639">
        <f t="shared" si="16"/>
        <v>3631.5</v>
      </c>
      <c r="BG30" s="639">
        <f t="shared" si="24"/>
        <v>0</v>
      </c>
      <c r="BH30" s="683">
        <f t="shared" si="25"/>
        <v>0</v>
      </c>
      <c r="BI30" s="683">
        <f t="shared" si="26"/>
        <v>0</v>
      </c>
      <c r="BJ30" s="641">
        <f t="shared" si="27"/>
        <v>86893.5</v>
      </c>
      <c r="BK30" s="641">
        <f t="shared" si="28"/>
        <v>7820.42</v>
      </c>
      <c r="BL30" s="641">
        <f t="shared" si="29"/>
        <v>77804.08</v>
      </c>
      <c r="BM30" s="684">
        <f t="shared" si="30"/>
        <v>8420.61</v>
      </c>
      <c r="BN30" s="643" t="s">
        <v>833</v>
      </c>
      <c r="BO30" s="682" t="str">
        <f>CONCATENATE(Z30," ",LOOKUP(D30,'f-travail'!A:A,'f-travail'!F:F))</f>
        <v xml:space="preserve"> أ 14</v>
      </c>
      <c r="BP30" s="669" t="str">
        <f t="shared" si="17"/>
        <v xml:space="preserve"> مهندس رئيسي في إ الآلي</v>
      </c>
    </row>
    <row r="31" spans="1:68">
      <c r="A31" s="636">
        <f t="shared" si="31"/>
        <v>30</v>
      </c>
      <c r="B31" s="637" t="s">
        <v>878</v>
      </c>
      <c r="C31" s="637" t="s">
        <v>879</v>
      </c>
      <c r="D31" s="652">
        <v>9</v>
      </c>
      <c r="E31" s="679" t="str">
        <f>LOOKUP(D31,'f-travail'!A:A,'f-travail'!B:B)</f>
        <v>متصرف محلل</v>
      </c>
      <c r="F31" s="650" t="s">
        <v>545</v>
      </c>
      <c r="G31" s="650"/>
      <c r="H31" s="653">
        <v>1</v>
      </c>
      <c r="I31" s="653"/>
      <c r="J31" s="654" t="s">
        <v>541</v>
      </c>
      <c r="K31" s="650"/>
      <c r="L31" s="650"/>
      <c r="M31" s="650">
        <v>1</v>
      </c>
      <c r="N31" s="654"/>
      <c r="O31" s="654"/>
      <c r="P31" s="654"/>
      <c r="Q31" s="654"/>
      <c r="R31" s="676">
        <v>11111111111</v>
      </c>
      <c r="S31" s="654" t="s">
        <v>562</v>
      </c>
      <c r="T31" s="675"/>
      <c r="U31" s="675"/>
      <c r="V31" s="670">
        <f>LOOKUP(D31,'f-travail'!A:A,'f-travail'!E:E)</f>
        <v>13</v>
      </c>
      <c r="W31" s="670">
        <f>VLOOKUP(V31,جرقمإستدلالي,'f-travail'!$AD$4+1,FALSE)</f>
        <v>578</v>
      </c>
      <c r="X31" s="671">
        <f t="shared" si="0"/>
        <v>29</v>
      </c>
      <c r="Y31" s="671">
        <f>IF(G31="مدير ولائي",(HLOOKUP(I31,جدروظعليا,'f-travail'!$AT$3+1,FALSE)-3200),0)</f>
        <v>0</v>
      </c>
      <c r="Z31" s="672" t="str">
        <f t="shared" si="18"/>
        <v/>
      </c>
      <c r="AA31" s="671">
        <f t="shared" si="19"/>
        <v>0</v>
      </c>
      <c r="AB31" s="677" t="str">
        <f t="shared" si="20"/>
        <v>م()</v>
      </c>
      <c r="AC31" s="678">
        <f t="shared" si="32"/>
        <v>0</v>
      </c>
      <c r="AD31" s="673">
        <f t="shared" si="1"/>
        <v>0</v>
      </c>
      <c r="AE31" s="678">
        <f t="shared" si="2"/>
        <v>0</v>
      </c>
      <c r="AF31" s="678">
        <f t="shared" si="3"/>
        <v>26010</v>
      </c>
      <c r="AG31" s="678">
        <f t="shared" si="4"/>
        <v>1305</v>
      </c>
      <c r="AH31" s="673">
        <f t="shared" si="22"/>
        <v>2000</v>
      </c>
      <c r="AI31" s="674">
        <f>IF(G31="مدير ولائي",(11000*35%),LOOKUP(D31,'f-travail'!A:A,'f-travail'!I:I))</f>
        <v>1687</v>
      </c>
      <c r="AJ31" s="673">
        <f>IF(G31="مدير ولائي",((W31+X31)*45)*80%,IF(V31&lt;8,0,IF(F31="إليزي",(LOOKUP(D31,'f-travail'!A:A,'f-travail'!O:O))*(AF31+AG31),LOOKUP(D31,'f-travail'!A:A,'f-travail'!P:P)*(AF31+AG31))))</f>
        <v>24583.5</v>
      </c>
      <c r="AK31" s="673">
        <f>IF(G31="مدير ولائي",0,LOOKUP(D31,'f-travail'!A:A,'f-travail'!Q:Q))</f>
        <v>1500</v>
      </c>
      <c r="AL31" s="673">
        <f>IF(G31="مدير ولائي",0,LOOKUP(D31,'f-travail'!A:A,'f-travail'!R:R)*(AF31+AG31))</f>
        <v>10926</v>
      </c>
      <c r="AM31" s="673">
        <f>IF(G31="مدير ولائي",0,LOOKUP(D31,'f-travail'!A:A,'f-travail'!S:S)*(AF31+AG31))</f>
        <v>0</v>
      </c>
      <c r="AN31" s="673">
        <f>IF(G31="مدير ولائي",0,LOOKUP(D31,'f-travail'!A:A,'f-travail'!T:T)*(AF31+AG31))</f>
        <v>0</v>
      </c>
      <c r="AO31" s="673">
        <f>IF(G31="مدير ولائي",0,LOOKUP(D31,'f-travail'!A:A,'f-travail'!U:U)*(AF31+AG31))</f>
        <v>0</v>
      </c>
      <c r="AP31" s="673">
        <f>IF(G31="مدير ولائي",0,LOOKUP(D31,'f-travail'!A:A,'f-travail'!V:V)*(AF31+AG31))</f>
        <v>0</v>
      </c>
      <c r="AQ31" s="673">
        <f>IF(G31="مدير ولائي",0,LOOKUP(D31,'f-travail'!A:A,'f-travail'!W:W)*(AF31+AG31))</f>
        <v>0</v>
      </c>
      <c r="AR31" s="673">
        <f t="shared" si="23"/>
        <v>0</v>
      </c>
      <c r="AS31" s="673">
        <f>IF(G31="مدير ولائي",0,LOOKUP(D31,'f-travail'!A:A,'f-travail'!X:X)*(AF31+AG31))</f>
        <v>2731.5</v>
      </c>
      <c r="AT31" s="673">
        <f>IF(G31="مدير ولائي",0,LOOKUP(D31,'f-travail'!Y:Y,'f-travail'!R:R)*(AF31+AG31))</f>
        <v>0</v>
      </c>
      <c r="AU31" s="673">
        <f t="shared" si="5"/>
        <v>0</v>
      </c>
      <c r="AV31" s="673">
        <f t="shared" si="6"/>
        <v>0</v>
      </c>
      <c r="AW31" s="673">
        <f t="shared" si="7"/>
        <v>0</v>
      </c>
      <c r="AX31" s="637" t="str">
        <f t="shared" si="8"/>
        <v>ررءرءؤرؤءرليسليسليسل</v>
      </c>
      <c r="AY31" s="640" t="str">
        <f t="shared" si="9"/>
        <v xml:space="preserve"> أ 13 - د 1</v>
      </c>
      <c r="AZ31" s="673">
        <f t="shared" si="10"/>
        <v>27315</v>
      </c>
      <c r="BA31" s="639">
        <f t="shared" si="11"/>
        <v>70743</v>
      </c>
      <c r="BB31" s="639">
        <f t="shared" si="12"/>
        <v>10926</v>
      </c>
      <c r="BC31" s="639">
        <f t="shared" si="13"/>
        <v>0</v>
      </c>
      <c r="BD31" s="639">
        <f t="shared" si="14"/>
        <v>1500</v>
      </c>
      <c r="BE31" s="639">
        <f t="shared" si="15"/>
        <v>2000</v>
      </c>
      <c r="BF31" s="639">
        <f t="shared" si="16"/>
        <v>2731.5</v>
      </c>
      <c r="BG31" s="639">
        <f t="shared" si="24"/>
        <v>0</v>
      </c>
      <c r="BH31" s="683">
        <f t="shared" si="25"/>
        <v>0</v>
      </c>
      <c r="BI31" s="683">
        <f t="shared" si="26"/>
        <v>0</v>
      </c>
      <c r="BJ31" s="641">
        <f t="shared" si="27"/>
        <v>70743</v>
      </c>
      <c r="BK31" s="641">
        <f t="shared" si="28"/>
        <v>6366.87</v>
      </c>
      <c r="BL31" s="641">
        <f t="shared" si="29"/>
        <v>60689.13</v>
      </c>
      <c r="BM31" s="684">
        <f t="shared" si="30"/>
        <v>5853.37</v>
      </c>
      <c r="BN31" s="643" t="s">
        <v>834</v>
      </c>
      <c r="BO31" s="682" t="str">
        <f>CONCATENATE(Z31," ",LOOKUP(D31,'f-travail'!A:A,'f-travail'!F:F))</f>
        <v xml:space="preserve"> أ 13</v>
      </c>
      <c r="BP31" s="669" t="str">
        <f t="shared" si="17"/>
        <v xml:space="preserve"> متصرف محلل</v>
      </c>
    </row>
    <row r="32" spans="1:68">
      <c r="A32" s="636">
        <f t="shared" si="31"/>
        <v>31</v>
      </c>
      <c r="B32" s="637" t="s">
        <v>880</v>
      </c>
      <c r="C32" s="637" t="s">
        <v>881</v>
      </c>
      <c r="D32" s="652">
        <v>14</v>
      </c>
      <c r="E32" s="679" t="str">
        <f>LOOKUP(D32,'f-travail'!A:A,'f-travail'!B:B)</f>
        <v>مفتش رئيسي</v>
      </c>
      <c r="F32" s="650" t="s">
        <v>546</v>
      </c>
      <c r="G32" s="650"/>
      <c r="H32" s="653">
        <v>2</v>
      </c>
      <c r="I32" s="653"/>
      <c r="J32" s="654" t="s">
        <v>541</v>
      </c>
      <c r="K32" s="650"/>
      <c r="L32" s="650"/>
      <c r="M32" s="650">
        <v>1</v>
      </c>
      <c r="N32" s="654"/>
      <c r="O32" s="654"/>
      <c r="P32" s="654"/>
      <c r="Q32" s="654"/>
      <c r="R32" s="676">
        <v>11111111111</v>
      </c>
      <c r="S32" s="654" t="s">
        <v>562</v>
      </c>
      <c r="T32" s="675"/>
      <c r="U32" s="675"/>
      <c r="V32" s="670">
        <f>LOOKUP(D32,'f-travail'!A:A,'f-travail'!E:E)</f>
        <v>12</v>
      </c>
      <c r="W32" s="670">
        <f>VLOOKUP(V32,جرقمإستدلالي,'f-travail'!$AD$4+1,FALSE)</f>
        <v>537</v>
      </c>
      <c r="X32" s="671">
        <f t="shared" si="0"/>
        <v>54</v>
      </c>
      <c r="Y32" s="671">
        <f>IF(G32="مدير ولائي",(HLOOKUP(I32,جدروظعليا,'f-travail'!$AT$3+1,FALSE)-3200),0)</f>
        <v>0</v>
      </c>
      <c r="Z32" s="672" t="str">
        <f t="shared" si="18"/>
        <v/>
      </c>
      <c r="AA32" s="671">
        <f t="shared" si="19"/>
        <v>0</v>
      </c>
      <c r="AB32" s="677" t="str">
        <f t="shared" si="20"/>
        <v>م()</v>
      </c>
      <c r="AC32" s="678">
        <f t="shared" si="32"/>
        <v>0</v>
      </c>
      <c r="AD32" s="673">
        <f t="shared" si="1"/>
        <v>0</v>
      </c>
      <c r="AE32" s="678">
        <f t="shared" si="2"/>
        <v>0</v>
      </c>
      <c r="AF32" s="678">
        <f t="shared" si="3"/>
        <v>24165</v>
      </c>
      <c r="AG32" s="678">
        <f t="shared" si="4"/>
        <v>2430</v>
      </c>
      <c r="AH32" s="673">
        <f t="shared" si="22"/>
        <v>2000</v>
      </c>
      <c r="AI32" s="674">
        <f>IF(G32="مدير ولائي",(11000*35%),LOOKUP(D32,'f-travail'!A:A,'f-travail'!I:I))</f>
        <v>1617</v>
      </c>
      <c r="AJ32" s="673">
        <f>IF(G32="مدير ولائي",((W32+X32)*45)*80%,IF(V32&lt;8,0,IF(F32="إليزي",(LOOKUP(D32,'f-travail'!A:A,'f-travail'!O:O))*(AF32+AG32),LOOKUP(D32,'f-travail'!A:A,'f-travail'!P:P)*(AF32+AG32))))</f>
        <v>23935.5</v>
      </c>
      <c r="AK32" s="673">
        <f>IF(G32="مدير ولائي",0,LOOKUP(D32,'f-travail'!A:A,'f-travail'!Q:Q))</f>
        <v>1500</v>
      </c>
      <c r="AL32" s="673">
        <f>IF(G32="مدير ولائي",0,LOOKUP(D32,'f-travail'!A:A,'f-travail'!R:R)*(AF32+AG32))</f>
        <v>0</v>
      </c>
      <c r="AM32" s="673">
        <f>IF(G32="مدير ولائي",0,LOOKUP(D32,'f-travail'!A:A,'f-travail'!S:S)*(AF32+AG32))</f>
        <v>0</v>
      </c>
      <c r="AN32" s="673">
        <f>IF(G32="مدير ولائي",0,LOOKUP(D32,'f-travail'!A:A,'f-travail'!T:T)*(AF32+AG32))</f>
        <v>0</v>
      </c>
      <c r="AO32" s="673">
        <f>IF(G32="مدير ولائي",0,LOOKUP(D32,'f-travail'!A:A,'f-travail'!U:U)*(AF32+AG32))</f>
        <v>0</v>
      </c>
      <c r="AP32" s="673">
        <f>IF(G32="مدير ولائي",0,LOOKUP(D32,'f-travail'!A:A,'f-travail'!V:V)*(AF32+AG32))</f>
        <v>10638</v>
      </c>
      <c r="AQ32" s="673">
        <f>IF(G32="مدير ولائي",0,LOOKUP(D32,'f-travail'!A:A,'f-travail'!W:W)*(AF32+AG32))</f>
        <v>6648.75</v>
      </c>
      <c r="AR32" s="673">
        <f t="shared" si="23"/>
        <v>0</v>
      </c>
      <c r="AS32" s="673">
        <f>IF(G32="مدير ولائي",0,LOOKUP(D32,'f-travail'!A:A,'f-travail'!X:X)*(AF32+AG32))</f>
        <v>0</v>
      </c>
      <c r="AT32" s="673">
        <f>IF(G32="مدير ولائي",0,LOOKUP(D32,'f-travail'!Y:Y,'f-travail'!R:R)*(AF32+AG32))</f>
        <v>0</v>
      </c>
      <c r="AU32" s="673">
        <f t="shared" si="5"/>
        <v>0</v>
      </c>
      <c r="AV32" s="673">
        <f t="shared" si="6"/>
        <v>0</v>
      </c>
      <c r="AW32" s="673">
        <f t="shared" si="7"/>
        <v>0</v>
      </c>
      <c r="AX32" s="637" t="str">
        <f t="shared" si="8"/>
        <v>صثقصقثصقضشللبيسلبيشل</v>
      </c>
      <c r="AY32" s="640" t="str">
        <f t="shared" si="9"/>
        <v xml:space="preserve"> أ 12 - د 2</v>
      </c>
      <c r="AZ32" s="673">
        <f t="shared" si="10"/>
        <v>26595</v>
      </c>
      <c r="BA32" s="639">
        <f t="shared" si="11"/>
        <v>72934.25</v>
      </c>
      <c r="BB32" s="639">
        <f t="shared" si="12"/>
        <v>10638</v>
      </c>
      <c r="BC32" s="639">
        <f t="shared" si="13"/>
        <v>0</v>
      </c>
      <c r="BD32" s="639">
        <f t="shared" si="14"/>
        <v>1500</v>
      </c>
      <c r="BE32" s="639">
        <f t="shared" si="15"/>
        <v>2000</v>
      </c>
      <c r="BF32" s="639">
        <f t="shared" si="16"/>
        <v>6648.75</v>
      </c>
      <c r="BG32" s="639">
        <f t="shared" si="24"/>
        <v>0</v>
      </c>
      <c r="BH32" s="683">
        <f t="shared" si="25"/>
        <v>0</v>
      </c>
      <c r="BI32" s="683">
        <f t="shared" si="26"/>
        <v>0</v>
      </c>
      <c r="BJ32" s="641">
        <f t="shared" si="27"/>
        <v>72934.25</v>
      </c>
      <c r="BK32" s="641">
        <f t="shared" si="28"/>
        <v>6564.08</v>
      </c>
      <c r="BL32" s="641">
        <f t="shared" si="29"/>
        <v>62753.17</v>
      </c>
      <c r="BM32" s="684">
        <f t="shared" si="30"/>
        <v>6162.98</v>
      </c>
      <c r="BN32" s="643" t="s">
        <v>835</v>
      </c>
      <c r="BO32" s="682" t="str">
        <f>CONCATENATE(Z32," ",LOOKUP(D32,'f-travail'!A:A,'f-travail'!F:F))</f>
        <v xml:space="preserve"> أ 12</v>
      </c>
      <c r="BP32" s="669" t="str">
        <f t="shared" si="17"/>
        <v xml:space="preserve"> مفتش رئيسي</v>
      </c>
    </row>
    <row r="33" spans="1:68">
      <c r="A33" s="636">
        <f t="shared" si="31"/>
        <v>32</v>
      </c>
      <c r="B33" s="637" t="s">
        <v>882</v>
      </c>
      <c r="C33" s="637" t="s">
        <v>883</v>
      </c>
      <c r="D33" s="652">
        <v>14</v>
      </c>
      <c r="E33" s="679" t="str">
        <f>LOOKUP(D33,'f-travail'!A:A,'f-travail'!B:B)</f>
        <v>مفتش رئيسي</v>
      </c>
      <c r="F33" s="650" t="s">
        <v>539</v>
      </c>
      <c r="G33" s="650"/>
      <c r="H33" s="653">
        <v>2</v>
      </c>
      <c r="I33" s="653"/>
      <c r="J33" s="654" t="s">
        <v>542</v>
      </c>
      <c r="K33" s="650">
        <v>2</v>
      </c>
      <c r="L33" s="650"/>
      <c r="M33" s="650">
        <v>0</v>
      </c>
      <c r="N33" s="654"/>
      <c r="O33" s="654"/>
      <c r="P33" s="654"/>
      <c r="Q33" s="654"/>
      <c r="R33" s="676">
        <v>11111111111</v>
      </c>
      <c r="S33" s="654" t="s">
        <v>562</v>
      </c>
      <c r="T33" s="675"/>
      <c r="U33" s="675"/>
      <c r="V33" s="670">
        <f>LOOKUP(D33,'f-travail'!A:A,'f-travail'!E:E)</f>
        <v>12</v>
      </c>
      <c r="W33" s="670">
        <f>VLOOKUP(V33,جرقمإستدلالي,'f-travail'!$AD$4+1,FALSE)</f>
        <v>537</v>
      </c>
      <c r="X33" s="671">
        <f t="shared" si="0"/>
        <v>54</v>
      </c>
      <c r="Y33" s="671">
        <f>IF(G33="مدير ولائي",(HLOOKUP(I33,جدروظعليا,'f-travail'!$AT$3+1,FALSE)-3200),0)</f>
        <v>0</v>
      </c>
      <c r="Z33" s="672" t="str">
        <f t="shared" si="18"/>
        <v/>
      </c>
      <c r="AA33" s="671">
        <f t="shared" si="19"/>
        <v>0</v>
      </c>
      <c r="AB33" s="677" t="str">
        <f t="shared" si="20"/>
        <v>م(2)</v>
      </c>
      <c r="AC33" s="678">
        <f t="shared" si="32"/>
        <v>800</v>
      </c>
      <c r="AD33" s="673">
        <f t="shared" si="1"/>
        <v>0</v>
      </c>
      <c r="AE33" s="678">
        <f t="shared" si="2"/>
        <v>1400</v>
      </c>
      <c r="AF33" s="678">
        <f t="shared" si="3"/>
        <v>24165</v>
      </c>
      <c r="AG33" s="678">
        <f t="shared" si="4"/>
        <v>2430</v>
      </c>
      <c r="AH33" s="673">
        <f t="shared" si="22"/>
        <v>0</v>
      </c>
      <c r="AI33" s="674">
        <f>IF(G33="مدير ولائي",(11000*35%),LOOKUP(D33,'f-travail'!A:A,'f-travail'!I:I))</f>
        <v>1617</v>
      </c>
      <c r="AJ33" s="673">
        <f>IF(G33="مدير ولائي",((W33+X33)*45)*80%,IF(V33&lt;8,0,IF(F33="إليزي",(LOOKUP(D33,'f-travail'!A:A,'f-travail'!O:O))*(AF33+AG33),LOOKUP(D33,'f-travail'!A:A,'f-travail'!P:P)*(AF33+AG33))))</f>
        <v>21276</v>
      </c>
      <c r="AK33" s="673">
        <f>IF(G33="مدير ولائي",0,LOOKUP(D33,'f-travail'!A:A,'f-travail'!Q:Q))</f>
        <v>1500</v>
      </c>
      <c r="AL33" s="673">
        <f>IF(G33="مدير ولائي",0,LOOKUP(D33,'f-travail'!A:A,'f-travail'!R:R)*(AF33+AG33))</f>
        <v>0</v>
      </c>
      <c r="AM33" s="673">
        <f>IF(G33="مدير ولائي",0,LOOKUP(D33,'f-travail'!A:A,'f-travail'!S:S)*(AF33+AG33))</f>
        <v>0</v>
      </c>
      <c r="AN33" s="673">
        <f>IF(G33="مدير ولائي",0,LOOKUP(D33,'f-travail'!A:A,'f-travail'!T:T)*(AF33+AG33))</f>
        <v>0</v>
      </c>
      <c r="AO33" s="673">
        <f>IF(G33="مدير ولائي",0,LOOKUP(D33,'f-travail'!A:A,'f-travail'!U:U)*(AF33+AG33))</f>
        <v>0</v>
      </c>
      <c r="AP33" s="673">
        <f>IF(G33="مدير ولائي",0,LOOKUP(D33,'f-travail'!A:A,'f-travail'!V:V)*(AF33+AG33))</f>
        <v>10638</v>
      </c>
      <c r="AQ33" s="673">
        <f>IF(G33="مدير ولائي",0,LOOKUP(D33,'f-travail'!A:A,'f-travail'!W:W)*(AF33+AG33))</f>
        <v>6648.75</v>
      </c>
      <c r="AR33" s="673">
        <f t="shared" si="23"/>
        <v>0</v>
      </c>
      <c r="AS33" s="673">
        <f>IF(G33="مدير ولائي",0,LOOKUP(D33,'f-travail'!A:A,'f-travail'!X:X)*(AF33+AG33))</f>
        <v>0</v>
      </c>
      <c r="AT33" s="673">
        <f>IF(G33="مدير ولائي",0,LOOKUP(D33,'f-travail'!Y:Y,'f-travail'!R:R)*(AF33+AG33))</f>
        <v>0</v>
      </c>
      <c r="AU33" s="673">
        <f t="shared" si="5"/>
        <v>0</v>
      </c>
      <c r="AV33" s="673">
        <f t="shared" si="6"/>
        <v>0</v>
      </c>
      <c r="AW33" s="673">
        <f t="shared" si="7"/>
        <v>0</v>
      </c>
      <c r="AX33" s="637" t="str">
        <f t="shared" ref="AX33:AX96" si="33">C33&amp;B33</f>
        <v>صثقثصقثصقصثرسيبرشبيسب</v>
      </c>
      <c r="AY33" s="640" t="str">
        <f t="shared" si="9"/>
        <v xml:space="preserve"> أ 12 - د 2</v>
      </c>
      <c r="AZ33" s="673">
        <f t="shared" si="10"/>
        <v>26595</v>
      </c>
      <c r="BA33" s="639">
        <f t="shared" si="11"/>
        <v>69674.75</v>
      </c>
      <c r="BB33" s="639">
        <f t="shared" ref="BB33:BB64" si="34">AP33+AO33+AN33+AM33+AL33</f>
        <v>10638</v>
      </c>
      <c r="BC33" s="639">
        <f t="shared" si="13"/>
        <v>0</v>
      </c>
      <c r="BD33" s="639">
        <f t="shared" si="14"/>
        <v>1500</v>
      </c>
      <c r="BE33" s="639">
        <f t="shared" ref="BE33:BE64" si="35">N33+AH33</f>
        <v>0</v>
      </c>
      <c r="BF33" s="639">
        <f t="shared" ref="BF33:BF64" si="36">AS33+AQ33+AW33</f>
        <v>6648.75</v>
      </c>
      <c r="BG33" s="639">
        <f t="shared" si="24"/>
        <v>0</v>
      </c>
      <c r="BH33" s="683">
        <f t="shared" si="25"/>
        <v>0</v>
      </c>
      <c r="BI33" s="683">
        <f t="shared" si="26"/>
        <v>0</v>
      </c>
      <c r="BJ33" s="641">
        <f t="shared" si="27"/>
        <v>68274.75</v>
      </c>
      <c r="BK33" s="641">
        <f t="shared" si="28"/>
        <v>6144.73</v>
      </c>
      <c r="BL33" s="641">
        <f t="shared" si="29"/>
        <v>61913.02</v>
      </c>
      <c r="BM33" s="684">
        <f t="shared" si="30"/>
        <v>6036.95</v>
      </c>
      <c r="BN33" s="638" t="s">
        <v>836</v>
      </c>
      <c r="BO33" s="682" t="str">
        <f>CONCATENATE(Z33," ",LOOKUP(D33,'f-travail'!A:A,'f-travail'!F:F))</f>
        <v xml:space="preserve"> أ 12</v>
      </c>
      <c r="BP33" s="669" t="str">
        <f t="shared" si="17"/>
        <v xml:space="preserve"> مفتش رئيسي</v>
      </c>
    </row>
    <row r="34" spans="1:68">
      <c r="A34" s="636">
        <f t="shared" si="31"/>
        <v>33</v>
      </c>
      <c r="B34" s="637" t="s">
        <v>884</v>
      </c>
      <c r="C34" s="637" t="s">
        <v>872</v>
      </c>
      <c r="D34" s="652">
        <v>13</v>
      </c>
      <c r="E34" s="679" t="str">
        <f>LOOKUP(D34,'f-travail'!A:A,'f-travail'!B:B)</f>
        <v>متصرف</v>
      </c>
      <c r="F34" s="650" t="s">
        <v>539</v>
      </c>
      <c r="G34" s="650" t="s">
        <v>379</v>
      </c>
      <c r="H34" s="653">
        <v>1</v>
      </c>
      <c r="I34" s="653"/>
      <c r="J34" s="654" t="s">
        <v>542</v>
      </c>
      <c r="K34" s="650">
        <v>1</v>
      </c>
      <c r="L34" s="650"/>
      <c r="M34" s="650">
        <v>0</v>
      </c>
      <c r="N34" s="654"/>
      <c r="O34" s="654"/>
      <c r="P34" s="654"/>
      <c r="Q34" s="654"/>
      <c r="R34" s="676">
        <v>11111111111</v>
      </c>
      <c r="S34" s="654" t="s">
        <v>562</v>
      </c>
      <c r="T34" s="675"/>
      <c r="U34" s="675"/>
      <c r="V34" s="670">
        <f>LOOKUP(D34,'f-travail'!A:A,'f-travail'!E:E)</f>
        <v>12</v>
      </c>
      <c r="W34" s="670">
        <f>VLOOKUP(V34,جرقمإستدلالي,'f-travail'!$AD$4+1,FALSE)</f>
        <v>537</v>
      </c>
      <c r="X34" s="671">
        <f t="shared" si="0"/>
        <v>27</v>
      </c>
      <c r="Y34" s="671">
        <f>IF(G34="مدير ولائي",(HLOOKUP(I34,جدروظعليا,'f-travail'!$AT$3+1,FALSE)-3200),0)</f>
        <v>0</v>
      </c>
      <c r="Z34" s="672" t="str">
        <f t="shared" si="18"/>
        <v>م7</v>
      </c>
      <c r="AA34" s="671">
        <f t="shared" si="19"/>
        <v>145</v>
      </c>
      <c r="AB34" s="677" t="str">
        <f t="shared" si="20"/>
        <v>م(1)</v>
      </c>
      <c r="AC34" s="678">
        <f t="shared" si="32"/>
        <v>800</v>
      </c>
      <c r="AD34" s="673">
        <f t="shared" si="1"/>
        <v>0</v>
      </c>
      <c r="AE34" s="678">
        <f t="shared" si="2"/>
        <v>1100</v>
      </c>
      <c r="AF34" s="678">
        <f t="shared" si="3"/>
        <v>24165</v>
      </c>
      <c r="AG34" s="678">
        <f t="shared" si="4"/>
        <v>1215</v>
      </c>
      <c r="AH34" s="673">
        <f t="shared" si="22"/>
        <v>0</v>
      </c>
      <c r="AI34" s="674">
        <f>IF(G34="مدير ولائي",(11000*35%),LOOKUP(D34,'f-travail'!A:A,'f-travail'!I:I))</f>
        <v>1519</v>
      </c>
      <c r="AJ34" s="673">
        <f>IF(G34="مدير ولائي",((W34+X34)*45)*80%,IF(V34&lt;8,0,IF(F34="إليزي",(LOOKUP(D34,'f-travail'!A:A,'f-travail'!O:O))*(AF34+AG34),LOOKUP(D34,'f-travail'!A:A,'f-travail'!P:P)*(AF34+AG34))))</f>
        <v>20304</v>
      </c>
      <c r="AK34" s="673">
        <f>IF(G34="مدير ولائي",0,LOOKUP(D34,'f-travail'!A:A,'f-travail'!Q:Q))</f>
        <v>1500</v>
      </c>
      <c r="AL34" s="673">
        <f>IF(G34="مدير ولائي",0,LOOKUP(D34,'f-travail'!A:A,'f-travail'!R:R)*(AF34+AG34))</f>
        <v>10152</v>
      </c>
      <c r="AM34" s="673">
        <f>IF(G34="مدير ولائي",0,LOOKUP(D34,'f-travail'!A:A,'f-travail'!S:S)*(AF34+AG34))</f>
        <v>0</v>
      </c>
      <c r="AN34" s="673">
        <f>IF(G34="مدير ولائي",0,LOOKUP(D34,'f-travail'!A:A,'f-travail'!T:T)*(AF34+AG34))</f>
        <v>0</v>
      </c>
      <c r="AO34" s="673">
        <f>IF(G34="مدير ولائي",0,LOOKUP(D34,'f-travail'!A:A,'f-travail'!U:U)*(AF34+AG34))</f>
        <v>0</v>
      </c>
      <c r="AP34" s="673">
        <f>IF(G34="مدير ولائي",0,LOOKUP(D34,'f-travail'!A:A,'f-travail'!V:V)*(AF34+AG34))</f>
        <v>0</v>
      </c>
      <c r="AQ34" s="673">
        <f>IF(G34="مدير ولائي",0,LOOKUP(D34,'f-travail'!A:A,'f-travail'!W:W)*(AF34+AG34))</f>
        <v>0</v>
      </c>
      <c r="AR34" s="673">
        <f t="shared" si="23"/>
        <v>0</v>
      </c>
      <c r="AS34" s="673">
        <f>IF(G34="مدير ولائي",0,LOOKUP(D34,'f-travail'!A:A,'f-travail'!X:X)*(AF34+AG34))</f>
        <v>2538</v>
      </c>
      <c r="AT34" s="673">
        <f>IF(G34="مدير ولائي",0,LOOKUP(D34,'f-travail'!Y:Y,'f-travail'!R:R)*(AF34+AG34))</f>
        <v>0</v>
      </c>
      <c r="AU34" s="673">
        <f t="shared" si="5"/>
        <v>0</v>
      </c>
      <c r="AV34" s="673">
        <f t="shared" si="6"/>
        <v>0</v>
      </c>
      <c r="AW34" s="673">
        <f t="shared" si="7"/>
        <v>0</v>
      </c>
      <c r="AX34" s="637" t="str">
        <f t="shared" si="33"/>
        <v>للللللللبيسلبيليبسل</v>
      </c>
      <c r="AY34" s="640" t="str">
        <f t="shared" si="9"/>
        <v>م7 أ 12 - د 1</v>
      </c>
      <c r="AZ34" s="673">
        <f t="shared" si="10"/>
        <v>31905</v>
      </c>
      <c r="BA34" s="639">
        <f t="shared" si="11"/>
        <v>69018</v>
      </c>
      <c r="BB34" s="639">
        <f t="shared" si="34"/>
        <v>10152</v>
      </c>
      <c r="BC34" s="639">
        <f t="shared" si="13"/>
        <v>0</v>
      </c>
      <c r="BD34" s="639">
        <f t="shared" si="14"/>
        <v>1500</v>
      </c>
      <c r="BE34" s="639">
        <f t="shared" si="35"/>
        <v>0</v>
      </c>
      <c r="BF34" s="639">
        <f t="shared" si="36"/>
        <v>2538</v>
      </c>
      <c r="BG34" s="639">
        <f t="shared" si="24"/>
        <v>0</v>
      </c>
      <c r="BH34" s="683">
        <f t="shared" si="25"/>
        <v>0</v>
      </c>
      <c r="BI34" s="683">
        <f t="shared" si="26"/>
        <v>0</v>
      </c>
      <c r="BJ34" s="641">
        <f t="shared" si="27"/>
        <v>67918</v>
      </c>
      <c r="BK34" s="641">
        <f t="shared" si="28"/>
        <v>6112.62</v>
      </c>
      <c r="BL34" s="641">
        <f t="shared" si="29"/>
        <v>61386.38</v>
      </c>
      <c r="BM34" s="684">
        <f t="shared" si="30"/>
        <v>5957.96</v>
      </c>
      <c r="BN34" s="638" t="s">
        <v>837</v>
      </c>
      <c r="BO34" s="682" t="str">
        <f>CONCATENATE(Z34," ",LOOKUP(D34,'f-travail'!A:A,'f-travail'!F:F))</f>
        <v>م7 أ 12</v>
      </c>
      <c r="BP34" s="669" t="str">
        <f t="shared" si="17"/>
        <v>رئيس مكتب (متصرف)</v>
      </c>
    </row>
    <row r="35" spans="1:68">
      <c r="A35" s="636">
        <f t="shared" si="31"/>
        <v>34</v>
      </c>
      <c r="B35" s="637" t="s">
        <v>873</v>
      </c>
      <c r="C35" s="637" t="s">
        <v>874</v>
      </c>
      <c r="D35" s="652">
        <v>13</v>
      </c>
      <c r="E35" s="679" t="str">
        <f>LOOKUP(D35,'f-travail'!A:A,'f-travail'!B:B)</f>
        <v>متصرف</v>
      </c>
      <c r="F35" s="650" t="s">
        <v>539</v>
      </c>
      <c r="G35" s="650"/>
      <c r="H35" s="653">
        <v>2</v>
      </c>
      <c r="I35" s="653"/>
      <c r="J35" s="654" t="s">
        <v>543</v>
      </c>
      <c r="K35" s="650">
        <v>1</v>
      </c>
      <c r="L35" s="650"/>
      <c r="M35" s="650">
        <v>0</v>
      </c>
      <c r="N35" s="654"/>
      <c r="O35" s="654"/>
      <c r="P35" s="654"/>
      <c r="Q35" s="654"/>
      <c r="R35" s="676">
        <v>11111111111</v>
      </c>
      <c r="S35" s="654" t="s">
        <v>562</v>
      </c>
      <c r="T35" s="675"/>
      <c r="U35" s="675"/>
      <c r="V35" s="670">
        <f>LOOKUP(D35,'f-travail'!A:A,'f-travail'!E:E)</f>
        <v>12</v>
      </c>
      <c r="W35" s="670">
        <f>VLOOKUP(V35,جرقمإستدلالي,'f-travail'!$AD$4+1,FALSE)</f>
        <v>537</v>
      </c>
      <c r="X35" s="671">
        <f t="shared" si="0"/>
        <v>54</v>
      </c>
      <c r="Y35" s="671">
        <f>IF(G35="مدير ولائي",(HLOOKUP(I35,جدروظعليا,'f-travail'!$AT$3+1,FALSE)-3200),0)</f>
        <v>0</v>
      </c>
      <c r="Z35" s="672" t="str">
        <f t="shared" si="18"/>
        <v/>
      </c>
      <c r="AA35" s="671">
        <f t="shared" si="19"/>
        <v>0</v>
      </c>
      <c r="AB35" s="677" t="str">
        <f t="shared" si="20"/>
        <v>م(1)</v>
      </c>
      <c r="AC35" s="678">
        <f t="shared" si="32"/>
        <v>0</v>
      </c>
      <c r="AD35" s="673">
        <f t="shared" si="1"/>
        <v>0</v>
      </c>
      <c r="AE35" s="678">
        <f t="shared" si="2"/>
        <v>300</v>
      </c>
      <c r="AF35" s="678">
        <f t="shared" si="3"/>
        <v>24165</v>
      </c>
      <c r="AG35" s="678">
        <f t="shared" si="4"/>
        <v>2430</v>
      </c>
      <c r="AH35" s="673">
        <f t="shared" si="22"/>
        <v>0</v>
      </c>
      <c r="AI35" s="674">
        <f>IF(G35="مدير ولائي",(11000*35%),LOOKUP(D35,'f-travail'!A:A,'f-travail'!I:I))</f>
        <v>1519</v>
      </c>
      <c r="AJ35" s="673">
        <f>IF(G35="مدير ولائي",((W35+X35)*45)*80%,IF(V35&lt;8,0,IF(F35="إليزي",(LOOKUP(D35,'f-travail'!A:A,'f-travail'!O:O))*(AF35+AG35),LOOKUP(D35,'f-travail'!A:A,'f-travail'!P:P)*(AF35+AG35))))</f>
        <v>21276</v>
      </c>
      <c r="AK35" s="673">
        <f>IF(G35="مدير ولائي",0,LOOKUP(D35,'f-travail'!A:A,'f-travail'!Q:Q))</f>
        <v>1500</v>
      </c>
      <c r="AL35" s="673">
        <f>IF(G35="مدير ولائي",0,LOOKUP(D35,'f-travail'!A:A,'f-travail'!R:R)*(AF35+AG35))</f>
        <v>10638</v>
      </c>
      <c r="AM35" s="673">
        <f>IF(G35="مدير ولائي",0,LOOKUP(D35,'f-travail'!A:A,'f-travail'!S:S)*(AF35+AG35))</f>
        <v>0</v>
      </c>
      <c r="AN35" s="673">
        <f>IF(G35="مدير ولائي",0,LOOKUP(D35,'f-travail'!A:A,'f-travail'!T:T)*(AF35+AG35))</f>
        <v>0</v>
      </c>
      <c r="AO35" s="673">
        <f>IF(G35="مدير ولائي",0,LOOKUP(D35,'f-travail'!A:A,'f-travail'!U:U)*(AF35+AG35))</f>
        <v>0</v>
      </c>
      <c r="AP35" s="673">
        <f>IF(G35="مدير ولائي",0,LOOKUP(D35,'f-travail'!A:A,'f-travail'!V:V)*(AF35+AG35))</f>
        <v>0</v>
      </c>
      <c r="AQ35" s="673">
        <f>IF(G35="مدير ولائي",0,LOOKUP(D35,'f-travail'!A:A,'f-travail'!W:W)*(AF35+AG35))</f>
        <v>0</v>
      </c>
      <c r="AR35" s="673">
        <f t="shared" si="23"/>
        <v>0</v>
      </c>
      <c r="AS35" s="673">
        <f>IF(G35="مدير ولائي",0,LOOKUP(D35,'f-travail'!A:A,'f-travail'!X:X)*(AF35+AG35))</f>
        <v>2659.5</v>
      </c>
      <c r="AT35" s="673">
        <f>IF(G35="مدير ولائي",0,LOOKUP(D35,'f-travail'!Y:Y,'f-travail'!R:R)*(AF35+AG35))</f>
        <v>0</v>
      </c>
      <c r="AU35" s="673">
        <f t="shared" si="5"/>
        <v>0</v>
      </c>
      <c r="AV35" s="673">
        <f t="shared" si="6"/>
        <v>0</v>
      </c>
      <c r="AW35" s="673">
        <f t="shared" si="7"/>
        <v>0</v>
      </c>
      <c r="AX35" s="637" t="str">
        <f t="shared" si="33"/>
        <v>ففففففففلللللللللللللل</v>
      </c>
      <c r="AY35" s="640" t="str">
        <f t="shared" si="9"/>
        <v xml:space="preserve"> أ 12 - د 2</v>
      </c>
      <c r="AZ35" s="673">
        <f t="shared" si="10"/>
        <v>26595</v>
      </c>
      <c r="BA35" s="639">
        <f t="shared" si="11"/>
        <v>64487.5</v>
      </c>
      <c r="BB35" s="639">
        <f t="shared" si="34"/>
        <v>10638</v>
      </c>
      <c r="BC35" s="639">
        <f t="shared" si="13"/>
        <v>0</v>
      </c>
      <c r="BD35" s="639">
        <f t="shared" si="14"/>
        <v>1500</v>
      </c>
      <c r="BE35" s="639">
        <f t="shared" si="35"/>
        <v>0</v>
      </c>
      <c r="BF35" s="639">
        <f t="shared" si="36"/>
        <v>2659.5</v>
      </c>
      <c r="BG35" s="639">
        <f t="shared" si="24"/>
        <v>0</v>
      </c>
      <c r="BH35" s="683">
        <f t="shared" si="25"/>
        <v>0</v>
      </c>
      <c r="BI35" s="683">
        <f t="shared" si="26"/>
        <v>0</v>
      </c>
      <c r="BJ35" s="641">
        <f t="shared" si="27"/>
        <v>64187.5</v>
      </c>
      <c r="BK35" s="641">
        <f t="shared" si="28"/>
        <v>5776.88</v>
      </c>
      <c r="BL35" s="641">
        <f t="shared" si="29"/>
        <v>57191.62</v>
      </c>
      <c r="BM35" s="684">
        <f t="shared" si="30"/>
        <v>5328.74</v>
      </c>
      <c r="BN35" s="638" t="s">
        <v>838</v>
      </c>
      <c r="BO35" s="682" t="str">
        <f>CONCATENATE(Z35," ",LOOKUP(D35,'f-travail'!A:A,'f-travail'!F:F))</f>
        <v xml:space="preserve"> أ 12</v>
      </c>
      <c r="BP35" s="669" t="str">
        <f t="shared" si="17"/>
        <v xml:space="preserve"> متصرف</v>
      </c>
    </row>
    <row r="36" spans="1:68">
      <c r="A36" s="636">
        <f t="shared" si="31"/>
        <v>35</v>
      </c>
      <c r="B36" s="637" t="s">
        <v>875</v>
      </c>
      <c r="C36" s="637" t="s">
        <v>876</v>
      </c>
      <c r="D36" s="652">
        <v>13</v>
      </c>
      <c r="E36" s="679" t="str">
        <f>LOOKUP(D36,'f-travail'!A:A,'f-travail'!B:B)</f>
        <v>متصرف</v>
      </c>
      <c r="F36" s="650" t="s">
        <v>539</v>
      </c>
      <c r="G36" s="650"/>
      <c r="H36" s="653">
        <v>1</v>
      </c>
      <c r="I36" s="653"/>
      <c r="J36" s="654" t="s">
        <v>541</v>
      </c>
      <c r="K36" s="650"/>
      <c r="L36" s="650"/>
      <c r="M36" s="650">
        <v>1</v>
      </c>
      <c r="N36" s="654"/>
      <c r="O36" s="654"/>
      <c r="P36" s="654"/>
      <c r="Q36" s="654"/>
      <c r="R36" s="676">
        <v>11111111111</v>
      </c>
      <c r="S36" s="654" t="s">
        <v>562</v>
      </c>
      <c r="T36" s="675"/>
      <c r="U36" s="675"/>
      <c r="V36" s="670">
        <f>LOOKUP(D36,'f-travail'!A:A,'f-travail'!E:E)</f>
        <v>12</v>
      </c>
      <c r="W36" s="670">
        <f>VLOOKUP(V36,جرقمإستدلالي,'f-travail'!$AD$4+1,FALSE)</f>
        <v>537</v>
      </c>
      <c r="X36" s="671">
        <f t="shared" si="0"/>
        <v>27</v>
      </c>
      <c r="Y36" s="671">
        <f>IF(G36="مدير ولائي",(HLOOKUP(I36,جدروظعليا,'f-travail'!$AT$3+1,FALSE)-3200),0)</f>
        <v>0</v>
      </c>
      <c r="Z36" s="672" t="str">
        <f t="shared" si="18"/>
        <v/>
      </c>
      <c r="AA36" s="671">
        <f t="shared" si="19"/>
        <v>0</v>
      </c>
      <c r="AB36" s="677" t="str">
        <f t="shared" si="20"/>
        <v>م()</v>
      </c>
      <c r="AC36" s="678">
        <f t="shared" si="32"/>
        <v>0</v>
      </c>
      <c r="AD36" s="673">
        <f t="shared" si="1"/>
        <v>0</v>
      </c>
      <c r="AE36" s="678">
        <f t="shared" si="2"/>
        <v>0</v>
      </c>
      <c r="AF36" s="678">
        <f t="shared" si="3"/>
        <v>24165</v>
      </c>
      <c r="AG36" s="678">
        <f t="shared" si="4"/>
        <v>1215</v>
      </c>
      <c r="AH36" s="673">
        <f t="shared" si="22"/>
        <v>2000</v>
      </c>
      <c r="AI36" s="674">
        <f>IF(G36="مدير ولائي",(11000*35%),LOOKUP(D36,'f-travail'!A:A,'f-travail'!I:I))</f>
        <v>1519</v>
      </c>
      <c r="AJ36" s="673">
        <f>IF(G36="مدير ولائي",((W36+X36)*45)*80%,IF(V36&lt;8,0,IF(F36="إليزي",(LOOKUP(D36,'f-travail'!A:A,'f-travail'!O:O))*(AF36+AG36),LOOKUP(D36,'f-travail'!A:A,'f-travail'!P:P)*(AF36+AG36))))</f>
        <v>20304</v>
      </c>
      <c r="AK36" s="673">
        <f>IF(G36="مدير ولائي",0,LOOKUP(D36,'f-travail'!A:A,'f-travail'!Q:Q))</f>
        <v>1500</v>
      </c>
      <c r="AL36" s="673">
        <f>IF(G36="مدير ولائي",0,LOOKUP(D36,'f-travail'!A:A,'f-travail'!R:R)*(AF36+AG36))</f>
        <v>10152</v>
      </c>
      <c r="AM36" s="673">
        <f>IF(G36="مدير ولائي",0,LOOKUP(D36,'f-travail'!A:A,'f-travail'!S:S)*(AF36+AG36))</f>
        <v>0</v>
      </c>
      <c r="AN36" s="673">
        <f>IF(G36="مدير ولائي",0,LOOKUP(D36,'f-travail'!A:A,'f-travail'!T:T)*(AF36+AG36))</f>
        <v>0</v>
      </c>
      <c r="AO36" s="673">
        <f>IF(G36="مدير ولائي",0,LOOKUP(D36,'f-travail'!A:A,'f-travail'!U:U)*(AF36+AG36))</f>
        <v>0</v>
      </c>
      <c r="AP36" s="673">
        <f>IF(G36="مدير ولائي",0,LOOKUP(D36,'f-travail'!A:A,'f-travail'!V:V)*(AF36+AG36))</f>
        <v>0</v>
      </c>
      <c r="AQ36" s="673">
        <f>IF(G36="مدير ولائي",0,LOOKUP(D36,'f-travail'!A:A,'f-travail'!W:W)*(AF36+AG36))</f>
        <v>0</v>
      </c>
      <c r="AR36" s="673">
        <f t="shared" si="23"/>
        <v>0</v>
      </c>
      <c r="AS36" s="673">
        <f>IF(G36="مدير ولائي",0,LOOKUP(D36,'f-travail'!A:A,'f-travail'!X:X)*(AF36+AG36))</f>
        <v>2538</v>
      </c>
      <c r="AT36" s="673">
        <f>IF(G36="مدير ولائي",0,LOOKUP(D36,'f-travail'!Y:Y,'f-travail'!R:R)*(AF36+AG36))</f>
        <v>0</v>
      </c>
      <c r="AU36" s="673">
        <f t="shared" si="5"/>
        <v>0</v>
      </c>
      <c r="AV36" s="673">
        <f t="shared" si="6"/>
        <v>0</v>
      </c>
      <c r="AW36" s="673">
        <f t="shared" si="7"/>
        <v>0</v>
      </c>
      <c r="AX36" s="637" t="str">
        <f t="shared" si="33"/>
        <v>سييييييييفففففففففففف</v>
      </c>
      <c r="AY36" s="640" t="str">
        <f t="shared" si="9"/>
        <v xml:space="preserve"> أ 12 - د 1</v>
      </c>
      <c r="AZ36" s="673">
        <f t="shared" si="10"/>
        <v>25380</v>
      </c>
      <c r="BA36" s="639">
        <f t="shared" si="11"/>
        <v>63393</v>
      </c>
      <c r="BB36" s="639">
        <f t="shared" si="34"/>
        <v>10152</v>
      </c>
      <c r="BC36" s="639">
        <f t="shared" si="13"/>
        <v>0</v>
      </c>
      <c r="BD36" s="639">
        <f t="shared" si="14"/>
        <v>1500</v>
      </c>
      <c r="BE36" s="639">
        <f t="shared" si="35"/>
        <v>2000</v>
      </c>
      <c r="BF36" s="639">
        <f t="shared" si="36"/>
        <v>2538</v>
      </c>
      <c r="BG36" s="639">
        <f t="shared" si="24"/>
        <v>0</v>
      </c>
      <c r="BH36" s="683">
        <f t="shared" si="25"/>
        <v>0</v>
      </c>
      <c r="BI36" s="683">
        <f t="shared" si="26"/>
        <v>0</v>
      </c>
      <c r="BJ36" s="641">
        <f t="shared" si="27"/>
        <v>63393</v>
      </c>
      <c r="BK36" s="641">
        <f t="shared" si="28"/>
        <v>5705.37</v>
      </c>
      <c r="BL36" s="641">
        <f t="shared" si="29"/>
        <v>54168.63</v>
      </c>
      <c r="BM36" s="684">
        <f t="shared" si="30"/>
        <v>4875.29</v>
      </c>
      <c r="BN36" s="638" t="s">
        <v>839</v>
      </c>
      <c r="BO36" s="682" t="str">
        <f>CONCATENATE(Z36," ",LOOKUP(D36,'f-travail'!A:A,'f-travail'!F:F))</f>
        <v xml:space="preserve"> أ 12</v>
      </c>
      <c r="BP36" s="669" t="str">
        <f t="shared" si="17"/>
        <v xml:space="preserve"> متصرف</v>
      </c>
    </row>
    <row r="37" spans="1:68">
      <c r="A37" s="636">
        <f t="shared" si="31"/>
        <v>36</v>
      </c>
      <c r="B37" s="637" t="s">
        <v>877</v>
      </c>
      <c r="C37" s="637" t="s">
        <v>878</v>
      </c>
      <c r="D37" s="652">
        <v>13</v>
      </c>
      <c r="E37" s="679" t="str">
        <f>LOOKUP(D37,'f-travail'!A:A,'f-travail'!B:B)</f>
        <v>متصرف</v>
      </c>
      <c r="F37" s="650" t="s">
        <v>539</v>
      </c>
      <c r="G37" s="650"/>
      <c r="H37" s="653">
        <v>1</v>
      </c>
      <c r="I37" s="653"/>
      <c r="J37" s="654" t="s">
        <v>563</v>
      </c>
      <c r="K37" s="650"/>
      <c r="L37" s="650"/>
      <c r="M37" s="650">
        <v>1</v>
      </c>
      <c r="N37" s="654"/>
      <c r="O37" s="654"/>
      <c r="P37" s="654"/>
      <c r="Q37" s="654"/>
      <c r="R37" s="676">
        <v>11111111111</v>
      </c>
      <c r="S37" s="654" t="s">
        <v>562</v>
      </c>
      <c r="T37" s="675"/>
      <c r="U37" s="675"/>
      <c r="V37" s="670">
        <f>LOOKUP(D37,'f-travail'!A:A,'f-travail'!E:E)</f>
        <v>12</v>
      </c>
      <c r="W37" s="670">
        <f>VLOOKUP(V37,جرقمإستدلالي,'f-travail'!$AD$4+1,FALSE)</f>
        <v>537</v>
      </c>
      <c r="X37" s="671">
        <f t="shared" si="0"/>
        <v>27</v>
      </c>
      <c r="Y37" s="671">
        <f>IF(G37="مدير ولائي",(HLOOKUP(I37,جدروظعليا,'f-travail'!$AT$3+1,FALSE)-3200),0)</f>
        <v>0</v>
      </c>
      <c r="Z37" s="672" t="str">
        <f t="shared" si="18"/>
        <v/>
      </c>
      <c r="AA37" s="671">
        <f t="shared" si="19"/>
        <v>0</v>
      </c>
      <c r="AB37" s="677" t="str">
        <f t="shared" si="20"/>
        <v>ع</v>
      </c>
      <c r="AC37" s="678">
        <f t="shared" si="32"/>
        <v>0</v>
      </c>
      <c r="AD37" s="673">
        <f t="shared" si="1"/>
        <v>0</v>
      </c>
      <c r="AE37" s="678">
        <f t="shared" si="2"/>
        <v>0</v>
      </c>
      <c r="AF37" s="678">
        <f t="shared" si="3"/>
        <v>24165</v>
      </c>
      <c r="AG37" s="678">
        <f t="shared" si="4"/>
        <v>1215</v>
      </c>
      <c r="AH37" s="673">
        <f t="shared" si="22"/>
        <v>2000</v>
      </c>
      <c r="AI37" s="674">
        <f>IF(G37="مدير ولائي",(11000*35%),LOOKUP(D37,'f-travail'!A:A,'f-travail'!I:I))</f>
        <v>1519</v>
      </c>
      <c r="AJ37" s="673">
        <f>IF(G37="مدير ولائي",((W37+X37)*45)*80%,IF(V37&lt;8,0,IF(F37="إليزي",(LOOKUP(D37,'f-travail'!A:A,'f-travail'!O:O))*(AF37+AG37),LOOKUP(D37,'f-travail'!A:A,'f-travail'!P:P)*(AF37+AG37))))</f>
        <v>20304</v>
      </c>
      <c r="AK37" s="673">
        <f>IF(G37="مدير ولائي",0,LOOKUP(D37,'f-travail'!A:A,'f-travail'!Q:Q))</f>
        <v>1500</v>
      </c>
      <c r="AL37" s="673">
        <f>IF(G37="مدير ولائي",0,LOOKUP(D37,'f-travail'!A:A,'f-travail'!R:R)*(AF37+AG37))</f>
        <v>10152</v>
      </c>
      <c r="AM37" s="673">
        <f>IF(G37="مدير ولائي",0,LOOKUP(D37,'f-travail'!A:A,'f-travail'!S:S)*(AF37+AG37))</f>
        <v>0</v>
      </c>
      <c r="AN37" s="673">
        <f>IF(G37="مدير ولائي",0,LOOKUP(D37,'f-travail'!A:A,'f-travail'!T:T)*(AF37+AG37))</f>
        <v>0</v>
      </c>
      <c r="AO37" s="673">
        <f>IF(G37="مدير ولائي",0,LOOKUP(D37,'f-travail'!A:A,'f-travail'!U:U)*(AF37+AG37))</f>
        <v>0</v>
      </c>
      <c r="AP37" s="673">
        <f>IF(G37="مدير ولائي",0,LOOKUP(D37,'f-travail'!A:A,'f-travail'!V:V)*(AF37+AG37))</f>
        <v>0</v>
      </c>
      <c r="AQ37" s="673">
        <f>IF(G37="مدير ولائي",0,LOOKUP(D37,'f-travail'!A:A,'f-travail'!W:W)*(AF37+AG37))</f>
        <v>0</v>
      </c>
      <c r="AR37" s="673">
        <f t="shared" si="23"/>
        <v>0</v>
      </c>
      <c r="AS37" s="673">
        <f>IF(G37="مدير ولائي",0,LOOKUP(D37,'f-travail'!A:A,'f-travail'!X:X)*(AF37+AG37))</f>
        <v>2538</v>
      </c>
      <c r="AT37" s="673">
        <f>IF(G37="مدير ولائي",0,LOOKUP(D37,'f-travail'!Y:Y,'f-travail'!R:R)*(AF37+AG37))</f>
        <v>0</v>
      </c>
      <c r="AU37" s="673">
        <f t="shared" si="5"/>
        <v>0</v>
      </c>
      <c r="AV37" s="673">
        <f t="shared" si="6"/>
        <v>0</v>
      </c>
      <c r="AW37" s="673">
        <f t="shared" si="7"/>
        <v>0</v>
      </c>
      <c r="AX37" s="637" t="str">
        <f t="shared" si="33"/>
        <v>ليسليسليسليسللللللل</v>
      </c>
      <c r="AY37" s="640" t="str">
        <f t="shared" si="9"/>
        <v xml:space="preserve"> أ 12 - د 1</v>
      </c>
      <c r="AZ37" s="673">
        <f t="shared" si="10"/>
        <v>25380</v>
      </c>
      <c r="BA37" s="639">
        <f t="shared" si="11"/>
        <v>63393</v>
      </c>
      <c r="BB37" s="639">
        <f t="shared" si="34"/>
        <v>10152</v>
      </c>
      <c r="BC37" s="639">
        <f t="shared" si="13"/>
        <v>0</v>
      </c>
      <c r="BD37" s="639">
        <f t="shared" si="14"/>
        <v>1500</v>
      </c>
      <c r="BE37" s="639">
        <f t="shared" si="35"/>
        <v>2000</v>
      </c>
      <c r="BF37" s="639">
        <f t="shared" si="36"/>
        <v>2538</v>
      </c>
      <c r="BG37" s="639">
        <f t="shared" si="24"/>
        <v>0</v>
      </c>
      <c r="BH37" s="683">
        <f t="shared" si="25"/>
        <v>0</v>
      </c>
      <c r="BI37" s="683">
        <f t="shared" si="26"/>
        <v>0</v>
      </c>
      <c r="BJ37" s="641">
        <f t="shared" si="27"/>
        <v>63393</v>
      </c>
      <c r="BK37" s="641">
        <f t="shared" si="28"/>
        <v>5705.37</v>
      </c>
      <c r="BL37" s="641">
        <f t="shared" si="29"/>
        <v>54168.63</v>
      </c>
      <c r="BM37" s="684">
        <f t="shared" si="30"/>
        <v>4875.29</v>
      </c>
      <c r="BN37" s="638" t="s">
        <v>840</v>
      </c>
      <c r="BO37" s="682" t="str">
        <f>CONCATENATE(Z37," ",LOOKUP(D37,'f-travail'!A:A,'f-travail'!F:F))</f>
        <v xml:space="preserve"> أ 12</v>
      </c>
      <c r="BP37" s="669" t="str">
        <f t="shared" si="17"/>
        <v xml:space="preserve"> متصرف</v>
      </c>
    </row>
    <row r="38" spans="1:68">
      <c r="A38" s="636">
        <f t="shared" si="31"/>
        <v>37</v>
      </c>
      <c r="B38" s="637" t="s">
        <v>879</v>
      </c>
      <c r="C38" s="637" t="s">
        <v>880</v>
      </c>
      <c r="D38" s="652">
        <v>8</v>
      </c>
      <c r="E38" s="679" t="str">
        <f>LOOKUP(D38,'f-travail'!A:A,'f-travail'!B:B)</f>
        <v>وثائقي أمين محفوظات رئيسي</v>
      </c>
      <c r="F38" s="650" t="s">
        <v>539</v>
      </c>
      <c r="G38" s="650"/>
      <c r="H38" s="653">
        <v>4</v>
      </c>
      <c r="I38" s="653"/>
      <c r="J38" s="654" t="s">
        <v>563</v>
      </c>
      <c r="K38" s="650"/>
      <c r="L38" s="650"/>
      <c r="M38" s="650">
        <v>1</v>
      </c>
      <c r="N38" s="654"/>
      <c r="O38" s="654"/>
      <c r="P38" s="654">
        <v>1</v>
      </c>
      <c r="Q38" s="654"/>
      <c r="R38" s="676">
        <v>11111111111</v>
      </c>
      <c r="S38" s="654" t="s">
        <v>550</v>
      </c>
      <c r="T38" s="675"/>
      <c r="U38" s="675"/>
      <c r="V38" s="670">
        <f>LOOKUP(D38,'f-travail'!A:A,'f-travail'!E:E)</f>
        <v>14</v>
      </c>
      <c r="W38" s="670">
        <f>VLOOKUP(V38,جرقمإستدلالي,'f-travail'!$AD$4+1,FALSE)</f>
        <v>621</v>
      </c>
      <c r="X38" s="671">
        <f t="shared" si="0"/>
        <v>124</v>
      </c>
      <c r="Y38" s="671">
        <f>IF(G38="مدير ولائي",(HLOOKUP(I38,جدروظعليا,'f-travail'!$AT$3+1,FALSE)-3200),0)</f>
        <v>0</v>
      </c>
      <c r="Z38" s="672" t="str">
        <f t="shared" si="18"/>
        <v/>
      </c>
      <c r="AA38" s="671">
        <f t="shared" si="19"/>
        <v>0</v>
      </c>
      <c r="AB38" s="677" t="str">
        <f t="shared" si="20"/>
        <v>ع</v>
      </c>
      <c r="AC38" s="678">
        <f t="shared" si="32"/>
        <v>0</v>
      </c>
      <c r="AD38" s="673">
        <f t="shared" si="1"/>
        <v>0</v>
      </c>
      <c r="AE38" s="678">
        <f t="shared" si="2"/>
        <v>0</v>
      </c>
      <c r="AF38" s="678">
        <f t="shared" si="3"/>
        <v>27945</v>
      </c>
      <c r="AG38" s="678">
        <f t="shared" si="4"/>
        <v>5580</v>
      </c>
      <c r="AH38" s="673">
        <f t="shared" si="22"/>
        <v>2000</v>
      </c>
      <c r="AI38" s="674">
        <f>IF(G38="مدير ولائي",(11000*35%),LOOKUP(D38,'f-travail'!A:A,'f-travail'!I:I))</f>
        <v>1869</v>
      </c>
      <c r="AJ38" s="673">
        <f>IF(G38="مدير ولائي",((W38+X38)*45)*80%,IF(V38&lt;8,0,IF(F38="إليزي",(LOOKUP(D38,'f-travail'!A:A,'f-travail'!O:O))*(AF38+AG38),LOOKUP(D38,'f-travail'!A:A,'f-travail'!P:P)*(AF38+AG38))))</f>
        <v>26820</v>
      </c>
      <c r="AK38" s="673">
        <f>IF(G38="مدير ولائي",0,LOOKUP(D38,'f-travail'!A:A,'f-travail'!Q:Q))</f>
        <v>1500</v>
      </c>
      <c r="AL38" s="673">
        <f>IF(G38="مدير ولائي",0,LOOKUP(D38,'f-travail'!A:A,'f-travail'!R:R)*(AF38+AG38))</f>
        <v>13410</v>
      </c>
      <c r="AM38" s="673">
        <f>IF(G38="مدير ولائي",0,LOOKUP(D38,'f-travail'!A:A,'f-travail'!S:S)*(AF38+AG38))</f>
        <v>0</v>
      </c>
      <c r="AN38" s="673">
        <f>IF(G38="مدير ولائي",0,LOOKUP(D38,'f-travail'!A:A,'f-travail'!T:T)*(AF38+AG38))</f>
        <v>0</v>
      </c>
      <c r="AO38" s="673">
        <f>IF(G38="مدير ولائي",0,LOOKUP(D38,'f-travail'!A:A,'f-travail'!U:U)*(AF38+AG38))</f>
        <v>0</v>
      </c>
      <c r="AP38" s="673">
        <f>IF(G38="مدير ولائي",0,LOOKUP(D38,'f-travail'!A:A,'f-travail'!V:V)*(AF38+AG38))</f>
        <v>0</v>
      </c>
      <c r="AQ38" s="673">
        <f>IF(G38="مدير ولائي",0,LOOKUP(D38,'f-travail'!A:A,'f-travail'!W:W)*(AF38+AG38))</f>
        <v>0</v>
      </c>
      <c r="AR38" s="673">
        <f t="shared" si="23"/>
        <v>0</v>
      </c>
      <c r="AS38" s="673">
        <f>IF(G38="مدير ولائي",0,LOOKUP(D38,'f-travail'!A:A,'f-travail'!X:X)*(AF38+AG38))</f>
        <v>3352.5</v>
      </c>
      <c r="AT38" s="673">
        <f>IF(G38="مدير ولائي",0,LOOKUP(D38,'f-travail'!Y:Y,'f-travail'!R:R)*(AF38+AG38))</f>
        <v>0</v>
      </c>
      <c r="AU38" s="673">
        <f t="shared" si="5"/>
        <v>0</v>
      </c>
      <c r="AV38" s="673">
        <f t="shared" si="6"/>
        <v>0</v>
      </c>
      <c r="AW38" s="673">
        <f t="shared" si="7"/>
        <v>0</v>
      </c>
      <c r="AX38" s="637" t="str">
        <f t="shared" si="33"/>
        <v>شللبيسلبيشلررءرءؤرؤءر</v>
      </c>
      <c r="AY38" s="640" t="str">
        <f t="shared" si="9"/>
        <v xml:space="preserve"> أ 14 - د 4</v>
      </c>
      <c r="AZ38" s="673">
        <f t="shared" si="10"/>
        <v>33525</v>
      </c>
      <c r="BA38" s="639">
        <f t="shared" si="11"/>
        <v>82476.5</v>
      </c>
      <c r="BB38" s="639">
        <f t="shared" si="34"/>
        <v>13410</v>
      </c>
      <c r="BC38" s="639">
        <f t="shared" si="13"/>
        <v>0</v>
      </c>
      <c r="BD38" s="639">
        <f t="shared" si="14"/>
        <v>1500</v>
      </c>
      <c r="BE38" s="639">
        <f t="shared" si="35"/>
        <v>2000</v>
      </c>
      <c r="BF38" s="639">
        <f t="shared" si="36"/>
        <v>3352.5</v>
      </c>
      <c r="BG38" s="639">
        <f t="shared" si="24"/>
        <v>0</v>
      </c>
      <c r="BH38" s="683">
        <f t="shared" si="25"/>
        <v>1237.1500000000001</v>
      </c>
      <c r="BI38" s="683">
        <f t="shared" si="26"/>
        <v>0</v>
      </c>
      <c r="BJ38" s="641">
        <f t="shared" si="27"/>
        <v>82476.5</v>
      </c>
      <c r="BK38" s="641">
        <f t="shared" si="28"/>
        <v>7422.89</v>
      </c>
      <c r="BL38" s="641">
        <f t="shared" si="29"/>
        <v>71184.61</v>
      </c>
      <c r="BM38" s="684">
        <f t="shared" si="30"/>
        <v>7427.69</v>
      </c>
      <c r="BN38" s="638" t="s">
        <v>841</v>
      </c>
      <c r="BO38" s="682" t="str">
        <f>CONCATENATE(Z38," ",LOOKUP(D38,'f-travail'!A:A,'f-travail'!F:F))</f>
        <v xml:space="preserve"> أ 14</v>
      </c>
      <c r="BP38" s="669" t="str">
        <f t="shared" si="17"/>
        <v xml:space="preserve"> وثائقي أمين محفوظات رئيسي</v>
      </c>
    </row>
    <row r="39" spans="1:68">
      <c r="A39" s="636">
        <f t="shared" si="31"/>
        <v>38</v>
      </c>
      <c r="B39" s="637" t="s">
        <v>881</v>
      </c>
      <c r="C39" s="637" t="s">
        <v>882</v>
      </c>
      <c r="D39" s="652">
        <v>18</v>
      </c>
      <c r="E39" s="679" t="str">
        <f>LOOKUP(D39,'f-travail'!A:A,'f-travail'!B:B)</f>
        <v>مساعد مهندس مستوى 1 في إ الآلي</v>
      </c>
      <c r="F39" s="650" t="s">
        <v>539</v>
      </c>
      <c r="G39" s="650"/>
      <c r="H39" s="653">
        <v>6</v>
      </c>
      <c r="I39" s="653"/>
      <c r="J39" s="654" t="s">
        <v>542</v>
      </c>
      <c r="K39" s="650">
        <v>1</v>
      </c>
      <c r="L39" s="650"/>
      <c r="M39" s="650">
        <v>0</v>
      </c>
      <c r="N39" s="654"/>
      <c r="O39" s="654"/>
      <c r="P39" s="654"/>
      <c r="Q39" s="654"/>
      <c r="R39" s="676">
        <v>11111111111</v>
      </c>
      <c r="S39" s="654" t="s">
        <v>550</v>
      </c>
      <c r="T39" s="675"/>
      <c r="U39" s="675"/>
      <c r="V39" s="670">
        <f>LOOKUP(D39,'f-travail'!A:A,'f-travail'!E:E)</f>
        <v>11</v>
      </c>
      <c r="W39" s="670">
        <f>VLOOKUP(V39,جرقمإستدلالي,'f-travail'!$AD$4+1,FALSE)</f>
        <v>498</v>
      </c>
      <c r="X39" s="671">
        <f t="shared" si="0"/>
        <v>149</v>
      </c>
      <c r="Y39" s="671">
        <f>IF(G39="مدير ولائي",(HLOOKUP(I39,جدروظعليا,'f-travail'!$AT$3+1,FALSE)-3200),0)</f>
        <v>0</v>
      </c>
      <c r="Z39" s="672" t="str">
        <f t="shared" si="18"/>
        <v/>
      </c>
      <c r="AA39" s="671">
        <f t="shared" si="19"/>
        <v>0</v>
      </c>
      <c r="AB39" s="677" t="str">
        <f t="shared" si="20"/>
        <v>م(1)</v>
      </c>
      <c r="AC39" s="678">
        <f t="shared" si="32"/>
        <v>800</v>
      </c>
      <c r="AD39" s="673">
        <f t="shared" si="1"/>
        <v>0</v>
      </c>
      <c r="AE39" s="678">
        <f t="shared" si="2"/>
        <v>1100</v>
      </c>
      <c r="AF39" s="678">
        <f t="shared" si="3"/>
        <v>22410</v>
      </c>
      <c r="AG39" s="678">
        <f t="shared" si="4"/>
        <v>6705</v>
      </c>
      <c r="AH39" s="673">
        <f t="shared" si="22"/>
        <v>0</v>
      </c>
      <c r="AI39" s="674">
        <f>IF(G39="مدير ولائي",(11000*35%),LOOKUP(D39,'f-travail'!A:A,'f-travail'!I:I))</f>
        <v>1519</v>
      </c>
      <c r="AJ39" s="673">
        <f>IF(G39="مدير ولائي",((W39+X39)*45)*80%,IF(V39&lt;8,0,IF(F39="إليزي",(LOOKUP(D39,'f-travail'!A:A,'f-travail'!O:O))*(AF39+AG39),LOOKUP(D39,'f-travail'!A:A,'f-travail'!P:P)*(AF39+AG39))))</f>
        <v>23292</v>
      </c>
      <c r="AK39" s="673">
        <f>IF(G39="مدير ولائي",0,LOOKUP(D39,'f-travail'!A:A,'f-travail'!Q:Q))</f>
        <v>1500</v>
      </c>
      <c r="AL39" s="673">
        <f>IF(G39="مدير ولائي",0,LOOKUP(D39,'f-travail'!A:A,'f-travail'!R:R)*(AF39+AG39))</f>
        <v>0</v>
      </c>
      <c r="AM39" s="673">
        <f>IF(G39="مدير ولائي",0,LOOKUP(D39,'f-travail'!A:A,'f-travail'!S:S)*(AF39+AG39))</f>
        <v>11646</v>
      </c>
      <c r="AN39" s="673">
        <f>IF(G39="مدير ولائي",0,LOOKUP(D39,'f-travail'!A:A,'f-travail'!T:T)*(AF39+AG39))</f>
        <v>0</v>
      </c>
      <c r="AO39" s="673">
        <f>IF(G39="مدير ولائي",0,LOOKUP(D39,'f-travail'!A:A,'f-travail'!U:U)*(AF39+AG39))</f>
        <v>0</v>
      </c>
      <c r="AP39" s="673">
        <f>IF(G39="مدير ولائي",0,LOOKUP(D39,'f-travail'!A:A,'f-travail'!V:V)*(AF39+AG39))</f>
        <v>0</v>
      </c>
      <c r="AQ39" s="673">
        <f>IF(G39="مدير ولائي",0,LOOKUP(D39,'f-travail'!A:A,'f-travail'!W:W)*(AF39+AG39))</f>
        <v>0</v>
      </c>
      <c r="AR39" s="673">
        <f t="shared" si="23"/>
        <v>0</v>
      </c>
      <c r="AS39" s="673">
        <f>IF(G39="مدير ولائي",0,LOOKUP(D39,'f-travail'!A:A,'f-travail'!X:X)*(AF39+AG39))</f>
        <v>2911.5</v>
      </c>
      <c r="AT39" s="673">
        <f>IF(G39="مدير ولائي",0,LOOKUP(D39,'f-travail'!Y:Y,'f-travail'!R:R)*(AF39+AG39))</f>
        <v>0</v>
      </c>
      <c r="AU39" s="673">
        <f t="shared" si="5"/>
        <v>0</v>
      </c>
      <c r="AV39" s="673">
        <f t="shared" si="6"/>
        <v>0</v>
      </c>
      <c r="AW39" s="673">
        <f t="shared" si="7"/>
        <v>0</v>
      </c>
      <c r="AX39" s="637" t="str">
        <f t="shared" si="33"/>
        <v>رسيبرشبيسبصثقصقثصقض</v>
      </c>
      <c r="AY39" s="640" t="str">
        <f t="shared" si="9"/>
        <v xml:space="preserve"> أ 11 - د 6</v>
      </c>
      <c r="AZ39" s="673">
        <f t="shared" si="10"/>
        <v>29115</v>
      </c>
      <c r="BA39" s="639">
        <f t="shared" si="11"/>
        <v>71083.5</v>
      </c>
      <c r="BB39" s="639">
        <f t="shared" si="34"/>
        <v>11646</v>
      </c>
      <c r="BC39" s="639">
        <f t="shared" si="13"/>
        <v>0</v>
      </c>
      <c r="BD39" s="639">
        <f t="shared" si="14"/>
        <v>1500</v>
      </c>
      <c r="BE39" s="639">
        <f t="shared" si="35"/>
        <v>0</v>
      </c>
      <c r="BF39" s="639">
        <f t="shared" si="36"/>
        <v>2911.5</v>
      </c>
      <c r="BG39" s="639">
        <f t="shared" si="24"/>
        <v>0</v>
      </c>
      <c r="BH39" s="683">
        <f t="shared" si="25"/>
        <v>0</v>
      </c>
      <c r="BI39" s="683">
        <f t="shared" si="26"/>
        <v>0</v>
      </c>
      <c r="BJ39" s="641">
        <f t="shared" si="27"/>
        <v>69983.5</v>
      </c>
      <c r="BK39" s="641">
        <f t="shared" si="28"/>
        <v>6298.52</v>
      </c>
      <c r="BL39" s="641">
        <f t="shared" si="29"/>
        <v>63265.98</v>
      </c>
      <c r="BM39" s="684">
        <f t="shared" si="30"/>
        <v>6239.9</v>
      </c>
      <c r="BN39" s="638" t="s">
        <v>842</v>
      </c>
      <c r="BO39" s="682" t="str">
        <f>CONCATENATE(Z39," ",LOOKUP(D39,'f-travail'!A:A,'f-travail'!F:F))</f>
        <v xml:space="preserve"> أ 11</v>
      </c>
      <c r="BP39" s="669" t="str">
        <f t="shared" si="17"/>
        <v xml:space="preserve"> مساعد مهندس مستوى 1 في إ الآلي</v>
      </c>
    </row>
    <row r="40" spans="1:68">
      <c r="A40" s="636">
        <f t="shared" si="31"/>
        <v>39</v>
      </c>
      <c r="B40" s="637" t="s">
        <v>883</v>
      </c>
      <c r="C40" s="637" t="s">
        <v>884</v>
      </c>
      <c r="D40" s="652">
        <v>18</v>
      </c>
      <c r="E40" s="679" t="str">
        <f>LOOKUP(D40,'f-travail'!A:A,'f-travail'!B:B)</f>
        <v>مساعد مهندس مستوى 1 في إ الآلي</v>
      </c>
      <c r="F40" s="650" t="s">
        <v>539</v>
      </c>
      <c r="G40" s="650"/>
      <c r="H40" s="653">
        <v>4</v>
      </c>
      <c r="I40" s="653"/>
      <c r="J40" s="654" t="s">
        <v>542</v>
      </c>
      <c r="K40" s="650">
        <v>3</v>
      </c>
      <c r="L40" s="650"/>
      <c r="M40" s="650">
        <v>1</v>
      </c>
      <c r="N40" s="654"/>
      <c r="O40" s="654"/>
      <c r="P40" s="654"/>
      <c r="Q40" s="654"/>
      <c r="R40" s="676">
        <v>11111111111</v>
      </c>
      <c r="S40" s="654" t="s">
        <v>562</v>
      </c>
      <c r="T40" s="675"/>
      <c r="U40" s="675"/>
      <c r="V40" s="670">
        <f>LOOKUP(D40,'f-travail'!A:A,'f-travail'!E:E)</f>
        <v>11</v>
      </c>
      <c r="W40" s="670">
        <f>VLOOKUP(V40,جرقمإستدلالي,'f-travail'!$AD$4+1,FALSE)</f>
        <v>498</v>
      </c>
      <c r="X40" s="671">
        <f t="shared" si="0"/>
        <v>100</v>
      </c>
      <c r="Y40" s="671">
        <f>IF(G40="مدير ولائي",(HLOOKUP(I40,جدروظعليا,'f-travail'!$AT$3+1,FALSE)-3200),0)</f>
        <v>0</v>
      </c>
      <c r="Z40" s="672" t="str">
        <f t="shared" si="18"/>
        <v/>
      </c>
      <c r="AA40" s="671">
        <f t="shared" si="19"/>
        <v>0</v>
      </c>
      <c r="AB40" s="677" t="str">
        <f t="shared" si="20"/>
        <v>م(3)</v>
      </c>
      <c r="AC40" s="678">
        <f t="shared" si="32"/>
        <v>800</v>
      </c>
      <c r="AD40" s="673">
        <f t="shared" si="1"/>
        <v>0</v>
      </c>
      <c r="AE40" s="678">
        <f t="shared" si="2"/>
        <v>1700</v>
      </c>
      <c r="AF40" s="678">
        <f t="shared" si="3"/>
        <v>22410</v>
      </c>
      <c r="AG40" s="678">
        <f t="shared" si="4"/>
        <v>4500</v>
      </c>
      <c r="AH40" s="673">
        <f t="shared" si="22"/>
        <v>2000</v>
      </c>
      <c r="AI40" s="674">
        <f>IF(G40="مدير ولائي",(11000*35%),LOOKUP(D40,'f-travail'!A:A,'f-travail'!I:I))</f>
        <v>1519</v>
      </c>
      <c r="AJ40" s="673">
        <f>IF(G40="مدير ولائي",((W40+X40)*45)*80%,IF(V40&lt;8,0,IF(F40="إليزي",(LOOKUP(D40,'f-travail'!A:A,'f-travail'!O:O))*(AF40+AG40),LOOKUP(D40,'f-travail'!A:A,'f-travail'!P:P)*(AF40+AG40))))</f>
        <v>21528</v>
      </c>
      <c r="AK40" s="673">
        <f>IF(G40="مدير ولائي",0,LOOKUP(D40,'f-travail'!A:A,'f-travail'!Q:Q))</f>
        <v>1500</v>
      </c>
      <c r="AL40" s="673">
        <f>IF(G40="مدير ولائي",0,LOOKUP(D40,'f-travail'!A:A,'f-travail'!R:R)*(AF40+AG40))</f>
        <v>0</v>
      </c>
      <c r="AM40" s="673">
        <f>IF(G40="مدير ولائي",0,LOOKUP(D40,'f-travail'!A:A,'f-travail'!S:S)*(AF40+AG40))</f>
        <v>10764</v>
      </c>
      <c r="AN40" s="673">
        <f>IF(G40="مدير ولائي",0,LOOKUP(D40,'f-travail'!A:A,'f-travail'!T:T)*(AF40+AG40))</f>
        <v>0</v>
      </c>
      <c r="AO40" s="673">
        <f>IF(G40="مدير ولائي",0,LOOKUP(D40,'f-travail'!A:A,'f-travail'!U:U)*(AF40+AG40))</f>
        <v>0</v>
      </c>
      <c r="AP40" s="673">
        <f>IF(G40="مدير ولائي",0,LOOKUP(D40,'f-travail'!A:A,'f-travail'!V:V)*(AF40+AG40))</f>
        <v>0</v>
      </c>
      <c r="AQ40" s="673">
        <f>IF(G40="مدير ولائي",0,LOOKUP(D40,'f-travail'!A:A,'f-travail'!W:W)*(AF40+AG40))</f>
        <v>0</v>
      </c>
      <c r="AR40" s="673">
        <f t="shared" si="23"/>
        <v>0</v>
      </c>
      <c r="AS40" s="673">
        <f>IF(G40="مدير ولائي",0,LOOKUP(D40,'f-travail'!A:A,'f-travail'!X:X)*(AF40+AG40))</f>
        <v>2691</v>
      </c>
      <c r="AT40" s="673">
        <f>IF(G40="مدير ولائي",0,LOOKUP(D40,'f-travail'!Y:Y,'f-travail'!R:R)*(AF40+AG40))</f>
        <v>0</v>
      </c>
      <c r="AU40" s="673">
        <f t="shared" si="5"/>
        <v>0</v>
      </c>
      <c r="AV40" s="673">
        <f t="shared" si="6"/>
        <v>0</v>
      </c>
      <c r="AW40" s="673">
        <f t="shared" si="7"/>
        <v>0</v>
      </c>
      <c r="AX40" s="637" t="str">
        <f t="shared" si="33"/>
        <v>بيسلبيليبسلصثقثصقثصقصث</v>
      </c>
      <c r="AY40" s="640" t="str">
        <f t="shared" si="9"/>
        <v xml:space="preserve"> أ 11 - د 4</v>
      </c>
      <c r="AZ40" s="673">
        <f t="shared" si="10"/>
        <v>26910</v>
      </c>
      <c r="BA40" s="639">
        <f t="shared" si="11"/>
        <v>68612</v>
      </c>
      <c r="BB40" s="639">
        <f t="shared" si="34"/>
        <v>10764</v>
      </c>
      <c r="BC40" s="639">
        <f t="shared" si="13"/>
        <v>0</v>
      </c>
      <c r="BD40" s="639">
        <f t="shared" si="14"/>
        <v>1500</v>
      </c>
      <c r="BE40" s="639">
        <f t="shared" si="35"/>
        <v>2000</v>
      </c>
      <c r="BF40" s="639">
        <f t="shared" si="36"/>
        <v>2691</v>
      </c>
      <c r="BG40" s="639">
        <f t="shared" si="24"/>
        <v>0</v>
      </c>
      <c r="BH40" s="683">
        <f t="shared" si="25"/>
        <v>0</v>
      </c>
      <c r="BI40" s="683">
        <f t="shared" si="26"/>
        <v>0</v>
      </c>
      <c r="BJ40" s="641">
        <f t="shared" si="27"/>
        <v>66912</v>
      </c>
      <c r="BK40" s="641">
        <f t="shared" si="28"/>
        <v>6022.08</v>
      </c>
      <c r="BL40" s="641">
        <f t="shared" si="29"/>
        <v>59070.92</v>
      </c>
      <c r="BM40" s="684">
        <f t="shared" si="30"/>
        <v>5610.64</v>
      </c>
      <c r="BN40" s="638" t="s">
        <v>843</v>
      </c>
      <c r="BO40" s="682" t="str">
        <f>CONCATENATE(Z40," ",LOOKUP(D40,'f-travail'!A:A,'f-travail'!F:F))</f>
        <v xml:space="preserve"> أ 11</v>
      </c>
      <c r="BP40" s="669" t="str">
        <f t="shared" si="17"/>
        <v xml:space="preserve"> مساعد مهندس مستوى 1 في إ الآلي</v>
      </c>
    </row>
    <row r="41" spans="1:68">
      <c r="A41" s="636">
        <f t="shared" si="31"/>
        <v>40</v>
      </c>
      <c r="B41" s="637" t="s">
        <v>872</v>
      </c>
      <c r="C41" s="637" t="s">
        <v>873</v>
      </c>
      <c r="D41" s="652">
        <v>24</v>
      </c>
      <c r="E41" s="679" t="str">
        <f>LOOKUP(D41,'f-travail'!A:A,'f-travail'!B:B)</f>
        <v>تقني سامي في إ الآلي</v>
      </c>
      <c r="F41" s="650" t="s">
        <v>545</v>
      </c>
      <c r="G41" s="650"/>
      <c r="H41" s="653"/>
      <c r="I41" s="653"/>
      <c r="J41" s="654" t="s">
        <v>541</v>
      </c>
      <c r="K41" s="650"/>
      <c r="L41" s="650"/>
      <c r="M41" s="650">
        <v>1</v>
      </c>
      <c r="N41" s="654"/>
      <c r="O41" s="654"/>
      <c r="P41" s="654"/>
      <c r="Q41" s="654"/>
      <c r="R41" s="676">
        <v>11111111111</v>
      </c>
      <c r="S41" s="654" t="s">
        <v>562</v>
      </c>
      <c r="T41" s="675"/>
      <c r="U41" s="675"/>
      <c r="V41" s="670">
        <f>LOOKUP(D41,'f-travail'!A:A,'f-travail'!E:E)</f>
        <v>10</v>
      </c>
      <c r="W41" s="670">
        <f>VLOOKUP(V41,جرقمإستدلالي,'f-travail'!$AD$4+1,FALSE)</f>
        <v>453</v>
      </c>
      <c r="X41" s="671">
        <f t="shared" si="0"/>
        <v>0</v>
      </c>
      <c r="Y41" s="671">
        <f>IF(G41="مدير ولائي",(HLOOKUP(I41,جدروظعليا,'f-travail'!$AT$3+1,FALSE)-3200),0)</f>
        <v>0</v>
      </c>
      <c r="Z41" s="672" t="str">
        <f t="shared" si="18"/>
        <v/>
      </c>
      <c r="AA41" s="671">
        <f t="shared" si="19"/>
        <v>0</v>
      </c>
      <c r="AB41" s="677" t="str">
        <f t="shared" si="20"/>
        <v>م()</v>
      </c>
      <c r="AC41" s="678">
        <f t="shared" si="32"/>
        <v>0</v>
      </c>
      <c r="AD41" s="673">
        <f t="shared" si="1"/>
        <v>0</v>
      </c>
      <c r="AE41" s="678">
        <f t="shared" si="2"/>
        <v>0</v>
      </c>
      <c r="AF41" s="678">
        <f t="shared" si="3"/>
        <v>20385</v>
      </c>
      <c r="AG41" s="678">
        <f t="shared" si="4"/>
        <v>0</v>
      </c>
      <c r="AH41" s="673">
        <f t="shared" si="22"/>
        <v>2000</v>
      </c>
      <c r="AI41" s="674">
        <f>IF(G41="مدير ولائي",(11000*35%),LOOKUP(D41,'f-travail'!A:A,'f-travail'!I:I))</f>
        <v>1372</v>
      </c>
      <c r="AJ41" s="673">
        <f>IF(G41="مدير ولائي",((W41+X41)*45)*80%,IF(V41&lt;8,0,IF(F41="إليزي",(LOOKUP(D41,'f-travail'!A:A,'f-travail'!O:O))*(AF41+AG41),LOOKUP(D41,'f-travail'!A:A,'f-travail'!P:P)*(AF41+AG41))))</f>
        <v>9173.25</v>
      </c>
      <c r="AK41" s="673">
        <f>IF(G41="مدير ولائي",0,LOOKUP(D41,'f-travail'!A:A,'f-travail'!Q:Q))</f>
        <v>3100</v>
      </c>
      <c r="AL41" s="673">
        <f>IF(G41="مدير ولائي",0,LOOKUP(D41,'f-travail'!A:A,'f-travail'!R:R)*(AF41+AG41))</f>
        <v>0</v>
      </c>
      <c r="AM41" s="673">
        <f>IF(G41="مدير ولائي",0,LOOKUP(D41,'f-travail'!A:A,'f-travail'!S:S)*(AF41+AG41))</f>
        <v>5096.25</v>
      </c>
      <c r="AN41" s="673">
        <f>IF(G41="مدير ولائي",0,LOOKUP(D41,'f-travail'!A:A,'f-travail'!T:T)*(AF41+AG41))</f>
        <v>0</v>
      </c>
      <c r="AO41" s="673">
        <f>IF(G41="مدير ولائي",0,LOOKUP(D41,'f-travail'!A:A,'f-travail'!U:U)*(AF41+AG41))</f>
        <v>0</v>
      </c>
      <c r="AP41" s="673">
        <f>IF(G41="مدير ولائي",0,LOOKUP(D41,'f-travail'!A:A,'f-travail'!V:V)*(AF41+AG41))</f>
        <v>0</v>
      </c>
      <c r="AQ41" s="673">
        <f>IF(G41="مدير ولائي",0,LOOKUP(D41,'f-travail'!A:A,'f-travail'!W:W)*(AF41+AG41))</f>
        <v>0</v>
      </c>
      <c r="AR41" s="673">
        <f t="shared" si="23"/>
        <v>0</v>
      </c>
      <c r="AS41" s="673">
        <f>IF(G41="مدير ولائي",0,LOOKUP(D41,'f-travail'!A:A,'f-travail'!X:X)*(AF41+AG41))</f>
        <v>2038.5</v>
      </c>
      <c r="AT41" s="673">
        <f>IF(G41="مدير ولائي",0,LOOKUP(D41,'f-travail'!Y:Y,'f-travail'!R:R)*(AF41+AG41))</f>
        <v>0</v>
      </c>
      <c r="AU41" s="673">
        <f t="shared" si="5"/>
        <v>0</v>
      </c>
      <c r="AV41" s="673">
        <f t="shared" si="6"/>
        <v>0</v>
      </c>
      <c r="AW41" s="673">
        <f t="shared" si="7"/>
        <v>0</v>
      </c>
      <c r="AX41" s="637" t="str">
        <f t="shared" si="33"/>
        <v>لللللللللللللللللللللل</v>
      </c>
      <c r="AY41" s="640" t="str">
        <f t="shared" si="9"/>
        <v xml:space="preserve"> ب 10</v>
      </c>
      <c r="AZ41" s="673">
        <f t="shared" si="10"/>
        <v>20385</v>
      </c>
      <c r="BA41" s="639">
        <f t="shared" si="11"/>
        <v>43165</v>
      </c>
      <c r="BB41" s="639">
        <f t="shared" si="34"/>
        <v>5096.25</v>
      </c>
      <c r="BC41" s="639">
        <f t="shared" si="13"/>
        <v>0</v>
      </c>
      <c r="BD41" s="639">
        <f t="shared" si="14"/>
        <v>3100</v>
      </c>
      <c r="BE41" s="639">
        <f t="shared" si="35"/>
        <v>2000</v>
      </c>
      <c r="BF41" s="639">
        <f t="shared" si="36"/>
        <v>2038.5</v>
      </c>
      <c r="BG41" s="639">
        <f t="shared" si="24"/>
        <v>0</v>
      </c>
      <c r="BH41" s="683">
        <f t="shared" si="25"/>
        <v>0</v>
      </c>
      <c r="BI41" s="683">
        <f t="shared" si="26"/>
        <v>0</v>
      </c>
      <c r="BJ41" s="641">
        <f t="shared" si="27"/>
        <v>43165</v>
      </c>
      <c r="BK41" s="641">
        <f t="shared" si="28"/>
        <v>3884.85</v>
      </c>
      <c r="BL41" s="641">
        <f t="shared" si="29"/>
        <v>35908.15</v>
      </c>
      <c r="BM41" s="684">
        <f t="shared" si="30"/>
        <v>2136.2199999999998</v>
      </c>
      <c r="BN41" s="638" t="s">
        <v>844</v>
      </c>
      <c r="BO41" s="682" t="str">
        <f>CONCATENATE(Z41," ",LOOKUP(D41,'f-travail'!A:A,'f-travail'!F:F))</f>
        <v xml:space="preserve"> ب 10</v>
      </c>
      <c r="BP41" s="669" t="str">
        <f t="shared" si="17"/>
        <v xml:space="preserve"> تقني سامي في إ الآلي</v>
      </c>
    </row>
    <row r="42" spans="1:68">
      <c r="A42" s="636">
        <f t="shared" si="31"/>
        <v>41</v>
      </c>
      <c r="B42" s="637" t="s">
        <v>874</v>
      </c>
      <c r="C42" s="637" t="s">
        <v>875</v>
      </c>
      <c r="D42" s="652">
        <v>24</v>
      </c>
      <c r="E42" s="679" t="str">
        <f>LOOKUP(D42,'f-travail'!A:A,'f-travail'!B:B)</f>
        <v>تقني سامي في إ الآلي</v>
      </c>
      <c r="F42" s="650" t="s">
        <v>545</v>
      </c>
      <c r="G42" s="650"/>
      <c r="H42" s="653"/>
      <c r="I42" s="653"/>
      <c r="J42" s="654" t="s">
        <v>541</v>
      </c>
      <c r="K42" s="650"/>
      <c r="L42" s="650"/>
      <c r="M42" s="650">
        <v>1</v>
      </c>
      <c r="N42" s="654"/>
      <c r="O42" s="654"/>
      <c r="P42" s="654"/>
      <c r="Q42" s="654"/>
      <c r="R42" s="676">
        <v>11111111111</v>
      </c>
      <c r="S42" s="654" t="s">
        <v>562</v>
      </c>
      <c r="T42" s="675"/>
      <c r="U42" s="675"/>
      <c r="V42" s="670">
        <f>LOOKUP(D42,'f-travail'!A:A,'f-travail'!E:E)</f>
        <v>10</v>
      </c>
      <c r="W42" s="670">
        <f>VLOOKUP(V42,جرقمإستدلالي,'f-travail'!$AD$4+1,FALSE)</f>
        <v>453</v>
      </c>
      <c r="X42" s="671">
        <f t="shared" si="0"/>
        <v>0</v>
      </c>
      <c r="Y42" s="671">
        <f>IF(G42="مدير ولائي",(HLOOKUP(I42,جدروظعليا,'f-travail'!$AT$3+1,FALSE)-3200),0)</f>
        <v>0</v>
      </c>
      <c r="Z42" s="672" t="str">
        <f t="shared" si="18"/>
        <v/>
      </c>
      <c r="AA42" s="671">
        <f t="shared" si="19"/>
        <v>0</v>
      </c>
      <c r="AB42" s="677" t="str">
        <f t="shared" si="20"/>
        <v>م()</v>
      </c>
      <c r="AC42" s="678">
        <f t="shared" si="32"/>
        <v>0</v>
      </c>
      <c r="AD42" s="673">
        <f t="shared" si="1"/>
        <v>0</v>
      </c>
      <c r="AE42" s="678">
        <f t="shared" si="2"/>
        <v>0</v>
      </c>
      <c r="AF42" s="678">
        <f t="shared" si="3"/>
        <v>20385</v>
      </c>
      <c r="AG42" s="678">
        <f t="shared" si="4"/>
        <v>0</v>
      </c>
      <c r="AH42" s="673">
        <f t="shared" si="22"/>
        <v>2000</v>
      </c>
      <c r="AI42" s="674">
        <f>IF(G42="مدير ولائي",(11000*35%),LOOKUP(D42,'f-travail'!A:A,'f-travail'!I:I))</f>
        <v>1372</v>
      </c>
      <c r="AJ42" s="673">
        <f>IF(G42="مدير ولائي",((W42+X42)*45)*80%,IF(V42&lt;8,0,IF(F42="إليزي",(LOOKUP(D42,'f-travail'!A:A,'f-travail'!O:O))*(AF42+AG42),LOOKUP(D42,'f-travail'!A:A,'f-travail'!P:P)*(AF42+AG42))))</f>
        <v>9173.25</v>
      </c>
      <c r="AK42" s="673">
        <f>IF(G42="مدير ولائي",0,LOOKUP(D42,'f-travail'!A:A,'f-travail'!Q:Q))</f>
        <v>3100</v>
      </c>
      <c r="AL42" s="673">
        <f>IF(G42="مدير ولائي",0,LOOKUP(D42,'f-travail'!A:A,'f-travail'!R:R)*(AF42+AG42))</f>
        <v>0</v>
      </c>
      <c r="AM42" s="673">
        <f>IF(G42="مدير ولائي",0,LOOKUP(D42,'f-travail'!A:A,'f-travail'!S:S)*(AF42+AG42))</f>
        <v>5096.25</v>
      </c>
      <c r="AN42" s="673">
        <f>IF(G42="مدير ولائي",0,LOOKUP(D42,'f-travail'!A:A,'f-travail'!T:T)*(AF42+AG42))</f>
        <v>0</v>
      </c>
      <c r="AO42" s="673">
        <f>IF(G42="مدير ولائي",0,LOOKUP(D42,'f-travail'!A:A,'f-travail'!U:U)*(AF42+AG42))</f>
        <v>0</v>
      </c>
      <c r="AP42" s="673">
        <f>IF(G42="مدير ولائي",0,LOOKUP(D42,'f-travail'!A:A,'f-travail'!V:V)*(AF42+AG42))</f>
        <v>0</v>
      </c>
      <c r="AQ42" s="673">
        <f>IF(G42="مدير ولائي",0,LOOKUP(D42,'f-travail'!A:A,'f-travail'!W:W)*(AF42+AG42))</f>
        <v>0</v>
      </c>
      <c r="AR42" s="673">
        <f t="shared" si="23"/>
        <v>0</v>
      </c>
      <c r="AS42" s="673">
        <f>IF(G42="مدير ولائي",0,LOOKUP(D42,'f-travail'!A:A,'f-travail'!X:X)*(AF42+AG42))</f>
        <v>2038.5</v>
      </c>
      <c r="AT42" s="673">
        <f>IF(G42="مدير ولائي",0,LOOKUP(D42,'f-travail'!Y:Y,'f-travail'!R:R)*(AF42+AG42))</f>
        <v>0</v>
      </c>
      <c r="AU42" s="673">
        <f t="shared" si="5"/>
        <v>0</v>
      </c>
      <c r="AV42" s="673">
        <f t="shared" si="6"/>
        <v>0</v>
      </c>
      <c r="AW42" s="673">
        <f t="shared" si="7"/>
        <v>0</v>
      </c>
      <c r="AX42" s="637" t="str">
        <f t="shared" si="33"/>
        <v>فففففففففففففففففففف</v>
      </c>
      <c r="AY42" s="640" t="str">
        <f t="shared" si="9"/>
        <v xml:space="preserve"> ب 10</v>
      </c>
      <c r="AZ42" s="673">
        <f t="shared" si="10"/>
        <v>20385</v>
      </c>
      <c r="BA42" s="639">
        <f t="shared" si="11"/>
        <v>43165</v>
      </c>
      <c r="BB42" s="639">
        <f t="shared" si="34"/>
        <v>5096.25</v>
      </c>
      <c r="BC42" s="639">
        <f t="shared" si="13"/>
        <v>0</v>
      </c>
      <c r="BD42" s="639">
        <f t="shared" si="14"/>
        <v>3100</v>
      </c>
      <c r="BE42" s="639">
        <f t="shared" si="35"/>
        <v>2000</v>
      </c>
      <c r="BF42" s="639">
        <f t="shared" si="36"/>
        <v>2038.5</v>
      </c>
      <c r="BG42" s="639">
        <f t="shared" si="24"/>
        <v>0</v>
      </c>
      <c r="BH42" s="683">
        <f t="shared" si="25"/>
        <v>0</v>
      </c>
      <c r="BI42" s="683">
        <f t="shared" si="26"/>
        <v>0</v>
      </c>
      <c r="BJ42" s="641">
        <f t="shared" si="27"/>
        <v>43165</v>
      </c>
      <c r="BK42" s="641">
        <f t="shared" si="28"/>
        <v>3884.85</v>
      </c>
      <c r="BL42" s="641">
        <f t="shared" si="29"/>
        <v>35908.15</v>
      </c>
      <c r="BM42" s="684">
        <f t="shared" si="30"/>
        <v>2136.2199999999998</v>
      </c>
      <c r="BN42" s="638" t="s">
        <v>845</v>
      </c>
      <c r="BO42" s="682" t="str">
        <f>CONCATENATE(Z42," ",LOOKUP(D42,'f-travail'!A:A,'f-travail'!F:F))</f>
        <v xml:space="preserve"> ب 10</v>
      </c>
      <c r="BP42" s="669" t="str">
        <f t="shared" si="17"/>
        <v xml:space="preserve"> تقني سامي في إ الآلي</v>
      </c>
    </row>
    <row r="43" spans="1:68">
      <c r="A43" s="636">
        <f t="shared" si="31"/>
        <v>42</v>
      </c>
      <c r="B43" s="637" t="s">
        <v>876</v>
      </c>
      <c r="C43" s="637" t="s">
        <v>877</v>
      </c>
      <c r="D43" s="652">
        <v>24</v>
      </c>
      <c r="E43" s="679" t="str">
        <f>LOOKUP(D43,'f-travail'!A:A,'f-travail'!B:B)</f>
        <v>تقني سامي في إ الآلي</v>
      </c>
      <c r="F43" s="650" t="s">
        <v>539</v>
      </c>
      <c r="G43" s="650"/>
      <c r="H43" s="653"/>
      <c r="I43" s="653"/>
      <c r="J43" s="654" t="s">
        <v>541</v>
      </c>
      <c r="K43" s="650"/>
      <c r="L43" s="650"/>
      <c r="M43" s="650">
        <v>1</v>
      </c>
      <c r="N43" s="654"/>
      <c r="O43" s="654"/>
      <c r="P43" s="654"/>
      <c r="Q43" s="654"/>
      <c r="R43" s="676">
        <v>11111111111</v>
      </c>
      <c r="S43" s="654" t="s">
        <v>562</v>
      </c>
      <c r="T43" s="675"/>
      <c r="U43" s="675"/>
      <c r="V43" s="670">
        <f>LOOKUP(D43,'f-travail'!A:A,'f-travail'!E:E)</f>
        <v>10</v>
      </c>
      <c r="W43" s="670">
        <f>VLOOKUP(V43,جرقمإستدلالي,'f-travail'!$AD$4+1,FALSE)</f>
        <v>453</v>
      </c>
      <c r="X43" s="671">
        <f t="shared" si="0"/>
        <v>0</v>
      </c>
      <c r="Y43" s="671">
        <f>IF(G43="مدير ولائي",(HLOOKUP(I43,جدروظعليا,'f-travail'!$AT$3+1,FALSE)-3200),0)</f>
        <v>0</v>
      </c>
      <c r="Z43" s="672" t="str">
        <f t="shared" si="18"/>
        <v/>
      </c>
      <c r="AA43" s="671">
        <f t="shared" si="19"/>
        <v>0</v>
      </c>
      <c r="AB43" s="677" t="str">
        <f t="shared" si="20"/>
        <v>م()</v>
      </c>
      <c r="AC43" s="678">
        <f t="shared" si="32"/>
        <v>0</v>
      </c>
      <c r="AD43" s="673">
        <f t="shared" si="1"/>
        <v>0</v>
      </c>
      <c r="AE43" s="678">
        <f t="shared" si="2"/>
        <v>0</v>
      </c>
      <c r="AF43" s="678">
        <f t="shared" si="3"/>
        <v>20385</v>
      </c>
      <c r="AG43" s="678">
        <f t="shared" si="4"/>
        <v>0</v>
      </c>
      <c r="AH43" s="673">
        <f t="shared" si="22"/>
        <v>2000</v>
      </c>
      <c r="AI43" s="674">
        <f>IF(G43="مدير ولائي",(11000*35%),LOOKUP(D43,'f-travail'!A:A,'f-travail'!I:I))</f>
        <v>1372</v>
      </c>
      <c r="AJ43" s="673">
        <f>IF(G43="مدير ولائي",((W43+X43)*45)*80%,IF(V43&lt;8,0,IF(F43="إليزي",(LOOKUP(D43,'f-travail'!A:A,'f-travail'!O:O))*(AF43+AG43),LOOKUP(D43,'f-travail'!A:A,'f-travail'!P:P)*(AF43+AG43))))</f>
        <v>7134.75</v>
      </c>
      <c r="AK43" s="673">
        <f>IF(G43="مدير ولائي",0,LOOKUP(D43,'f-travail'!A:A,'f-travail'!Q:Q))</f>
        <v>3100</v>
      </c>
      <c r="AL43" s="673">
        <f>IF(G43="مدير ولائي",0,LOOKUP(D43,'f-travail'!A:A,'f-travail'!R:R)*(AF43+AG43))</f>
        <v>0</v>
      </c>
      <c r="AM43" s="673">
        <f>IF(G43="مدير ولائي",0,LOOKUP(D43,'f-travail'!A:A,'f-travail'!S:S)*(AF43+AG43))</f>
        <v>5096.25</v>
      </c>
      <c r="AN43" s="673">
        <f>IF(G43="مدير ولائي",0,LOOKUP(D43,'f-travail'!A:A,'f-travail'!T:T)*(AF43+AG43))</f>
        <v>0</v>
      </c>
      <c r="AO43" s="673">
        <f>IF(G43="مدير ولائي",0,LOOKUP(D43,'f-travail'!A:A,'f-travail'!U:U)*(AF43+AG43))</f>
        <v>0</v>
      </c>
      <c r="AP43" s="673">
        <f>IF(G43="مدير ولائي",0,LOOKUP(D43,'f-travail'!A:A,'f-travail'!V:V)*(AF43+AG43))</f>
        <v>0</v>
      </c>
      <c r="AQ43" s="673">
        <f>IF(G43="مدير ولائي",0,LOOKUP(D43,'f-travail'!A:A,'f-travail'!W:W)*(AF43+AG43))</f>
        <v>0</v>
      </c>
      <c r="AR43" s="673">
        <f t="shared" si="23"/>
        <v>0</v>
      </c>
      <c r="AS43" s="673">
        <f>IF(G43="مدير ولائي",0,LOOKUP(D43,'f-travail'!A:A,'f-travail'!X:X)*(AF43+AG43))</f>
        <v>2038.5</v>
      </c>
      <c r="AT43" s="673">
        <f>IF(G43="مدير ولائي",0,LOOKUP(D43,'f-travail'!Y:Y,'f-travail'!R:R)*(AF43+AG43))</f>
        <v>0</v>
      </c>
      <c r="AU43" s="673">
        <f t="shared" si="5"/>
        <v>0</v>
      </c>
      <c r="AV43" s="673">
        <f t="shared" si="6"/>
        <v>0</v>
      </c>
      <c r="AW43" s="673">
        <f t="shared" si="7"/>
        <v>0</v>
      </c>
      <c r="AX43" s="637" t="str">
        <f t="shared" si="33"/>
        <v>يسلللللللسيييييييي</v>
      </c>
      <c r="AY43" s="640" t="str">
        <f t="shared" si="9"/>
        <v xml:space="preserve"> ب 10</v>
      </c>
      <c r="AZ43" s="673">
        <f t="shared" si="10"/>
        <v>20385</v>
      </c>
      <c r="BA43" s="639">
        <f t="shared" si="11"/>
        <v>41126.5</v>
      </c>
      <c r="BB43" s="639">
        <f t="shared" si="34"/>
        <v>5096.25</v>
      </c>
      <c r="BC43" s="639">
        <f t="shared" si="13"/>
        <v>0</v>
      </c>
      <c r="BD43" s="639">
        <f t="shared" si="14"/>
        <v>3100</v>
      </c>
      <c r="BE43" s="639">
        <f t="shared" si="35"/>
        <v>2000</v>
      </c>
      <c r="BF43" s="639">
        <f t="shared" si="36"/>
        <v>2038.5</v>
      </c>
      <c r="BG43" s="639">
        <f t="shared" si="24"/>
        <v>0</v>
      </c>
      <c r="BH43" s="683">
        <f t="shared" si="25"/>
        <v>0</v>
      </c>
      <c r="BI43" s="683">
        <f t="shared" si="26"/>
        <v>0</v>
      </c>
      <c r="BJ43" s="641">
        <f t="shared" si="27"/>
        <v>41126.5</v>
      </c>
      <c r="BK43" s="641">
        <f t="shared" si="28"/>
        <v>3701.39</v>
      </c>
      <c r="BL43" s="641">
        <f t="shared" si="29"/>
        <v>34053.11</v>
      </c>
      <c r="BM43" s="684">
        <f t="shared" si="30"/>
        <v>1857.97</v>
      </c>
      <c r="BN43" s="638" t="s">
        <v>846</v>
      </c>
      <c r="BO43" s="682" t="str">
        <f>CONCATENATE(Z43," ",LOOKUP(D43,'f-travail'!A:A,'f-travail'!F:F))</f>
        <v xml:space="preserve"> ب 10</v>
      </c>
      <c r="BP43" s="669" t="str">
        <f t="shared" si="17"/>
        <v xml:space="preserve"> تقني سامي في إ الآلي</v>
      </c>
    </row>
    <row r="44" spans="1:68">
      <c r="A44" s="636">
        <f t="shared" si="31"/>
        <v>43</v>
      </c>
      <c r="B44" s="637" t="s">
        <v>873</v>
      </c>
      <c r="C44" s="637" t="s">
        <v>879</v>
      </c>
      <c r="D44" s="652">
        <v>20</v>
      </c>
      <c r="E44" s="679" t="str">
        <f>LOOKUP(D44,'f-travail'!A:A,'f-travail'!B:B)</f>
        <v>ملحق رئيسي للإدارة</v>
      </c>
      <c r="F44" s="650" t="s">
        <v>539</v>
      </c>
      <c r="G44" s="650"/>
      <c r="H44" s="653">
        <v>8</v>
      </c>
      <c r="I44" s="653"/>
      <c r="J44" s="654" t="s">
        <v>543</v>
      </c>
      <c r="K44" s="650">
        <v>4</v>
      </c>
      <c r="L44" s="650">
        <v>2</v>
      </c>
      <c r="M44" s="650">
        <v>1</v>
      </c>
      <c r="N44" s="654"/>
      <c r="O44" s="654"/>
      <c r="P44" s="654">
        <v>1</v>
      </c>
      <c r="Q44" s="654"/>
      <c r="R44" s="676">
        <v>11111111111</v>
      </c>
      <c r="S44" s="654" t="s">
        <v>561</v>
      </c>
      <c r="T44" s="675"/>
      <c r="U44" s="675"/>
      <c r="V44" s="670">
        <f>LOOKUP(D44,'f-travail'!A:A,'f-travail'!E:E)</f>
        <v>10</v>
      </c>
      <c r="W44" s="670">
        <f>VLOOKUP(V44,جرقمإستدلالي,'f-travail'!$AD$4+1,FALSE)</f>
        <v>453</v>
      </c>
      <c r="X44" s="671">
        <f t="shared" si="0"/>
        <v>181</v>
      </c>
      <c r="Y44" s="671">
        <f>IF(G44="مدير ولائي",(HLOOKUP(I44,جدروظعليا,'f-travail'!$AT$3+1,FALSE)-3200),0)</f>
        <v>0</v>
      </c>
      <c r="Z44" s="672" t="str">
        <f t="shared" si="18"/>
        <v/>
      </c>
      <c r="AA44" s="671">
        <f t="shared" si="19"/>
        <v>0</v>
      </c>
      <c r="AB44" s="677" t="str">
        <f t="shared" si="20"/>
        <v>م(4)</v>
      </c>
      <c r="AC44" s="678">
        <f t="shared" si="32"/>
        <v>0</v>
      </c>
      <c r="AD44" s="673">
        <f t="shared" si="1"/>
        <v>22.5</v>
      </c>
      <c r="AE44" s="678">
        <f t="shared" si="2"/>
        <v>1222.5</v>
      </c>
      <c r="AF44" s="678">
        <f t="shared" si="3"/>
        <v>20385</v>
      </c>
      <c r="AG44" s="678">
        <f t="shared" si="4"/>
        <v>8145</v>
      </c>
      <c r="AH44" s="673">
        <f t="shared" si="22"/>
        <v>2000</v>
      </c>
      <c r="AI44" s="674">
        <f>IF(G44="مدير ولائي",(11000*35%),LOOKUP(D44,'f-travail'!A:A,'f-travail'!I:I))</f>
        <v>1372</v>
      </c>
      <c r="AJ44" s="673">
        <f>IF(G44="مدير ولائي",((W44+X44)*45)*80%,IF(V44&lt;8,0,IF(F44="إليزي",(LOOKUP(D44,'f-travail'!A:A,'f-travail'!O:O))*(AF44+AG44),LOOKUP(D44,'f-travail'!A:A,'f-travail'!P:P)*(AF44+AG44))))</f>
        <v>9985.5</v>
      </c>
      <c r="AK44" s="673">
        <f>IF(G44="مدير ولائي",0,LOOKUP(D44,'f-travail'!A:A,'f-travail'!Q:Q))</f>
        <v>3100</v>
      </c>
      <c r="AL44" s="673">
        <f>IF(G44="مدير ولائي",0,LOOKUP(D44,'f-travail'!A:A,'f-travail'!R:R)*(AF44+AG44))</f>
        <v>7132.5</v>
      </c>
      <c r="AM44" s="673">
        <f>IF(G44="مدير ولائي",0,LOOKUP(D44,'f-travail'!A:A,'f-travail'!S:S)*(AF44+AG44))</f>
        <v>0</v>
      </c>
      <c r="AN44" s="673">
        <f>IF(G44="مدير ولائي",0,LOOKUP(D44,'f-travail'!A:A,'f-travail'!T:T)*(AF44+AG44))</f>
        <v>0</v>
      </c>
      <c r="AO44" s="673">
        <f>IF(G44="مدير ولائي",0,LOOKUP(D44,'f-travail'!A:A,'f-travail'!U:U)*(AF44+AG44))</f>
        <v>0</v>
      </c>
      <c r="AP44" s="673">
        <f>IF(G44="مدير ولائي",0,LOOKUP(D44,'f-travail'!A:A,'f-travail'!V:V)*(AF44+AG44))</f>
        <v>0</v>
      </c>
      <c r="AQ44" s="673">
        <f>IF(G44="مدير ولائي",0,LOOKUP(D44,'f-travail'!A:A,'f-travail'!W:W)*(AF44+AG44))</f>
        <v>0</v>
      </c>
      <c r="AR44" s="673">
        <f t="shared" si="23"/>
        <v>0</v>
      </c>
      <c r="AS44" s="673">
        <f>IF(G44="مدير ولائي",0,LOOKUP(D44,'f-travail'!A:A,'f-travail'!X:X)*(AF44+AG44))</f>
        <v>2853</v>
      </c>
      <c r="AT44" s="673">
        <f>IF(G44="مدير ولائي",0,LOOKUP(D44,'f-travail'!Y:Y,'f-travail'!R:R)*(AF44+AG44))</f>
        <v>0</v>
      </c>
      <c r="AU44" s="673">
        <f t="shared" si="5"/>
        <v>0</v>
      </c>
      <c r="AV44" s="673">
        <f t="shared" si="6"/>
        <v>0</v>
      </c>
      <c r="AW44" s="673">
        <f t="shared" si="7"/>
        <v>0</v>
      </c>
      <c r="AX44" s="637" t="str">
        <f t="shared" si="33"/>
        <v>ررءرءؤرؤءرلللللللللللللل</v>
      </c>
      <c r="AY44" s="640" t="str">
        <f t="shared" si="9"/>
        <v xml:space="preserve"> ب 10 - د 8</v>
      </c>
      <c r="AZ44" s="673">
        <f t="shared" si="10"/>
        <v>28530</v>
      </c>
      <c r="BA44" s="639">
        <f t="shared" si="11"/>
        <v>56195.5</v>
      </c>
      <c r="BB44" s="639">
        <f t="shared" si="34"/>
        <v>7132.5</v>
      </c>
      <c r="BC44" s="639">
        <f t="shared" si="13"/>
        <v>0</v>
      </c>
      <c r="BD44" s="639">
        <f t="shared" si="14"/>
        <v>3100</v>
      </c>
      <c r="BE44" s="639">
        <f t="shared" si="35"/>
        <v>2000</v>
      </c>
      <c r="BF44" s="639">
        <f t="shared" si="36"/>
        <v>2853</v>
      </c>
      <c r="BG44" s="639">
        <f t="shared" si="24"/>
        <v>0</v>
      </c>
      <c r="BH44" s="683">
        <f t="shared" si="25"/>
        <v>824.6</v>
      </c>
      <c r="BI44" s="683">
        <f t="shared" si="26"/>
        <v>0</v>
      </c>
      <c r="BJ44" s="641">
        <f t="shared" si="27"/>
        <v>54973</v>
      </c>
      <c r="BK44" s="641">
        <f t="shared" si="28"/>
        <v>4947.57</v>
      </c>
      <c r="BL44" s="641">
        <f t="shared" si="29"/>
        <v>47875.93</v>
      </c>
      <c r="BM44" s="684">
        <f t="shared" si="30"/>
        <v>3931.39</v>
      </c>
      <c r="BN44" s="638" t="s">
        <v>847</v>
      </c>
      <c r="BO44" s="682" t="str">
        <f>CONCATENATE(Z44," ",LOOKUP(D44,'f-travail'!A:A,'f-travail'!F:F))</f>
        <v xml:space="preserve"> ب 10</v>
      </c>
      <c r="BP44" s="669" t="str">
        <f t="shared" si="17"/>
        <v xml:space="preserve"> ملحق رئيسي للإدارة</v>
      </c>
    </row>
    <row r="45" spans="1:68">
      <c r="A45" s="636">
        <f t="shared" si="31"/>
        <v>44</v>
      </c>
      <c r="B45" s="637" t="s">
        <v>875</v>
      </c>
      <c r="C45" s="637" t="s">
        <v>881</v>
      </c>
      <c r="D45" s="652">
        <v>21</v>
      </c>
      <c r="E45" s="679" t="str">
        <f>LOOKUP(D45,'f-travail'!A:A,'f-travail'!B:B)</f>
        <v>مفتش</v>
      </c>
      <c r="F45" s="650" t="s">
        <v>539</v>
      </c>
      <c r="G45" s="650"/>
      <c r="H45" s="653">
        <v>2</v>
      </c>
      <c r="I45" s="653"/>
      <c r="J45" s="654" t="s">
        <v>541</v>
      </c>
      <c r="K45" s="650">
        <v>2</v>
      </c>
      <c r="L45" s="650"/>
      <c r="M45" s="650">
        <v>1</v>
      </c>
      <c r="N45" s="654"/>
      <c r="O45" s="654"/>
      <c r="P45" s="654"/>
      <c r="Q45" s="654"/>
      <c r="R45" s="676">
        <v>11111111111</v>
      </c>
      <c r="S45" s="654" t="s">
        <v>562</v>
      </c>
      <c r="T45" s="675"/>
      <c r="U45" s="675"/>
      <c r="V45" s="670">
        <f>LOOKUP(D45,'f-travail'!A:A,'f-travail'!E:E)</f>
        <v>10</v>
      </c>
      <c r="W45" s="670">
        <f>VLOOKUP(V45,جرقمإستدلالي,'f-travail'!$AD$4+1,FALSE)</f>
        <v>453</v>
      </c>
      <c r="X45" s="671">
        <f t="shared" si="0"/>
        <v>45</v>
      </c>
      <c r="Y45" s="671">
        <f>IF(G45="مدير ولائي",(HLOOKUP(I45,جدروظعليا,'f-travail'!$AT$3+1,FALSE)-3200),0)</f>
        <v>0</v>
      </c>
      <c r="Z45" s="672" t="str">
        <f t="shared" si="18"/>
        <v/>
      </c>
      <c r="AA45" s="671">
        <f t="shared" si="19"/>
        <v>0</v>
      </c>
      <c r="AB45" s="677" t="str">
        <f t="shared" si="20"/>
        <v>م(2)</v>
      </c>
      <c r="AC45" s="678">
        <f t="shared" si="32"/>
        <v>0</v>
      </c>
      <c r="AD45" s="673">
        <f t="shared" si="1"/>
        <v>0</v>
      </c>
      <c r="AE45" s="678">
        <f t="shared" si="2"/>
        <v>600</v>
      </c>
      <c r="AF45" s="678">
        <f t="shared" si="3"/>
        <v>20385</v>
      </c>
      <c r="AG45" s="678">
        <f t="shared" si="4"/>
        <v>2025</v>
      </c>
      <c r="AH45" s="673">
        <f t="shared" si="22"/>
        <v>2000</v>
      </c>
      <c r="AI45" s="674">
        <f>IF(G45="مدير ولائي",(11000*35%),LOOKUP(D45,'f-travail'!A:A,'f-travail'!I:I))</f>
        <v>1372</v>
      </c>
      <c r="AJ45" s="673">
        <f>IF(G45="مدير ولائي",((W45+X45)*45)*80%,IF(V45&lt;8,0,IF(F45="إليزي",(LOOKUP(D45,'f-travail'!A:A,'f-travail'!O:O))*(AF45+AG45),LOOKUP(D45,'f-travail'!A:A,'f-travail'!P:P)*(AF45+AG45))))</f>
        <v>7843.5</v>
      </c>
      <c r="AK45" s="673">
        <f>IF(G45="مدير ولائي",0,LOOKUP(D45,'f-travail'!A:A,'f-travail'!Q:Q))</f>
        <v>3100</v>
      </c>
      <c r="AL45" s="673">
        <f>IF(G45="مدير ولائي",0,LOOKUP(D45,'f-travail'!A:A,'f-travail'!R:R)*(AF45+AG45))</f>
        <v>0</v>
      </c>
      <c r="AM45" s="673">
        <f>IF(G45="مدير ولائي",0,LOOKUP(D45,'f-travail'!A:A,'f-travail'!S:S)*(AF45+AG45))</f>
        <v>0</v>
      </c>
      <c r="AN45" s="673">
        <f>IF(G45="مدير ولائي",0,LOOKUP(D45,'f-travail'!A:A,'f-travail'!T:T)*(AF45+AG45))</f>
        <v>0</v>
      </c>
      <c r="AO45" s="673">
        <f>IF(G45="مدير ولائي",0,LOOKUP(D45,'f-travail'!A:A,'f-travail'!U:U)*(AF45+AG45))</f>
        <v>0</v>
      </c>
      <c r="AP45" s="673">
        <f>IF(G45="مدير ولائي",0,LOOKUP(D45,'f-travail'!A:A,'f-travail'!V:V)*(AF45+AG45))</f>
        <v>6723</v>
      </c>
      <c r="AQ45" s="673">
        <f>IF(G45="مدير ولائي",0,LOOKUP(D45,'f-travail'!A:A,'f-travail'!W:W)*(AF45+AG45))</f>
        <v>5602.5</v>
      </c>
      <c r="AR45" s="673">
        <f t="shared" si="23"/>
        <v>0</v>
      </c>
      <c r="AS45" s="673">
        <f>IF(G45="مدير ولائي",0,LOOKUP(D45,'f-travail'!A:A,'f-travail'!X:X)*(AF45+AG45))</f>
        <v>0</v>
      </c>
      <c r="AT45" s="673">
        <f>IF(G45="مدير ولائي",0,LOOKUP(D45,'f-travail'!Y:Y,'f-travail'!R:R)*(AF45+AG45))</f>
        <v>0</v>
      </c>
      <c r="AU45" s="673">
        <f t="shared" si="5"/>
        <v>0</v>
      </c>
      <c r="AV45" s="673">
        <f t="shared" si="6"/>
        <v>0</v>
      </c>
      <c r="AW45" s="673">
        <f t="shared" si="7"/>
        <v>0</v>
      </c>
      <c r="AX45" s="637" t="str">
        <f t="shared" si="33"/>
        <v>صثقصقثصقضفففففففففففف</v>
      </c>
      <c r="AY45" s="640" t="str">
        <f t="shared" si="9"/>
        <v xml:space="preserve"> ب 10 - د 2</v>
      </c>
      <c r="AZ45" s="673">
        <f t="shared" si="10"/>
        <v>22410</v>
      </c>
      <c r="BA45" s="639">
        <f t="shared" si="11"/>
        <v>49651</v>
      </c>
      <c r="BB45" s="639">
        <f t="shared" si="34"/>
        <v>6723</v>
      </c>
      <c r="BC45" s="639">
        <f t="shared" si="13"/>
        <v>0</v>
      </c>
      <c r="BD45" s="639">
        <f t="shared" si="14"/>
        <v>3100</v>
      </c>
      <c r="BE45" s="639">
        <f t="shared" si="35"/>
        <v>2000</v>
      </c>
      <c r="BF45" s="639">
        <f t="shared" si="36"/>
        <v>5602.5</v>
      </c>
      <c r="BG45" s="639">
        <f t="shared" si="24"/>
        <v>0</v>
      </c>
      <c r="BH45" s="683">
        <f t="shared" si="25"/>
        <v>0</v>
      </c>
      <c r="BI45" s="683">
        <f t="shared" si="26"/>
        <v>0</v>
      </c>
      <c r="BJ45" s="641">
        <f t="shared" si="27"/>
        <v>49051</v>
      </c>
      <c r="BK45" s="641">
        <f t="shared" si="28"/>
        <v>4414.59</v>
      </c>
      <c r="BL45" s="641">
        <f t="shared" si="29"/>
        <v>41864.410000000003</v>
      </c>
      <c r="BM45" s="684">
        <f t="shared" si="30"/>
        <v>3029.66</v>
      </c>
      <c r="BN45" s="638" t="s">
        <v>848</v>
      </c>
      <c r="BO45" s="682" t="str">
        <f>CONCATENATE(Z45," ",LOOKUP(D45,'f-travail'!A:A,'f-travail'!F:F))</f>
        <v xml:space="preserve"> ب 10</v>
      </c>
      <c r="BP45" s="669" t="str">
        <f t="shared" si="17"/>
        <v xml:space="preserve"> مفتش</v>
      </c>
    </row>
    <row r="46" spans="1:68">
      <c r="A46" s="636">
        <f t="shared" si="31"/>
        <v>45</v>
      </c>
      <c r="B46" s="637" t="s">
        <v>877</v>
      </c>
      <c r="C46" s="637" t="s">
        <v>883</v>
      </c>
      <c r="D46" s="652">
        <v>21</v>
      </c>
      <c r="E46" s="679" t="str">
        <f>LOOKUP(D46,'f-travail'!A:A,'f-travail'!B:B)</f>
        <v>مفتش</v>
      </c>
      <c r="F46" s="650" t="s">
        <v>539</v>
      </c>
      <c r="G46" s="650"/>
      <c r="H46" s="653">
        <v>2</v>
      </c>
      <c r="I46" s="653"/>
      <c r="J46" s="654" t="s">
        <v>563</v>
      </c>
      <c r="K46" s="650"/>
      <c r="L46" s="650"/>
      <c r="M46" s="650">
        <v>1</v>
      </c>
      <c r="N46" s="654"/>
      <c r="O46" s="654"/>
      <c r="P46" s="654"/>
      <c r="Q46" s="654"/>
      <c r="R46" s="676">
        <v>11111111111</v>
      </c>
      <c r="S46" s="654" t="s">
        <v>562</v>
      </c>
      <c r="T46" s="675"/>
      <c r="U46" s="675"/>
      <c r="V46" s="670">
        <f>LOOKUP(D46,'f-travail'!A:A,'f-travail'!E:E)</f>
        <v>10</v>
      </c>
      <c r="W46" s="670">
        <f>VLOOKUP(V46,جرقمإستدلالي,'f-travail'!$AD$4+1,FALSE)</f>
        <v>453</v>
      </c>
      <c r="X46" s="671">
        <f t="shared" si="0"/>
        <v>45</v>
      </c>
      <c r="Y46" s="671">
        <f>IF(G46="مدير ولائي",(HLOOKUP(I46,جدروظعليا,'f-travail'!$AT$3+1,FALSE)-3200),0)</f>
        <v>0</v>
      </c>
      <c r="Z46" s="672" t="str">
        <f t="shared" si="18"/>
        <v/>
      </c>
      <c r="AA46" s="671">
        <f t="shared" si="19"/>
        <v>0</v>
      </c>
      <c r="AB46" s="677" t="str">
        <f t="shared" si="20"/>
        <v>ع</v>
      </c>
      <c r="AC46" s="678">
        <f t="shared" si="32"/>
        <v>0</v>
      </c>
      <c r="AD46" s="673">
        <f t="shared" si="1"/>
        <v>0</v>
      </c>
      <c r="AE46" s="678">
        <f t="shared" si="2"/>
        <v>0</v>
      </c>
      <c r="AF46" s="678">
        <f t="shared" si="3"/>
        <v>20385</v>
      </c>
      <c r="AG46" s="678">
        <f t="shared" si="4"/>
        <v>2025</v>
      </c>
      <c r="AH46" s="673">
        <f t="shared" si="22"/>
        <v>2000</v>
      </c>
      <c r="AI46" s="674">
        <f>IF(G46="مدير ولائي",(11000*35%),LOOKUP(D46,'f-travail'!A:A,'f-travail'!I:I))</f>
        <v>1372</v>
      </c>
      <c r="AJ46" s="673">
        <f>IF(G46="مدير ولائي",((W46+X46)*45)*80%,IF(V46&lt;8,0,IF(F46="إليزي",(LOOKUP(D46,'f-travail'!A:A,'f-travail'!O:O))*(AF46+AG46),LOOKUP(D46,'f-travail'!A:A,'f-travail'!P:P)*(AF46+AG46))))</f>
        <v>7843.5</v>
      </c>
      <c r="AK46" s="673">
        <f>IF(G46="مدير ولائي",0,LOOKUP(D46,'f-travail'!A:A,'f-travail'!Q:Q))</f>
        <v>3100</v>
      </c>
      <c r="AL46" s="673">
        <f>IF(G46="مدير ولائي",0,LOOKUP(D46,'f-travail'!A:A,'f-travail'!R:R)*(AF46+AG46))</f>
        <v>0</v>
      </c>
      <c r="AM46" s="673">
        <f>IF(G46="مدير ولائي",0,LOOKUP(D46,'f-travail'!A:A,'f-travail'!S:S)*(AF46+AG46))</f>
        <v>0</v>
      </c>
      <c r="AN46" s="673">
        <f>IF(G46="مدير ولائي",0,LOOKUP(D46,'f-travail'!A:A,'f-travail'!T:T)*(AF46+AG46))</f>
        <v>0</v>
      </c>
      <c r="AO46" s="673">
        <f>IF(G46="مدير ولائي",0,LOOKUP(D46,'f-travail'!A:A,'f-travail'!U:U)*(AF46+AG46))</f>
        <v>0</v>
      </c>
      <c r="AP46" s="673">
        <f>IF(G46="مدير ولائي",0,LOOKUP(D46,'f-travail'!A:A,'f-travail'!V:V)*(AF46+AG46))</f>
        <v>6723</v>
      </c>
      <c r="AQ46" s="673">
        <f>IF(G46="مدير ولائي",0,LOOKUP(D46,'f-travail'!A:A,'f-travail'!W:W)*(AF46+AG46))</f>
        <v>5602.5</v>
      </c>
      <c r="AR46" s="673">
        <f t="shared" si="23"/>
        <v>0</v>
      </c>
      <c r="AS46" s="673">
        <f>IF(G46="مدير ولائي",0,LOOKUP(D46,'f-travail'!A:A,'f-travail'!X:X)*(AF46+AG46))</f>
        <v>0</v>
      </c>
      <c r="AT46" s="673">
        <f>IF(G46="مدير ولائي",0,LOOKUP(D46,'f-travail'!Y:Y,'f-travail'!R:R)*(AF46+AG46))</f>
        <v>0</v>
      </c>
      <c r="AU46" s="673">
        <f t="shared" si="5"/>
        <v>0</v>
      </c>
      <c r="AV46" s="673">
        <f t="shared" si="6"/>
        <v>0</v>
      </c>
      <c r="AW46" s="673">
        <f t="shared" si="7"/>
        <v>0</v>
      </c>
      <c r="AX46" s="637" t="str">
        <f t="shared" si="33"/>
        <v>صثقثصقثصقصثيسللللللل</v>
      </c>
      <c r="AY46" s="640" t="str">
        <f t="shared" si="9"/>
        <v xml:space="preserve"> ب 10 - د 2</v>
      </c>
      <c r="AZ46" s="673">
        <f t="shared" si="10"/>
        <v>22410</v>
      </c>
      <c r="BA46" s="639">
        <f t="shared" si="11"/>
        <v>49051</v>
      </c>
      <c r="BB46" s="639">
        <f t="shared" si="34"/>
        <v>6723</v>
      </c>
      <c r="BC46" s="639">
        <f t="shared" si="13"/>
        <v>0</v>
      </c>
      <c r="BD46" s="639">
        <f t="shared" si="14"/>
        <v>3100</v>
      </c>
      <c r="BE46" s="639">
        <f t="shared" si="35"/>
        <v>2000</v>
      </c>
      <c r="BF46" s="639">
        <f t="shared" si="36"/>
        <v>5602.5</v>
      </c>
      <c r="BG46" s="639">
        <f t="shared" si="24"/>
        <v>0</v>
      </c>
      <c r="BH46" s="683">
        <f t="shared" si="25"/>
        <v>0</v>
      </c>
      <c r="BI46" s="683">
        <f t="shared" si="26"/>
        <v>0</v>
      </c>
      <c r="BJ46" s="641">
        <f t="shared" si="27"/>
        <v>49051</v>
      </c>
      <c r="BK46" s="641">
        <f t="shared" si="28"/>
        <v>4414.59</v>
      </c>
      <c r="BL46" s="641">
        <f t="shared" si="29"/>
        <v>41264.410000000003</v>
      </c>
      <c r="BM46" s="684">
        <f t="shared" si="30"/>
        <v>2939.66</v>
      </c>
      <c r="BN46" s="638" t="s">
        <v>849</v>
      </c>
      <c r="BO46" s="682" t="str">
        <f>CONCATENATE(Z46," ",LOOKUP(D46,'f-travail'!A:A,'f-travail'!F:F))</f>
        <v xml:space="preserve"> ب 10</v>
      </c>
      <c r="BP46" s="669" t="str">
        <f t="shared" si="17"/>
        <v xml:space="preserve"> مفتش</v>
      </c>
    </row>
    <row r="47" spans="1:68">
      <c r="A47" s="636">
        <f t="shared" si="31"/>
        <v>46</v>
      </c>
      <c r="B47" s="637" t="s">
        <v>879</v>
      </c>
      <c r="C47" s="637" t="s">
        <v>872</v>
      </c>
      <c r="D47" s="652">
        <v>21</v>
      </c>
      <c r="E47" s="679" t="str">
        <f>LOOKUP(D47,'f-travail'!A:A,'f-travail'!B:B)</f>
        <v>مفتش</v>
      </c>
      <c r="F47" s="650" t="s">
        <v>539</v>
      </c>
      <c r="G47" s="650"/>
      <c r="H47" s="653">
        <v>2</v>
      </c>
      <c r="I47" s="653"/>
      <c r="J47" s="654" t="s">
        <v>563</v>
      </c>
      <c r="K47" s="650"/>
      <c r="L47" s="650"/>
      <c r="M47" s="650">
        <v>1</v>
      </c>
      <c r="N47" s="654"/>
      <c r="O47" s="654"/>
      <c r="P47" s="654"/>
      <c r="Q47" s="654"/>
      <c r="R47" s="676">
        <v>11111111111</v>
      </c>
      <c r="S47" s="654" t="s">
        <v>562</v>
      </c>
      <c r="T47" s="675"/>
      <c r="U47" s="675"/>
      <c r="V47" s="670">
        <f>LOOKUP(D47,'f-travail'!A:A,'f-travail'!E:E)</f>
        <v>10</v>
      </c>
      <c r="W47" s="670">
        <f>VLOOKUP(V47,جرقمإستدلالي,'f-travail'!$AD$4+1,FALSE)</f>
        <v>453</v>
      </c>
      <c r="X47" s="671">
        <f t="shared" si="0"/>
        <v>45</v>
      </c>
      <c r="Y47" s="671">
        <f>IF(G47="مدير ولائي",(HLOOKUP(I47,جدروظعليا,'f-travail'!$AT$3+1,FALSE)-3200),0)</f>
        <v>0</v>
      </c>
      <c r="Z47" s="672" t="str">
        <f t="shared" si="18"/>
        <v/>
      </c>
      <c r="AA47" s="671">
        <f t="shared" si="19"/>
        <v>0</v>
      </c>
      <c r="AB47" s="677" t="str">
        <f t="shared" si="20"/>
        <v>ع</v>
      </c>
      <c r="AC47" s="678">
        <f t="shared" si="32"/>
        <v>0</v>
      </c>
      <c r="AD47" s="673">
        <f t="shared" si="1"/>
        <v>0</v>
      </c>
      <c r="AE47" s="678">
        <f t="shared" si="2"/>
        <v>0</v>
      </c>
      <c r="AF47" s="678">
        <f t="shared" si="3"/>
        <v>20385</v>
      </c>
      <c r="AG47" s="678">
        <f t="shared" si="4"/>
        <v>2025</v>
      </c>
      <c r="AH47" s="673">
        <f t="shared" si="22"/>
        <v>2000</v>
      </c>
      <c r="AI47" s="674">
        <f>IF(G47="مدير ولائي",(11000*35%),LOOKUP(D47,'f-travail'!A:A,'f-travail'!I:I))</f>
        <v>1372</v>
      </c>
      <c r="AJ47" s="673">
        <f>IF(G47="مدير ولائي",((W47+X47)*45)*80%,IF(V47&lt;8,0,IF(F47="إليزي",(LOOKUP(D47,'f-travail'!A:A,'f-travail'!O:O))*(AF47+AG47),LOOKUP(D47,'f-travail'!A:A,'f-travail'!P:P)*(AF47+AG47))))</f>
        <v>7843.5</v>
      </c>
      <c r="AK47" s="673">
        <f>IF(G47="مدير ولائي",0,LOOKUP(D47,'f-travail'!A:A,'f-travail'!Q:Q))</f>
        <v>3100</v>
      </c>
      <c r="AL47" s="673">
        <f>IF(G47="مدير ولائي",0,LOOKUP(D47,'f-travail'!A:A,'f-travail'!R:R)*(AF47+AG47))</f>
        <v>0</v>
      </c>
      <c r="AM47" s="673">
        <f>IF(G47="مدير ولائي",0,LOOKUP(D47,'f-travail'!A:A,'f-travail'!S:S)*(AF47+AG47))</f>
        <v>0</v>
      </c>
      <c r="AN47" s="673">
        <f>IF(G47="مدير ولائي",0,LOOKUP(D47,'f-travail'!A:A,'f-travail'!T:T)*(AF47+AG47))</f>
        <v>0</v>
      </c>
      <c r="AO47" s="673">
        <f>IF(G47="مدير ولائي",0,LOOKUP(D47,'f-travail'!A:A,'f-travail'!U:U)*(AF47+AG47))</f>
        <v>0</v>
      </c>
      <c r="AP47" s="673">
        <f>IF(G47="مدير ولائي",0,LOOKUP(D47,'f-travail'!A:A,'f-travail'!V:V)*(AF47+AG47))</f>
        <v>6723</v>
      </c>
      <c r="AQ47" s="673">
        <f>IF(G47="مدير ولائي",0,LOOKUP(D47,'f-travail'!A:A,'f-travail'!W:W)*(AF47+AG47))</f>
        <v>5602.5</v>
      </c>
      <c r="AR47" s="673">
        <f t="shared" si="23"/>
        <v>0</v>
      </c>
      <c r="AS47" s="673">
        <f>IF(G47="مدير ولائي",0,LOOKUP(D47,'f-travail'!A:A,'f-travail'!X:X)*(AF47+AG47))</f>
        <v>0</v>
      </c>
      <c r="AT47" s="673">
        <f>IF(G47="مدير ولائي",0,LOOKUP(D47,'f-travail'!Y:Y,'f-travail'!R:R)*(AF47+AG47))</f>
        <v>0</v>
      </c>
      <c r="AU47" s="673">
        <f t="shared" si="5"/>
        <v>0</v>
      </c>
      <c r="AV47" s="673">
        <f t="shared" si="6"/>
        <v>0</v>
      </c>
      <c r="AW47" s="673">
        <f t="shared" si="7"/>
        <v>0</v>
      </c>
      <c r="AX47" s="637" t="str">
        <f t="shared" si="33"/>
        <v>للللللللررءرءؤرؤءر</v>
      </c>
      <c r="AY47" s="640" t="str">
        <f t="shared" si="9"/>
        <v xml:space="preserve"> ب 10 - د 2</v>
      </c>
      <c r="AZ47" s="673">
        <f t="shared" si="10"/>
        <v>22410</v>
      </c>
      <c r="BA47" s="639">
        <f t="shared" si="11"/>
        <v>49051</v>
      </c>
      <c r="BB47" s="639">
        <f t="shared" si="34"/>
        <v>6723</v>
      </c>
      <c r="BC47" s="639">
        <f t="shared" si="13"/>
        <v>0</v>
      </c>
      <c r="BD47" s="639">
        <f t="shared" si="14"/>
        <v>3100</v>
      </c>
      <c r="BE47" s="639">
        <f t="shared" si="35"/>
        <v>2000</v>
      </c>
      <c r="BF47" s="639">
        <f t="shared" si="36"/>
        <v>5602.5</v>
      </c>
      <c r="BG47" s="639">
        <f t="shared" si="24"/>
        <v>0</v>
      </c>
      <c r="BH47" s="683">
        <f t="shared" si="25"/>
        <v>0</v>
      </c>
      <c r="BI47" s="683">
        <f t="shared" si="26"/>
        <v>0</v>
      </c>
      <c r="BJ47" s="641">
        <f t="shared" si="27"/>
        <v>49051</v>
      </c>
      <c r="BK47" s="641">
        <f t="shared" si="28"/>
        <v>4414.59</v>
      </c>
      <c r="BL47" s="641">
        <f t="shared" si="29"/>
        <v>41264.410000000003</v>
      </c>
      <c r="BM47" s="684">
        <f t="shared" si="30"/>
        <v>2939.66</v>
      </c>
      <c r="BN47" s="638" t="s">
        <v>850</v>
      </c>
      <c r="BO47" s="682" t="str">
        <f>CONCATENATE(Z47," ",LOOKUP(D47,'f-travail'!A:A,'f-travail'!F:F))</f>
        <v xml:space="preserve"> ب 10</v>
      </c>
      <c r="BP47" s="669" t="str">
        <f t="shared" si="17"/>
        <v xml:space="preserve"> مفتش</v>
      </c>
    </row>
    <row r="48" spans="1:68">
      <c r="A48" s="636">
        <f t="shared" si="31"/>
        <v>47</v>
      </c>
      <c r="B48" s="637" t="s">
        <v>881</v>
      </c>
      <c r="C48" s="637" t="s">
        <v>874</v>
      </c>
      <c r="D48" s="652">
        <v>20</v>
      </c>
      <c r="E48" s="679" t="str">
        <f>LOOKUP(D48,'f-travail'!A:A,'f-travail'!B:B)</f>
        <v>ملحق رئيسي للإدارة</v>
      </c>
      <c r="F48" s="650" t="s">
        <v>545</v>
      </c>
      <c r="G48" s="650"/>
      <c r="H48" s="653">
        <v>3</v>
      </c>
      <c r="I48" s="653"/>
      <c r="J48" s="654" t="s">
        <v>541</v>
      </c>
      <c r="K48" s="650"/>
      <c r="L48" s="650"/>
      <c r="M48" s="650">
        <v>1</v>
      </c>
      <c r="N48" s="654"/>
      <c r="O48" s="654"/>
      <c r="P48" s="654"/>
      <c r="Q48" s="654"/>
      <c r="R48" s="676">
        <v>11111111111</v>
      </c>
      <c r="S48" s="654" t="s">
        <v>562</v>
      </c>
      <c r="T48" s="675"/>
      <c r="U48" s="675"/>
      <c r="V48" s="670">
        <f>LOOKUP(D48,'f-travail'!A:A,'f-travail'!E:E)</f>
        <v>10</v>
      </c>
      <c r="W48" s="670">
        <f>VLOOKUP(V48,جرقمإستدلالي,'f-travail'!$AD$4+1,FALSE)</f>
        <v>453</v>
      </c>
      <c r="X48" s="671">
        <f t="shared" si="0"/>
        <v>68</v>
      </c>
      <c r="Y48" s="671">
        <f>IF(G48="مدير ولائي",(HLOOKUP(I48,جدروظعليا,'f-travail'!$AT$3+1,FALSE)-3200),0)</f>
        <v>0</v>
      </c>
      <c r="Z48" s="672" t="str">
        <f t="shared" si="18"/>
        <v/>
      </c>
      <c r="AA48" s="671">
        <f t="shared" si="19"/>
        <v>0</v>
      </c>
      <c r="AB48" s="677" t="str">
        <f t="shared" si="20"/>
        <v>م()</v>
      </c>
      <c r="AC48" s="678">
        <f t="shared" si="32"/>
        <v>0</v>
      </c>
      <c r="AD48" s="673">
        <f t="shared" si="1"/>
        <v>0</v>
      </c>
      <c r="AE48" s="678">
        <f t="shared" si="2"/>
        <v>0</v>
      </c>
      <c r="AF48" s="678">
        <f t="shared" si="3"/>
        <v>20385</v>
      </c>
      <c r="AG48" s="678">
        <f t="shared" si="4"/>
        <v>3060</v>
      </c>
      <c r="AH48" s="673">
        <f t="shared" si="22"/>
        <v>2000</v>
      </c>
      <c r="AI48" s="674">
        <f>IF(G48="مدير ولائي",(11000*35%),LOOKUP(D48,'f-travail'!A:A,'f-travail'!I:I))</f>
        <v>1372</v>
      </c>
      <c r="AJ48" s="673">
        <f>IF(G48="مدير ولائي",((W48+X48)*45)*80%,IF(V48&lt;8,0,IF(F48="إليزي",(LOOKUP(D48,'f-travail'!A:A,'f-travail'!O:O))*(AF48+AG48),LOOKUP(D48,'f-travail'!A:A,'f-travail'!P:P)*(AF48+AG48))))</f>
        <v>10550.25</v>
      </c>
      <c r="AK48" s="673">
        <f>IF(G48="مدير ولائي",0,LOOKUP(D48,'f-travail'!A:A,'f-travail'!Q:Q))</f>
        <v>3100</v>
      </c>
      <c r="AL48" s="673">
        <f>IF(G48="مدير ولائي",0,LOOKUP(D48,'f-travail'!A:A,'f-travail'!R:R)*(AF48+AG48))</f>
        <v>5861.25</v>
      </c>
      <c r="AM48" s="673">
        <f>IF(G48="مدير ولائي",0,LOOKUP(D48,'f-travail'!A:A,'f-travail'!S:S)*(AF48+AG48))</f>
        <v>0</v>
      </c>
      <c r="AN48" s="673">
        <f>IF(G48="مدير ولائي",0,LOOKUP(D48,'f-travail'!A:A,'f-travail'!T:T)*(AF48+AG48))</f>
        <v>0</v>
      </c>
      <c r="AO48" s="673">
        <f>IF(G48="مدير ولائي",0,LOOKUP(D48,'f-travail'!A:A,'f-travail'!U:U)*(AF48+AG48))</f>
        <v>0</v>
      </c>
      <c r="AP48" s="673">
        <f>IF(G48="مدير ولائي",0,LOOKUP(D48,'f-travail'!A:A,'f-travail'!V:V)*(AF48+AG48))</f>
        <v>0</v>
      </c>
      <c r="AQ48" s="673">
        <f>IF(G48="مدير ولائي",0,LOOKUP(D48,'f-travail'!A:A,'f-travail'!W:W)*(AF48+AG48))</f>
        <v>0</v>
      </c>
      <c r="AR48" s="673">
        <f t="shared" si="23"/>
        <v>0</v>
      </c>
      <c r="AS48" s="673">
        <f>IF(G48="مدير ولائي",0,LOOKUP(D48,'f-travail'!A:A,'f-travail'!X:X)*(AF48+AG48))</f>
        <v>2344.5</v>
      </c>
      <c r="AT48" s="673">
        <f>IF(G48="مدير ولائي",0,LOOKUP(D48,'f-travail'!Y:Y,'f-travail'!R:R)*(AF48+AG48))</f>
        <v>0</v>
      </c>
      <c r="AU48" s="673">
        <f t="shared" si="5"/>
        <v>0</v>
      </c>
      <c r="AV48" s="673">
        <f t="shared" si="6"/>
        <v>0</v>
      </c>
      <c r="AW48" s="673">
        <f t="shared" si="7"/>
        <v>0</v>
      </c>
      <c r="AX48" s="637" t="str">
        <f t="shared" si="33"/>
        <v>ففففففففصثقصقثصقض</v>
      </c>
      <c r="AY48" s="640" t="str">
        <f t="shared" si="9"/>
        <v xml:space="preserve"> ب 10 - د 3</v>
      </c>
      <c r="AZ48" s="673">
        <f t="shared" si="10"/>
        <v>23445</v>
      </c>
      <c r="BA48" s="639">
        <f t="shared" si="11"/>
        <v>48673</v>
      </c>
      <c r="BB48" s="639">
        <f t="shared" si="34"/>
        <v>5861.25</v>
      </c>
      <c r="BC48" s="639">
        <f t="shared" si="13"/>
        <v>0</v>
      </c>
      <c r="BD48" s="639">
        <f t="shared" si="14"/>
        <v>3100</v>
      </c>
      <c r="BE48" s="639">
        <f t="shared" si="35"/>
        <v>2000</v>
      </c>
      <c r="BF48" s="639">
        <f t="shared" si="36"/>
        <v>2344.5</v>
      </c>
      <c r="BG48" s="639">
        <f t="shared" si="24"/>
        <v>0</v>
      </c>
      <c r="BH48" s="683">
        <f t="shared" si="25"/>
        <v>0</v>
      </c>
      <c r="BI48" s="683">
        <f t="shared" si="26"/>
        <v>0</v>
      </c>
      <c r="BJ48" s="641">
        <f t="shared" si="27"/>
        <v>48673</v>
      </c>
      <c r="BK48" s="641">
        <f t="shared" si="28"/>
        <v>4380.57</v>
      </c>
      <c r="BL48" s="641">
        <f t="shared" si="29"/>
        <v>40920.43</v>
      </c>
      <c r="BM48" s="684">
        <f t="shared" si="30"/>
        <v>2888.06</v>
      </c>
      <c r="BN48" s="638" t="s">
        <v>851</v>
      </c>
      <c r="BO48" s="682" t="str">
        <f>CONCATENATE(Z48," ",LOOKUP(D48,'f-travail'!A:A,'f-travail'!F:F))</f>
        <v xml:space="preserve"> ب 10</v>
      </c>
      <c r="BP48" s="669" t="str">
        <f t="shared" si="17"/>
        <v xml:space="preserve"> ملحق رئيسي للإدارة</v>
      </c>
    </row>
    <row r="49" spans="1:68">
      <c r="A49" s="636">
        <f t="shared" si="31"/>
        <v>48</v>
      </c>
      <c r="B49" s="637" t="s">
        <v>883</v>
      </c>
      <c r="C49" s="637" t="s">
        <v>876</v>
      </c>
      <c r="D49" s="652">
        <v>20</v>
      </c>
      <c r="E49" s="679" t="str">
        <f>LOOKUP(D49,'f-travail'!A:A,'f-travail'!B:B)</f>
        <v>ملحق رئيسي للإدارة</v>
      </c>
      <c r="F49" s="650" t="s">
        <v>539</v>
      </c>
      <c r="G49" s="650"/>
      <c r="H49" s="653">
        <v>1</v>
      </c>
      <c r="I49" s="653"/>
      <c r="J49" s="654" t="s">
        <v>544</v>
      </c>
      <c r="K49" s="650"/>
      <c r="L49" s="650"/>
      <c r="M49" s="650">
        <v>0</v>
      </c>
      <c r="N49" s="654"/>
      <c r="O49" s="654"/>
      <c r="P49" s="654"/>
      <c r="Q49" s="654"/>
      <c r="R49" s="676">
        <v>11111111111</v>
      </c>
      <c r="S49" s="654" t="s">
        <v>562</v>
      </c>
      <c r="T49" s="675"/>
      <c r="U49" s="675"/>
      <c r="V49" s="670">
        <f>LOOKUP(D49,'f-travail'!A:A,'f-travail'!E:E)</f>
        <v>10</v>
      </c>
      <c r="W49" s="670">
        <f>VLOOKUP(V49,جرقمإستدلالي,'f-travail'!$AD$4+1,FALSE)</f>
        <v>453</v>
      </c>
      <c r="X49" s="671">
        <f t="shared" si="0"/>
        <v>23</v>
      </c>
      <c r="Y49" s="671">
        <f>IF(G49="مدير ولائي",(HLOOKUP(I49,جدروظعليا,'f-travail'!$AT$3+1,FALSE)-3200),0)</f>
        <v>0</v>
      </c>
      <c r="Z49" s="672" t="str">
        <f t="shared" si="18"/>
        <v/>
      </c>
      <c r="AA49" s="671">
        <f t="shared" si="19"/>
        <v>0</v>
      </c>
      <c r="AB49" s="677" t="str">
        <f t="shared" si="20"/>
        <v>ع/ك()</v>
      </c>
      <c r="AC49" s="678">
        <f t="shared" si="32"/>
        <v>0</v>
      </c>
      <c r="AD49" s="673">
        <f t="shared" si="1"/>
        <v>0</v>
      </c>
      <c r="AE49" s="678">
        <f t="shared" si="2"/>
        <v>0</v>
      </c>
      <c r="AF49" s="678">
        <f t="shared" si="3"/>
        <v>20385</v>
      </c>
      <c r="AG49" s="678">
        <f t="shared" si="4"/>
        <v>1035</v>
      </c>
      <c r="AH49" s="673">
        <f t="shared" si="22"/>
        <v>0</v>
      </c>
      <c r="AI49" s="674">
        <f>IF(G49="مدير ولائي",(11000*35%),LOOKUP(D49,'f-travail'!A:A,'f-travail'!I:I))</f>
        <v>1372</v>
      </c>
      <c r="AJ49" s="673">
        <f>IF(G49="مدير ولائي",((W49+X49)*45)*80%,IF(V49&lt;8,0,IF(F49="إليزي",(LOOKUP(D49,'f-travail'!A:A,'f-travail'!O:O))*(AF49+AG49),LOOKUP(D49,'f-travail'!A:A,'f-travail'!P:P)*(AF49+AG49))))</f>
        <v>7497</v>
      </c>
      <c r="AK49" s="673">
        <f>IF(G49="مدير ولائي",0,LOOKUP(D49,'f-travail'!A:A,'f-travail'!Q:Q))</f>
        <v>3100</v>
      </c>
      <c r="AL49" s="673">
        <f>IF(G49="مدير ولائي",0,LOOKUP(D49,'f-travail'!A:A,'f-travail'!R:R)*(AF49+AG49))</f>
        <v>5355</v>
      </c>
      <c r="AM49" s="673">
        <f>IF(G49="مدير ولائي",0,LOOKUP(D49,'f-travail'!A:A,'f-travail'!S:S)*(AF49+AG49))</f>
        <v>0</v>
      </c>
      <c r="AN49" s="673">
        <f>IF(G49="مدير ولائي",0,LOOKUP(D49,'f-travail'!A:A,'f-travail'!T:T)*(AF49+AG49))</f>
        <v>0</v>
      </c>
      <c r="AO49" s="673">
        <f>IF(G49="مدير ولائي",0,LOOKUP(D49,'f-travail'!A:A,'f-travail'!U:U)*(AF49+AG49))</f>
        <v>0</v>
      </c>
      <c r="AP49" s="673">
        <f>IF(G49="مدير ولائي",0,LOOKUP(D49,'f-travail'!A:A,'f-travail'!V:V)*(AF49+AG49))</f>
        <v>0</v>
      </c>
      <c r="AQ49" s="673">
        <f>IF(G49="مدير ولائي",0,LOOKUP(D49,'f-travail'!A:A,'f-travail'!W:W)*(AF49+AG49))</f>
        <v>0</v>
      </c>
      <c r="AR49" s="673">
        <f t="shared" si="23"/>
        <v>0</v>
      </c>
      <c r="AS49" s="673">
        <f>IF(G49="مدير ولائي",0,LOOKUP(D49,'f-travail'!A:A,'f-travail'!X:X)*(AF49+AG49))</f>
        <v>2142</v>
      </c>
      <c r="AT49" s="673">
        <f>IF(G49="مدير ولائي",0,LOOKUP(D49,'f-travail'!Y:Y,'f-travail'!R:R)*(AF49+AG49))</f>
        <v>0</v>
      </c>
      <c r="AU49" s="673">
        <f t="shared" si="5"/>
        <v>0</v>
      </c>
      <c r="AV49" s="673">
        <f t="shared" si="6"/>
        <v>0</v>
      </c>
      <c r="AW49" s="673">
        <f t="shared" si="7"/>
        <v>0</v>
      </c>
      <c r="AX49" s="637" t="str">
        <f t="shared" si="33"/>
        <v>سييييييييصثقثصقثصقصث</v>
      </c>
      <c r="AY49" s="640" t="str">
        <f t="shared" si="9"/>
        <v xml:space="preserve"> ب 10 - د 1</v>
      </c>
      <c r="AZ49" s="673">
        <f t="shared" si="10"/>
        <v>21420</v>
      </c>
      <c r="BA49" s="639">
        <f t="shared" si="11"/>
        <v>40886</v>
      </c>
      <c r="BB49" s="639">
        <f t="shared" si="34"/>
        <v>5355</v>
      </c>
      <c r="BC49" s="639">
        <f t="shared" si="13"/>
        <v>0</v>
      </c>
      <c r="BD49" s="639">
        <f t="shared" si="14"/>
        <v>3100</v>
      </c>
      <c r="BE49" s="639">
        <f t="shared" si="35"/>
        <v>0</v>
      </c>
      <c r="BF49" s="639">
        <f t="shared" si="36"/>
        <v>2142</v>
      </c>
      <c r="BG49" s="639">
        <f t="shared" si="24"/>
        <v>0</v>
      </c>
      <c r="BH49" s="683">
        <f t="shared" si="25"/>
        <v>0</v>
      </c>
      <c r="BI49" s="683">
        <f t="shared" si="26"/>
        <v>0</v>
      </c>
      <c r="BJ49" s="641">
        <f t="shared" si="27"/>
        <v>40886</v>
      </c>
      <c r="BK49" s="641">
        <f t="shared" si="28"/>
        <v>3679.74</v>
      </c>
      <c r="BL49" s="641">
        <f t="shared" si="29"/>
        <v>35834.26</v>
      </c>
      <c r="BM49" s="684">
        <f t="shared" si="30"/>
        <v>2125.14</v>
      </c>
      <c r="BN49" s="638" t="s">
        <v>852</v>
      </c>
      <c r="BO49" s="682" t="str">
        <f>CONCATENATE(Z49," ",LOOKUP(D49,'f-travail'!A:A,'f-travail'!F:F))</f>
        <v xml:space="preserve"> ب 10</v>
      </c>
      <c r="BP49" s="669" t="str">
        <f t="shared" si="17"/>
        <v xml:space="preserve"> ملحق رئيسي للإدارة</v>
      </c>
    </row>
    <row r="50" spans="1:68">
      <c r="A50" s="636">
        <f t="shared" si="31"/>
        <v>49</v>
      </c>
      <c r="B50" s="637" t="s">
        <v>872</v>
      </c>
      <c r="C50" s="637" t="s">
        <v>878</v>
      </c>
      <c r="D50" s="652">
        <v>43</v>
      </c>
      <c r="E50" s="679" t="str">
        <f>LOOKUP(D50,'f-travail'!A:A,'f-travail'!B:B)</f>
        <v>سائق سيارة من الصنف الأول</v>
      </c>
      <c r="F50" s="650" t="s">
        <v>539</v>
      </c>
      <c r="G50" s="650" t="s">
        <v>386</v>
      </c>
      <c r="H50" s="653">
        <v>1</v>
      </c>
      <c r="I50" s="653"/>
      <c r="J50" s="654" t="s">
        <v>542</v>
      </c>
      <c r="K50" s="650">
        <v>2</v>
      </c>
      <c r="L50" s="650"/>
      <c r="M50" s="650">
        <v>1</v>
      </c>
      <c r="N50" s="654"/>
      <c r="O50" s="654"/>
      <c r="P50" s="654"/>
      <c r="Q50" s="654"/>
      <c r="R50" s="676">
        <v>11111111111</v>
      </c>
      <c r="S50" s="654" t="s">
        <v>562</v>
      </c>
      <c r="T50" s="675"/>
      <c r="U50" s="675"/>
      <c r="V50" s="670">
        <f>LOOKUP(D50,'f-travail'!A:A,'f-travail'!E:E)</f>
        <v>3</v>
      </c>
      <c r="W50" s="670">
        <f>VLOOKUP(V50,جرقمإستدلالي,'f-travail'!$AD$4+1,FALSE)</f>
        <v>240</v>
      </c>
      <c r="X50" s="671">
        <f t="shared" si="0"/>
        <v>12</v>
      </c>
      <c r="Y50" s="671">
        <f>IF(G50="مدير ولائي",(HLOOKUP(I50,جدروظعليا,'f-travail'!$AT$3+1,FALSE)-3200),0)</f>
        <v>0</v>
      </c>
      <c r="Z50" s="672" t="str">
        <f t="shared" si="18"/>
        <v>م3</v>
      </c>
      <c r="AA50" s="671">
        <f t="shared" si="19"/>
        <v>45</v>
      </c>
      <c r="AB50" s="677" t="str">
        <f t="shared" si="20"/>
        <v>م(2)</v>
      </c>
      <c r="AC50" s="678">
        <f t="shared" si="32"/>
        <v>800</v>
      </c>
      <c r="AD50" s="673">
        <f t="shared" si="1"/>
        <v>0</v>
      </c>
      <c r="AE50" s="678">
        <f t="shared" si="2"/>
        <v>1400</v>
      </c>
      <c r="AF50" s="678">
        <f t="shared" si="3"/>
        <v>10800</v>
      </c>
      <c r="AG50" s="678">
        <f t="shared" si="4"/>
        <v>540</v>
      </c>
      <c r="AH50" s="673">
        <f t="shared" si="22"/>
        <v>2000</v>
      </c>
      <c r="AI50" s="674">
        <f>IF(G50="مدير ولائي",(11000*35%),LOOKUP(D50,'f-travail'!A:A,'f-travail'!I:I))</f>
        <v>997.5</v>
      </c>
      <c r="AJ50" s="673">
        <f>IF(G50="مدير ولائي",((W50+X50)*45)*80%,IF(V50&lt;8,0,IF(F50="إليزي",(LOOKUP(D50,'f-travail'!A:A,'f-travail'!O:O))*(AF50+AG50),LOOKUP(D50,'f-travail'!A:A,'f-travail'!P:P)*(AF50+AG50))))</f>
        <v>0</v>
      </c>
      <c r="AK50" s="673">
        <f>IF(G50="مدير ولائي",0,LOOKUP(D50,'f-travail'!A:A,'f-travail'!Q:Q))</f>
        <v>6900</v>
      </c>
      <c r="AL50" s="673">
        <f>IF(G50="مدير ولائي",0,LOOKUP(D50,'f-travail'!A:A,'f-travail'!R:R)*(AF50+AG50))</f>
        <v>0</v>
      </c>
      <c r="AM50" s="673">
        <f>IF(G50="مدير ولائي",0,LOOKUP(D50,'f-travail'!A:A,'f-travail'!S:S)*(AF50+AG50))</f>
        <v>0</v>
      </c>
      <c r="AN50" s="673">
        <f>IF(G50="مدير ولائي",0,LOOKUP(D50,'f-travail'!A:A,'f-travail'!T:T)*(AF50+AG50))</f>
        <v>0</v>
      </c>
      <c r="AO50" s="673">
        <f>IF(G50="مدير ولائي",0,LOOKUP(D50,'f-travail'!A:A,'f-travail'!U:U)*(AF50+AG50))</f>
        <v>2835</v>
      </c>
      <c r="AP50" s="673">
        <f>IF(G50="مدير ولائي",0,LOOKUP(D50,'f-travail'!A:A,'f-travail'!V:V)*(AF50+AG50))</f>
        <v>0</v>
      </c>
      <c r="AQ50" s="673">
        <f>IF(G50="مدير ولائي",0,LOOKUP(D50,'f-travail'!A:A,'f-travail'!W:W)*(AF50+AG50))</f>
        <v>0</v>
      </c>
      <c r="AR50" s="673">
        <f t="shared" si="23"/>
        <v>0</v>
      </c>
      <c r="AS50" s="673">
        <f>IF(G50="مدير ولائي",0,LOOKUP(D50,'f-travail'!A:A,'f-travail'!X:X)*(AF50+AG50))</f>
        <v>1134</v>
      </c>
      <c r="AT50" s="673">
        <f>IF(G50="مدير ولائي",0,LOOKUP(D50,'f-travail'!Y:Y,'f-travail'!R:R)*(AF50+AG50))</f>
        <v>0</v>
      </c>
      <c r="AU50" s="673">
        <f t="shared" si="5"/>
        <v>0</v>
      </c>
      <c r="AV50" s="673">
        <f t="shared" si="6"/>
        <v>0</v>
      </c>
      <c r="AW50" s="673">
        <f t="shared" si="7"/>
        <v>0</v>
      </c>
      <c r="AX50" s="637" t="str">
        <f t="shared" si="33"/>
        <v>ليسليسليسللللللللل</v>
      </c>
      <c r="AY50" s="640" t="str">
        <f t="shared" si="9"/>
        <v>م3 د 3 - د 1</v>
      </c>
      <c r="AZ50" s="673">
        <f t="shared" si="10"/>
        <v>13365</v>
      </c>
      <c r="BA50" s="639">
        <f t="shared" si="11"/>
        <v>28631.5</v>
      </c>
      <c r="BB50" s="639">
        <f t="shared" si="34"/>
        <v>2835</v>
      </c>
      <c r="BC50" s="639">
        <f t="shared" si="13"/>
        <v>0</v>
      </c>
      <c r="BD50" s="639">
        <f t="shared" si="14"/>
        <v>6900</v>
      </c>
      <c r="BE50" s="639">
        <f t="shared" si="35"/>
        <v>2000</v>
      </c>
      <c r="BF50" s="639">
        <f t="shared" si="36"/>
        <v>1134</v>
      </c>
      <c r="BG50" s="639">
        <f t="shared" si="24"/>
        <v>0</v>
      </c>
      <c r="BH50" s="683">
        <f t="shared" si="25"/>
        <v>0</v>
      </c>
      <c r="BI50" s="683">
        <f t="shared" si="26"/>
        <v>0</v>
      </c>
      <c r="BJ50" s="641">
        <f t="shared" si="27"/>
        <v>27231.5</v>
      </c>
      <c r="BK50" s="641">
        <f t="shared" si="28"/>
        <v>2450.84</v>
      </c>
      <c r="BL50" s="641">
        <f t="shared" si="29"/>
        <v>23183.16</v>
      </c>
      <c r="BM50" s="684">
        <f t="shared" si="30"/>
        <v>790.99</v>
      </c>
      <c r="BN50" s="638" t="s">
        <v>853</v>
      </c>
      <c r="BO50" s="682" t="str">
        <f>CONCATENATE(Z50," ",LOOKUP(D50,'f-travail'!A:A,'f-travail'!F:F))</f>
        <v>م3 د 3</v>
      </c>
      <c r="BP50" s="669" t="str">
        <f t="shared" si="17"/>
        <v>رئيس حضيرة (سائق سيارة من الصنف الأول)</v>
      </c>
    </row>
    <row r="51" spans="1:68">
      <c r="A51" s="636">
        <f t="shared" si="31"/>
        <v>50</v>
      </c>
      <c r="B51" s="637"/>
      <c r="C51" s="637"/>
      <c r="D51" s="652"/>
      <c r="E51" s="679" t="e">
        <f>LOOKUP(D51,'f-travail'!A:A,'f-travail'!B:B)</f>
        <v>#N/A</v>
      </c>
      <c r="F51" s="650"/>
      <c r="G51" s="650"/>
      <c r="H51" s="653"/>
      <c r="I51" s="653"/>
      <c r="J51" s="654"/>
      <c r="K51" s="650"/>
      <c r="L51" s="650"/>
      <c r="M51" s="650">
        <v>0</v>
      </c>
      <c r="N51" s="654"/>
      <c r="O51" s="654"/>
      <c r="P51" s="654"/>
      <c r="Q51" s="654"/>
      <c r="R51" s="676"/>
      <c r="S51" s="654"/>
      <c r="T51" s="675"/>
      <c r="U51" s="675"/>
      <c r="V51" s="670" t="e">
        <f>LOOKUP(D51,'f-travail'!A:A,'f-travail'!E:E)</f>
        <v>#N/A</v>
      </c>
      <c r="W51" s="670" t="e">
        <f>VLOOKUP(V51,جرقمإستدلالي,'f-travail'!$AD$4+1,FALSE)</f>
        <v>#N/A</v>
      </c>
      <c r="X51" s="671" t="e">
        <f t="shared" si="0"/>
        <v>#N/A</v>
      </c>
      <c r="Y51" s="671">
        <f>IF(G51="مدير ولائي",(HLOOKUP(I51,جدروظعليا,'f-travail'!$AT$3+1,FALSE)-3200),0)</f>
        <v>0</v>
      </c>
      <c r="Z51" s="672" t="str">
        <f t="shared" si="18"/>
        <v/>
      </c>
      <c r="AA51" s="671">
        <f t="shared" si="19"/>
        <v>0</v>
      </c>
      <c r="AB51" s="677" t="b">
        <f t="shared" si="20"/>
        <v>0</v>
      </c>
      <c r="AC51" s="678">
        <f t="shared" si="32"/>
        <v>0</v>
      </c>
      <c r="AD51" s="673">
        <f t="shared" si="1"/>
        <v>0</v>
      </c>
      <c r="AE51" s="678">
        <f t="shared" si="2"/>
        <v>0</v>
      </c>
      <c r="AF51" s="678" t="e">
        <f t="shared" si="3"/>
        <v>#N/A</v>
      </c>
      <c r="AG51" s="678" t="e">
        <f t="shared" si="4"/>
        <v>#N/A</v>
      </c>
      <c r="AH51" s="673">
        <f t="shared" si="22"/>
        <v>0</v>
      </c>
      <c r="AI51" s="674" t="e">
        <f>IF(G51="مدير ولائي",(11000*35%),LOOKUP(D51,'f-travail'!A:A,'f-travail'!I:I))</f>
        <v>#N/A</v>
      </c>
      <c r="AJ51" s="673" t="e">
        <f>IF(G51="مدير ولائي",((W51+X51)*45)*80%,IF(V51&lt;8,0,IF(F51="إليزي",(LOOKUP(D51,'f-travail'!A:A,'f-travail'!O:O))*(AF51+AG51),LOOKUP(D51,'f-travail'!A:A,'f-travail'!P:P)*(AF51+AG51))))</f>
        <v>#N/A</v>
      </c>
      <c r="AK51" s="673" t="e">
        <f>IF(G51="مدير ولائي",0,LOOKUP(D51,'f-travail'!A:A,'f-travail'!Q:Q))</f>
        <v>#N/A</v>
      </c>
      <c r="AL51" s="673" t="e">
        <f>IF(G51="مدير ولائي",0,LOOKUP(D51,'f-travail'!A:A,'f-travail'!R:R)*(AF51+AG51))</f>
        <v>#N/A</v>
      </c>
      <c r="AM51" s="673" t="e">
        <f>IF(G51="مدير ولائي",0,LOOKUP(D51,'f-travail'!A:A,'f-travail'!S:S)*(AF51+AG51))</f>
        <v>#N/A</v>
      </c>
      <c r="AN51" s="673" t="e">
        <f>IF(G51="مدير ولائي",0,LOOKUP(D51,'f-travail'!A:A,'f-travail'!T:T)*(AF51+AG51))</f>
        <v>#N/A</v>
      </c>
      <c r="AO51" s="673" t="e">
        <f>IF(G51="مدير ولائي",0,LOOKUP(D51,'f-travail'!A:A,'f-travail'!U:U)*(AF51+AG51))</f>
        <v>#N/A</v>
      </c>
      <c r="AP51" s="673" t="e">
        <f>IF(G51="مدير ولائي",0,LOOKUP(D51,'f-travail'!A:A,'f-travail'!V:V)*(AF51+AG51))</f>
        <v>#N/A</v>
      </c>
      <c r="AQ51" s="673" t="e">
        <f>IF(G51="مدير ولائي",0,LOOKUP(D51,'f-travail'!A:A,'f-travail'!W:W)*(AF51+AG51))</f>
        <v>#N/A</v>
      </c>
      <c r="AR51" s="673">
        <f t="shared" si="23"/>
        <v>0</v>
      </c>
      <c r="AS51" s="673" t="e">
        <f>IF(G51="مدير ولائي",0,LOOKUP(D51,'f-travail'!A:A,'f-travail'!X:X)*(AF51+AG51))</f>
        <v>#N/A</v>
      </c>
      <c r="AT51" s="673" t="e">
        <f>IF(G51="مدير ولائي",0,LOOKUP(D51,'f-travail'!Y:Y,'f-travail'!R:R)*(AF51+AG51))</f>
        <v>#N/A</v>
      </c>
      <c r="AU51" s="673">
        <f t="shared" si="5"/>
        <v>0</v>
      </c>
      <c r="AV51" s="673">
        <f t="shared" si="6"/>
        <v>0</v>
      </c>
      <c r="AW51" s="673">
        <f t="shared" si="7"/>
        <v>0</v>
      </c>
      <c r="AX51" s="637" t="str">
        <f t="shared" si="33"/>
        <v/>
      </c>
      <c r="AY51" s="640" t="e">
        <f t="shared" si="9"/>
        <v>#N/A</v>
      </c>
      <c r="AZ51" s="673" t="e">
        <f t="shared" si="10"/>
        <v>#N/A</v>
      </c>
      <c r="BA51" s="639" t="e">
        <f t="shared" si="11"/>
        <v>#N/A</v>
      </c>
      <c r="BB51" s="639" t="e">
        <f t="shared" si="34"/>
        <v>#N/A</v>
      </c>
      <c r="BC51" s="639">
        <f t="shared" si="13"/>
        <v>0</v>
      </c>
      <c r="BD51" s="639" t="e">
        <f t="shared" si="14"/>
        <v>#N/A</v>
      </c>
      <c r="BE51" s="639">
        <f t="shared" si="35"/>
        <v>0</v>
      </c>
      <c r="BF51" s="639" t="e">
        <f t="shared" si="36"/>
        <v>#N/A</v>
      </c>
      <c r="BG51" s="639">
        <f t="shared" si="24"/>
        <v>0</v>
      </c>
      <c r="BH51" s="683">
        <f t="shared" si="25"/>
        <v>0</v>
      </c>
      <c r="BI51" s="683">
        <f t="shared" si="26"/>
        <v>0</v>
      </c>
      <c r="BJ51" s="641" t="e">
        <f t="shared" si="27"/>
        <v>#N/A</v>
      </c>
      <c r="BK51" s="641" t="e">
        <f t="shared" si="28"/>
        <v>#N/A</v>
      </c>
      <c r="BL51" s="641" t="e">
        <f t="shared" si="29"/>
        <v>#N/A</v>
      </c>
      <c r="BM51" s="684" t="e">
        <f t="shared" si="30"/>
        <v>#N/A</v>
      </c>
      <c r="BN51" s="638" t="s">
        <v>854</v>
      </c>
      <c r="BO51" s="682" t="e">
        <f>CONCATENATE(Z51," ",LOOKUP(D51,'f-travail'!A:A,'f-travail'!F:F))</f>
        <v>#N/A</v>
      </c>
      <c r="BP51" s="669" t="e">
        <f t="shared" si="17"/>
        <v>#N/A</v>
      </c>
    </row>
    <row r="52" spans="1:68">
      <c r="A52" s="636">
        <f t="shared" si="31"/>
        <v>51</v>
      </c>
      <c r="B52" s="637"/>
      <c r="C52" s="637"/>
      <c r="D52" s="652"/>
      <c r="E52" s="679" t="e">
        <f>LOOKUP(D52,'f-travail'!A:A,'f-travail'!B:B)</f>
        <v>#N/A</v>
      </c>
      <c r="F52" s="650"/>
      <c r="G52" s="650"/>
      <c r="H52" s="653"/>
      <c r="I52" s="653"/>
      <c r="J52" s="654"/>
      <c r="K52" s="650"/>
      <c r="L52" s="650"/>
      <c r="M52" s="650">
        <v>0</v>
      </c>
      <c r="N52" s="654"/>
      <c r="O52" s="654"/>
      <c r="P52" s="654"/>
      <c r="Q52" s="654"/>
      <c r="R52" s="676"/>
      <c r="S52" s="654"/>
      <c r="T52" s="675"/>
      <c r="U52" s="675"/>
      <c r="V52" s="670" t="e">
        <f>LOOKUP(D52,'f-travail'!A:A,'f-travail'!E:E)</f>
        <v>#N/A</v>
      </c>
      <c r="W52" s="670" t="e">
        <f>VLOOKUP(V52,جرقمإستدلالي,'f-travail'!$AD$4+1,FALSE)</f>
        <v>#N/A</v>
      </c>
      <c r="X52" s="671" t="e">
        <f t="shared" si="0"/>
        <v>#N/A</v>
      </c>
      <c r="Y52" s="671">
        <f>IF(G52="مدير ولائي",(HLOOKUP(I52,جدروظعليا,'f-travail'!$AT$3+1,FALSE)-3200),0)</f>
        <v>0</v>
      </c>
      <c r="Z52" s="672" t="str">
        <f t="shared" si="18"/>
        <v/>
      </c>
      <c r="AA52" s="671">
        <f t="shared" si="19"/>
        <v>0</v>
      </c>
      <c r="AB52" s="677" t="b">
        <f t="shared" si="20"/>
        <v>0</v>
      </c>
      <c r="AC52" s="678">
        <f t="shared" si="32"/>
        <v>0</v>
      </c>
      <c r="AD52" s="673">
        <f t="shared" si="1"/>
        <v>0</v>
      </c>
      <c r="AE52" s="678">
        <f t="shared" si="2"/>
        <v>0</v>
      </c>
      <c r="AF52" s="678" t="e">
        <f t="shared" si="3"/>
        <v>#N/A</v>
      </c>
      <c r="AG52" s="678" t="e">
        <f t="shared" si="4"/>
        <v>#N/A</v>
      </c>
      <c r="AH52" s="673">
        <f t="shared" si="22"/>
        <v>0</v>
      </c>
      <c r="AI52" s="674" t="e">
        <f>IF(G52="مدير ولائي",(11000*35%),LOOKUP(D52,'f-travail'!A:A,'f-travail'!I:I))</f>
        <v>#N/A</v>
      </c>
      <c r="AJ52" s="673" t="e">
        <f>IF(G52="مدير ولائي",((W52+X52)*45)*80%,IF(V52&lt;8,0,IF(F52="إليزي",(LOOKUP(D52,'f-travail'!A:A,'f-travail'!O:O))*(AF52+AG52),LOOKUP(D52,'f-travail'!A:A,'f-travail'!P:P)*(AF52+AG52))))</f>
        <v>#N/A</v>
      </c>
      <c r="AK52" s="673" t="e">
        <f>IF(G52="مدير ولائي",0,LOOKUP(D52,'f-travail'!A:A,'f-travail'!Q:Q))</f>
        <v>#N/A</v>
      </c>
      <c r="AL52" s="673" t="e">
        <f>IF(G52="مدير ولائي",0,LOOKUP(D52,'f-travail'!A:A,'f-travail'!R:R)*(AF52+AG52))</f>
        <v>#N/A</v>
      </c>
      <c r="AM52" s="673" t="e">
        <f>IF(G52="مدير ولائي",0,LOOKUP(D52,'f-travail'!A:A,'f-travail'!S:S)*(AF52+AG52))</f>
        <v>#N/A</v>
      </c>
      <c r="AN52" s="673" t="e">
        <f>IF(G52="مدير ولائي",0,LOOKUP(D52,'f-travail'!A:A,'f-travail'!T:T)*(AF52+AG52))</f>
        <v>#N/A</v>
      </c>
      <c r="AO52" s="673" t="e">
        <f>IF(G52="مدير ولائي",0,LOOKUP(D52,'f-travail'!A:A,'f-travail'!U:U)*(AF52+AG52))</f>
        <v>#N/A</v>
      </c>
      <c r="AP52" s="673" t="e">
        <f>IF(G52="مدير ولائي",0,LOOKUP(D52,'f-travail'!A:A,'f-travail'!V:V)*(AF52+AG52))</f>
        <v>#N/A</v>
      </c>
      <c r="AQ52" s="673" t="e">
        <f>IF(G52="مدير ولائي",0,LOOKUP(D52,'f-travail'!A:A,'f-travail'!W:W)*(AF52+AG52))</f>
        <v>#N/A</v>
      </c>
      <c r="AR52" s="673">
        <f t="shared" si="23"/>
        <v>0</v>
      </c>
      <c r="AS52" s="673" t="e">
        <f>IF(G52="مدير ولائي",0,LOOKUP(D52,'f-travail'!A:A,'f-travail'!X:X)*(AF52+AG52))</f>
        <v>#N/A</v>
      </c>
      <c r="AT52" s="673" t="e">
        <f>IF(G52="مدير ولائي",0,LOOKUP(D52,'f-travail'!Y:Y,'f-travail'!R:R)*(AF52+AG52))</f>
        <v>#N/A</v>
      </c>
      <c r="AU52" s="673">
        <f t="shared" si="5"/>
        <v>0</v>
      </c>
      <c r="AV52" s="673">
        <f t="shared" si="6"/>
        <v>0</v>
      </c>
      <c r="AW52" s="673">
        <f t="shared" si="7"/>
        <v>0</v>
      </c>
      <c r="AX52" s="637" t="str">
        <f t="shared" si="33"/>
        <v/>
      </c>
      <c r="AY52" s="640" t="e">
        <f t="shared" si="9"/>
        <v>#N/A</v>
      </c>
      <c r="AZ52" s="673" t="e">
        <f t="shared" si="10"/>
        <v>#N/A</v>
      </c>
      <c r="BA52" s="639" t="e">
        <f t="shared" si="11"/>
        <v>#N/A</v>
      </c>
      <c r="BB52" s="639" t="e">
        <f t="shared" si="34"/>
        <v>#N/A</v>
      </c>
      <c r="BC52" s="639">
        <f t="shared" si="13"/>
        <v>0</v>
      </c>
      <c r="BD52" s="639" t="e">
        <f t="shared" si="14"/>
        <v>#N/A</v>
      </c>
      <c r="BE52" s="639">
        <f t="shared" si="35"/>
        <v>0</v>
      </c>
      <c r="BF52" s="639" t="e">
        <f t="shared" si="36"/>
        <v>#N/A</v>
      </c>
      <c r="BG52" s="639">
        <f t="shared" si="24"/>
        <v>0</v>
      </c>
      <c r="BH52" s="683">
        <f t="shared" si="25"/>
        <v>0</v>
      </c>
      <c r="BI52" s="683">
        <f t="shared" si="26"/>
        <v>0</v>
      </c>
      <c r="BJ52" s="641" t="e">
        <f t="shared" si="27"/>
        <v>#N/A</v>
      </c>
      <c r="BK52" s="641" t="e">
        <f t="shared" si="28"/>
        <v>#N/A</v>
      </c>
      <c r="BL52" s="641" t="e">
        <f t="shared" si="29"/>
        <v>#N/A</v>
      </c>
      <c r="BM52" s="684" t="e">
        <f t="shared" si="30"/>
        <v>#N/A</v>
      </c>
      <c r="BN52" s="638" t="s">
        <v>855</v>
      </c>
      <c r="BO52" s="682" t="e">
        <f>CONCATENATE(Z52," ",LOOKUP(D52,'f-travail'!A:A,'f-travail'!F:F))</f>
        <v>#N/A</v>
      </c>
      <c r="BP52" s="669" t="e">
        <f t="shared" si="17"/>
        <v>#N/A</v>
      </c>
    </row>
    <row r="53" spans="1:68">
      <c r="A53" s="636">
        <f t="shared" si="31"/>
        <v>52</v>
      </c>
      <c r="B53" s="637"/>
      <c r="C53" s="637"/>
      <c r="D53" s="652"/>
      <c r="E53" s="679" t="e">
        <f>LOOKUP(D53,'f-travail'!A:A,'f-travail'!B:B)</f>
        <v>#N/A</v>
      </c>
      <c r="F53" s="650"/>
      <c r="G53" s="650"/>
      <c r="H53" s="653"/>
      <c r="I53" s="653"/>
      <c r="J53" s="654"/>
      <c r="K53" s="650"/>
      <c r="L53" s="650"/>
      <c r="M53" s="650">
        <v>0</v>
      </c>
      <c r="N53" s="654"/>
      <c r="O53" s="654"/>
      <c r="P53" s="654"/>
      <c r="Q53" s="654"/>
      <c r="R53" s="676"/>
      <c r="S53" s="654"/>
      <c r="T53" s="675"/>
      <c r="U53" s="675"/>
      <c r="V53" s="670" t="e">
        <f>LOOKUP(D53,'f-travail'!A:A,'f-travail'!E:E)</f>
        <v>#N/A</v>
      </c>
      <c r="W53" s="670" t="e">
        <f>VLOOKUP(V53,جرقمإستدلالي,'f-travail'!$AD$4+1,FALSE)</f>
        <v>#N/A</v>
      </c>
      <c r="X53" s="671" t="e">
        <f t="shared" si="0"/>
        <v>#N/A</v>
      </c>
      <c r="Y53" s="671">
        <f>IF(G53="مدير ولائي",(HLOOKUP(I53,جدروظعليا,'f-travail'!$AT$3+1,FALSE)-3200),0)</f>
        <v>0</v>
      </c>
      <c r="Z53" s="672" t="str">
        <f t="shared" si="18"/>
        <v/>
      </c>
      <c r="AA53" s="671">
        <f t="shared" si="19"/>
        <v>0</v>
      </c>
      <c r="AB53" s="677" t="b">
        <f t="shared" si="20"/>
        <v>0</v>
      </c>
      <c r="AC53" s="678">
        <f t="shared" si="32"/>
        <v>0</v>
      </c>
      <c r="AD53" s="673">
        <f t="shared" si="1"/>
        <v>0</v>
      </c>
      <c r="AE53" s="678">
        <f t="shared" si="2"/>
        <v>0</v>
      </c>
      <c r="AF53" s="678" t="e">
        <f t="shared" si="3"/>
        <v>#N/A</v>
      </c>
      <c r="AG53" s="678" t="e">
        <f t="shared" si="4"/>
        <v>#N/A</v>
      </c>
      <c r="AH53" s="673">
        <f t="shared" si="22"/>
        <v>0</v>
      </c>
      <c r="AI53" s="674" t="e">
        <f>IF(G53="مدير ولائي",(11000*35%),LOOKUP(D53,'f-travail'!A:A,'f-travail'!I:I))</f>
        <v>#N/A</v>
      </c>
      <c r="AJ53" s="673" t="e">
        <f>IF(G53="مدير ولائي",((W53+X53)*45)*80%,IF(V53&lt;8,0,IF(F53="إليزي",(LOOKUP(D53,'f-travail'!A:A,'f-travail'!O:O))*(AF53+AG53),LOOKUP(D53,'f-travail'!A:A,'f-travail'!P:P)*(AF53+AG53))))</f>
        <v>#N/A</v>
      </c>
      <c r="AK53" s="673" t="e">
        <f>IF(G53="مدير ولائي",0,LOOKUP(D53,'f-travail'!A:A,'f-travail'!Q:Q))</f>
        <v>#N/A</v>
      </c>
      <c r="AL53" s="673" t="e">
        <f>IF(G53="مدير ولائي",0,LOOKUP(D53,'f-travail'!A:A,'f-travail'!R:R)*(AF53+AG53))</f>
        <v>#N/A</v>
      </c>
      <c r="AM53" s="673" t="e">
        <f>IF(G53="مدير ولائي",0,LOOKUP(D53,'f-travail'!A:A,'f-travail'!S:S)*(AF53+AG53))</f>
        <v>#N/A</v>
      </c>
      <c r="AN53" s="673" t="e">
        <f>IF(G53="مدير ولائي",0,LOOKUP(D53,'f-travail'!A:A,'f-travail'!T:T)*(AF53+AG53))</f>
        <v>#N/A</v>
      </c>
      <c r="AO53" s="673" t="e">
        <f>IF(G53="مدير ولائي",0,LOOKUP(D53,'f-travail'!A:A,'f-travail'!U:U)*(AF53+AG53))</f>
        <v>#N/A</v>
      </c>
      <c r="AP53" s="673" t="e">
        <f>IF(G53="مدير ولائي",0,LOOKUP(D53,'f-travail'!A:A,'f-travail'!V:V)*(AF53+AG53))</f>
        <v>#N/A</v>
      </c>
      <c r="AQ53" s="673" t="e">
        <f>IF(G53="مدير ولائي",0,LOOKUP(D53,'f-travail'!A:A,'f-travail'!W:W)*(AF53+AG53))</f>
        <v>#N/A</v>
      </c>
      <c r="AR53" s="673">
        <f t="shared" si="23"/>
        <v>0</v>
      </c>
      <c r="AS53" s="673" t="e">
        <f>IF(G53="مدير ولائي",0,LOOKUP(D53,'f-travail'!A:A,'f-travail'!X:X)*(AF53+AG53))</f>
        <v>#N/A</v>
      </c>
      <c r="AT53" s="673" t="e">
        <f>IF(G53="مدير ولائي",0,LOOKUP(D53,'f-travail'!Y:Y,'f-travail'!R:R)*(AF53+AG53))</f>
        <v>#N/A</v>
      </c>
      <c r="AU53" s="673">
        <f t="shared" si="5"/>
        <v>0</v>
      </c>
      <c r="AV53" s="673">
        <f t="shared" si="6"/>
        <v>0</v>
      </c>
      <c r="AW53" s="673">
        <f t="shared" si="7"/>
        <v>0</v>
      </c>
      <c r="AX53" s="637" t="str">
        <f t="shared" si="33"/>
        <v/>
      </c>
      <c r="AY53" s="640" t="e">
        <f t="shared" si="9"/>
        <v>#N/A</v>
      </c>
      <c r="AZ53" s="673" t="e">
        <f t="shared" si="10"/>
        <v>#N/A</v>
      </c>
      <c r="BA53" s="639" t="e">
        <f t="shared" si="11"/>
        <v>#N/A</v>
      </c>
      <c r="BB53" s="639" t="e">
        <f t="shared" si="34"/>
        <v>#N/A</v>
      </c>
      <c r="BC53" s="639">
        <f t="shared" si="13"/>
        <v>0</v>
      </c>
      <c r="BD53" s="639" t="e">
        <f t="shared" si="14"/>
        <v>#N/A</v>
      </c>
      <c r="BE53" s="639">
        <f t="shared" si="35"/>
        <v>0</v>
      </c>
      <c r="BF53" s="639" t="e">
        <f t="shared" si="36"/>
        <v>#N/A</v>
      </c>
      <c r="BG53" s="639">
        <f t="shared" si="24"/>
        <v>0</v>
      </c>
      <c r="BH53" s="683">
        <f t="shared" si="25"/>
        <v>0</v>
      </c>
      <c r="BI53" s="683">
        <f t="shared" si="26"/>
        <v>0</v>
      </c>
      <c r="BJ53" s="641" t="e">
        <f t="shared" si="27"/>
        <v>#N/A</v>
      </c>
      <c r="BK53" s="641" t="e">
        <f t="shared" si="28"/>
        <v>#N/A</v>
      </c>
      <c r="BL53" s="641" t="e">
        <f t="shared" si="29"/>
        <v>#N/A</v>
      </c>
      <c r="BM53" s="684" t="e">
        <f t="shared" si="30"/>
        <v>#N/A</v>
      </c>
      <c r="BN53" s="638" t="s">
        <v>856</v>
      </c>
      <c r="BO53" s="682" t="e">
        <f>CONCATENATE(Z53," ",LOOKUP(D53,'f-travail'!A:A,'f-travail'!F:F))</f>
        <v>#N/A</v>
      </c>
      <c r="BP53" s="669" t="e">
        <f t="shared" si="17"/>
        <v>#N/A</v>
      </c>
    </row>
    <row r="54" spans="1:68">
      <c r="A54" s="636">
        <f t="shared" si="31"/>
        <v>53</v>
      </c>
      <c r="B54" s="637"/>
      <c r="C54" s="637"/>
      <c r="D54" s="652"/>
      <c r="E54" s="679" t="e">
        <f>LOOKUP(D54,'f-travail'!A:A,'f-travail'!B:B)</f>
        <v>#N/A</v>
      </c>
      <c r="F54" s="650"/>
      <c r="G54" s="650"/>
      <c r="H54" s="653"/>
      <c r="I54" s="653"/>
      <c r="J54" s="654"/>
      <c r="K54" s="650"/>
      <c r="L54" s="650"/>
      <c r="M54" s="650">
        <v>0</v>
      </c>
      <c r="N54" s="654"/>
      <c r="O54" s="654"/>
      <c r="P54" s="654"/>
      <c r="Q54" s="654"/>
      <c r="R54" s="676"/>
      <c r="S54" s="654"/>
      <c r="T54" s="675"/>
      <c r="U54" s="675"/>
      <c r="V54" s="670" t="e">
        <f>LOOKUP(D54,'f-travail'!A:A,'f-travail'!E:E)</f>
        <v>#N/A</v>
      </c>
      <c r="W54" s="670" t="e">
        <f>VLOOKUP(V54,جرقمإستدلالي,'f-travail'!$AD$4+1,FALSE)</f>
        <v>#N/A</v>
      </c>
      <c r="X54" s="671" t="e">
        <f t="shared" si="0"/>
        <v>#N/A</v>
      </c>
      <c r="Y54" s="671">
        <f>IF(G54="مدير ولائي",(HLOOKUP(I54,جدروظعليا,'f-travail'!$AT$3+1,FALSE)-3200),0)</f>
        <v>0</v>
      </c>
      <c r="Z54" s="672" t="str">
        <f t="shared" si="18"/>
        <v/>
      </c>
      <c r="AA54" s="671">
        <f t="shared" si="19"/>
        <v>0</v>
      </c>
      <c r="AB54" s="677" t="b">
        <f t="shared" si="20"/>
        <v>0</v>
      </c>
      <c r="AC54" s="678">
        <f t="shared" si="32"/>
        <v>0</v>
      </c>
      <c r="AD54" s="673">
        <f t="shared" si="1"/>
        <v>0</v>
      </c>
      <c r="AE54" s="678">
        <f t="shared" si="2"/>
        <v>0</v>
      </c>
      <c r="AF54" s="678" t="e">
        <f t="shared" si="3"/>
        <v>#N/A</v>
      </c>
      <c r="AG54" s="678" t="e">
        <f t="shared" si="4"/>
        <v>#N/A</v>
      </c>
      <c r="AH54" s="673">
        <f t="shared" si="22"/>
        <v>0</v>
      </c>
      <c r="AI54" s="674" t="e">
        <f>IF(G54="مدير ولائي",(11000*35%),LOOKUP(D54,'f-travail'!A:A,'f-travail'!I:I))</f>
        <v>#N/A</v>
      </c>
      <c r="AJ54" s="673" t="e">
        <f>IF(G54="مدير ولائي",((W54+X54)*45)*80%,IF(V54&lt;8,0,IF(F54="إليزي",(LOOKUP(D54,'f-travail'!A:A,'f-travail'!O:O))*(AF54+AG54),LOOKUP(D54,'f-travail'!A:A,'f-travail'!P:P)*(AF54+AG54))))</f>
        <v>#N/A</v>
      </c>
      <c r="AK54" s="673" t="e">
        <f>IF(G54="مدير ولائي",0,LOOKUP(D54,'f-travail'!A:A,'f-travail'!Q:Q))</f>
        <v>#N/A</v>
      </c>
      <c r="AL54" s="673" t="e">
        <f>IF(G54="مدير ولائي",0,LOOKUP(D54,'f-travail'!A:A,'f-travail'!R:R)*(AF54+AG54))</f>
        <v>#N/A</v>
      </c>
      <c r="AM54" s="673" t="e">
        <f>IF(G54="مدير ولائي",0,LOOKUP(D54,'f-travail'!A:A,'f-travail'!S:S)*(AF54+AG54))</f>
        <v>#N/A</v>
      </c>
      <c r="AN54" s="673" t="e">
        <f>IF(G54="مدير ولائي",0,LOOKUP(D54,'f-travail'!A:A,'f-travail'!T:T)*(AF54+AG54))</f>
        <v>#N/A</v>
      </c>
      <c r="AO54" s="673" t="e">
        <f>IF(G54="مدير ولائي",0,LOOKUP(D54,'f-travail'!A:A,'f-travail'!U:U)*(AF54+AG54))</f>
        <v>#N/A</v>
      </c>
      <c r="AP54" s="673" t="e">
        <f>IF(G54="مدير ولائي",0,LOOKUP(D54,'f-travail'!A:A,'f-travail'!V:V)*(AF54+AG54))</f>
        <v>#N/A</v>
      </c>
      <c r="AQ54" s="673" t="e">
        <f>IF(G54="مدير ولائي",0,LOOKUP(D54,'f-travail'!A:A,'f-travail'!W:W)*(AF54+AG54))</f>
        <v>#N/A</v>
      </c>
      <c r="AR54" s="673">
        <f t="shared" si="23"/>
        <v>0</v>
      </c>
      <c r="AS54" s="673" t="e">
        <f>IF(G54="مدير ولائي",0,LOOKUP(D54,'f-travail'!A:A,'f-travail'!X:X)*(AF54+AG54))</f>
        <v>#N/A</v>
      </c>
      <c r="AT54" s="673" t="e">
        <f>IF(G54="مدير ولائي",0,LOOKUP(D54,'f-travail'!Y:Y,'f-travail'!R:R)*(AF54+AG54))</f>
        <v>#N/A</v>
      </c>
      <c r="AU54" s="673">
        <f t="shared" si="5"/>
        <v>0</v>
      </c>
      <c r="AV54" s="673">
        <f t="shared" si="6"/>
        <v>0</v>
      </c>
      <c r="AW54" s="673">
        <f t="shared" si="7"/>
        <v>0</v>
      </c>
      <c r="AX54" s="637" t="str">
        <f t="shared" si="33"/>
        <v/>
      </c>
      <c r="AY54" s="640" t="e">
        <f t="shared" si="9"/>
        <v>#N/A</v>
      </c>
      <c r="AZ54" s="673" t="e">
        <f t="shared" si="10"/>
        <v>#N/A</v>
      </c>
      <c r="BA54" s="639" t="e">
        <f t="shared" si="11"/>
        <v>#N/A</v>
      </c>
      <c r="BB54" s="639" t="e">
        <f t="shared" si="34"/>
        <v>#N/A</v>
      </c>
      <c r="BC54" s="639">
        <f t="shared" si="13"/>
        <v>0</v>
      </c>
      <c r="BD54" s="639" t="e">
        <f t="shared" si="14"/>
        <v>#N/A</v>
      </c>
      <c r="BE54" s="639">
        <f t="shared" si="35"/>
        <v>0</v>
      </c>
      <c r="BF54" s="639" t="e">
        <f t="shared" si="36"/>
        <v>#N/A</v>
      </c>
      <c r="BG54" s="639">
        <f t="shared" si="24"/>
        <v>0</v>
      </c>
      <c r="BH54" s="683">
        <f t="shared" si="25"/>
        <v>0</v>
      </c>
      <c r="BI54" s="683">
        <f t="shared" si="26"/>
        <v>0</v>
      </c>
      <c r="BJ54" s="641" t="e">
        <f t="shared" si="27"/>
        <v>#N/A</v>
      </c>
      <c r="BK54" s="641" t="e">
        <f t="shared" si="28"/>
        <v>#N/A</v>
      </c>
      <c r="BL54" s="641" t="e">
        <f t="shared" si="29"/>
        <v>#N/A</v>
      </c>
      <c r="BM54" s="684" t="e">
        <f t="shared" si="30"/>
        <v>#N/A</v>
      </c>
      <c r="BN54" s="638" t="s">
        <v>857</v>
      </c>
      <c r="BO54" s="682" t="e">
        <f>CONCATENATE(Z54," ",LOOKUP(D54,'f-travail'!A:A,'f-travail'!F:F))</f>
        <v>#N/A</v>
      </c>
      <c r="BP54" s="669" t="e">
        <f t="shared" si="17"/>
        <v>#N/A</v>
      </c>
    </row>
    <row r="55" spans="1:68">
      <c r="A55" s="636">
        <f t="shared" si="31"/>
        <v>54</v>
      </c>
      <c r="B55" s="637"/>
      <c r="C55" s="637"/>
      <c r="D55" s="652"/>
      <c r="E55" s="679" t="e">
        <f>LOOKUP(D55,'f-travail'!A:A,'f-travail'!B:B)</f>
        <v>#N/A</v>
      </c>
      <c r="F55" s="650"/>
      <c r="G55" s="650"/>
      <c r="H55" s="653"/>
      <c r="I55" s="653"/>
      <c r="J55" s="654"/>
      <c r="K55" s="650"/>
      <c r="L55" s="650"/>
      <c r="M55" s="650">
        <v>0</v>
      </c>
      <c r="N55" s="654"/>
      <c r="O55" s="654"/>
      <c r="P55" s="654"/>
      <c r="Q55" s="654"/>
      <c r="R55" s="676"/>
      <c r="S55" s="654"/>
      <c r="T55" s="675"/>
      <c r="U55" s="675"/>
      <c r="V55" s="670" t="e">
        <f>LOOKUP(D55,'f-travail'!A:A,'f-travail'!E:E)</f>
        <v>#N/A</v>
      </c>
      <c r="W55" s="670" t="e">
        <f>VLOOKUP(V55,جرقمإستدلالي,'f-travail'!$AD$4+1,FALSE)</f>
        <v>#N/A</v>
      </c>
      <c r="X55" s="671" t="e">
        <f t="shared" si="0"/>
        <v>#N/A</v>
      </c>
      <c r="Y55" s="671">
        <f>IF(G55="مدير ولائي",(HLOOKUP(I55,جدروظعليا,'f-travail'!$AT$3+1,FALSE)-3200),0)</f>
        <v>0</v>
      </c>
      <c r="Z55" s="672" t="str">
        <f t="shared" si="18"/>
        <v/>
      </c>
      <c r="AA55" s="671">
        <f t="shared" si="19"/>
        <v>0</v>
      </c>
      <c r="AB55" s="677" t="b">
        <f t="shared" si="20"/>
        <v>0</v>
      </c>
      <c r="AC55" s="678">
        <f t="shared" si="32"/>
        <v>0</v>
      </c>
      <c r="AD55" s="673">
        <f t="shared" si="1"/>
        <v>0</v>
      </c>
      <c r="AE55" s="678">
        <f t="shared" si="2"/>
        <v>0</v>
      </c>
      <c r="AF55" s="678" t="e">
        <f t="shared" si="3"/>
        <v>#N/A</v>
      </c>
      <c r="AG55" s="678" t="e">
        <f t="shared" si="4"/>
        <v>#N/A</v>
      </c>
      <c r="AH55" s="673">
        <f t="shared" si="22"/>
        <v>0</v>
      </c>
      <c r="AI55" s="674" t="e">
        <f>IF(G55="مدير ولائي",(11000*35%),LOOKUP(D55,'f-travail'!A:A,'f-travail'!I:I))</f>
        <v>#N/A</v>
      </c>
      <c r="AJ55" s="673" t="e">
        <f>IF(G55="مدير ولائي",((W55+X55)*45)*80%,IF(V55&lt;8,0,IF(F55="إليزي",(LOOKUP(D55,'f-travail'!A:A,'f-travail'!O:O))*(AF55+AG55),LOOKUP(D55,'f-travail'!A:A,'f-travail'!P:P)*(AF55+AG55))))</f>
        <v>#N/A</v>
      </c>
      <c r="AK55" s="673" t="e">
        <f>IF(G55="مدير ولائي",0,LOOKUP(D55,'f-travail'!A:A,'f-travail'!Q:Q))</f>
        <v>#N/A</v>
      </c>
      <c r="AL55" s="673" t="e">
        <f>IF(G55="مدير ولائي",0,LOOKUP(D55,'f-travail'!A:A,'f-travail'!R:R)*(AF55+AG55))</f>
        <v>#N/A</v>
      </c>
      <c r="AM55" s="673" t="e">
        <f>IF(G55="مدير ولائي",0,LOOKUP(D55,'f-travail'!A:A,'f-travail'!S:S)*(AF55+AG55))</f>
        <v>#N/A</v>
      </c>
      <c r="AN55" s="673" t="e">
        <f>IF(G55="مدير ولائي",0,LOOKUP(D55,'f-travail'!A:A,'f-travail'!T:T)*(AF55+AG55))</f>
        <v>#N/A</v>
      </c>
      <c r="AO55" s="673" t="e">
        <f>IF(G55="مدير ولائي",0,LOOKUP(D55,'f-travail'!A:A,'f-travail'!U:U)*(AF55+AG55))</f>
        <v>#N/A</v>
      </c>
      <c r="AP55" s="673" t="e">
        <f>IF(G55="مدير ولائي",0,LOOKUP(D55,'f-travail'!A:A,'f-travail'!V:V)*(AF55+AG55))</f>
        <v>#N/A</v>
      </c>
      <c r="AQ55" s="673" t="e">
        <f>IF(G55="مدير ولائي",0,LOOKUP(D55,'f-travail'!A:A,'f-travail'!W:W)*(AF55+AG55))</f>
        <v>#N/A</v>
      </c>
      <c r="AR55" s="673">
        <f t="shared" si="23"/>
        <v>0</v>
      </c>
      <c r="AS55" s="673" t="e">
        <f>IF(G55="مدير ولائي",0,LOOKUP(D55,'f-travail'!A:A,'f-travail'!X:X)*(AF55+AG55))</f>
        <v>#N/A</v>
      </c>
      <c r="AT55" s="673" t="e">
        <f>IF(G55="مدير ولائي",0,LOOKUP(D55,'f-travail'!Y:Y,'f-travail'!R:R)*(AF55+AG55))</f>
        <v>#N/A</v>
      </c>
      <c r="AU55" s="673">
        <f t="shared" si="5"/>
        <v>0</v>
      </c>
      <c r="AV55" s="673">
        <f t="shared" si="6"/>
        <v>0</v>
      </c>
      <c r="AW55" s="673">
        <f t="shared" si="7"/>
        <v>0</v>
      </c>
      <c r="AX55" s="637" t="str">
        <f t="shared" si="33"/>
        <v/>
      </c>
      <c r="AY55" s="640" t="e">
        <f t="shared" si="9"/>
        <v>#N/A</v>
      </c>
      <c r="AZ55" s="673" t="e">
        <f t="shared" si="10"/>
        <v>#N/A</v>
      </c>
      <c r="BA55" s="639" t="e">
        <f t="shared" si="11"/>
        <v>#N/A</v>
      </c>
      <c r="BB55" s="639" t="e">
        <f t="shared" si="34"/>
        <v>#N/A</v>
      </c>
      <c r="BC55" s="639">
        <f t="shared" si="13"/>
        <v>0</v>
      </c>
      <c r="BD55" s="639" t="e">
        <f t="shared" si="14"/>
        <v>#N/A</v>
      </c>
      <c r="BE55" s="639">
        <f t="shared" si="35"/>
        <v>0</v>
      </c>
      <c r="BF55" s="639" t="e">
        <f t="shared" si="36"/>
        <v>#N/A</v>
      </c>
      <c r="BG55" s="639">
        <f t="shared" si="24"/>
        <v>0</v>
      </c>
      <c r="BH55" s="683">
        <f t="shared" si="25"/>
        <v>0</v>
      </c>
      <c r="BI55" s="683">
        <f t="shared" si="26"/>
        <v>0</v>
      </c>
      <c r="BJ55" s="641" t="e">
        <f t="shared" si="27"/>
        <v>#N/A</v>
      </c>
      <c r="BK55" s="641" t="e">
        <f t="shared" si="28"/>
        <v>#N/A</v>
      </c>
      <c r="BL55" s="641" t="e">
        <f t="shared" si="29"/>
        <v>#N/A</v>
      </c>
      <c r="BM55" s="684" t="e">
        <f t="shared" si="30"/>
        <v>#N/A</v>
      </c>
      <c r="BN55" s="638" t="s">
        <v>858</v>
      </c>
      <c r="BO55" s="682" t="e">
        <f>CONCATENATE(Z55," ",LOOKUP(D55,'f-travail'!A:A,'f-travail'!F:F))</f>
        <v>#N/A</v>
      </c>
      <c r="BP55" s="669" t="e">
        <f t="shared" si="17"/>
        <v>#N/A</v>
      </c>
    </row>
    <row r="56" spans="1:68">
      <c r="A56" s="636">
        <f t="shared" si="31"/>
        <v>55</v>
      </c>
      <c r="B56" s="637"/>
      <c r="C56" s="637"/>
      <c r="D56" s="652"/>
      <c r="E56" s="679" t="e">
        <f>LOOKUP(D56,'f-travail'!A:A,'f-travail'!B:B)</f>
        <v>#N/A</v>
      </c>
      <c r="F56" s="650"/>
      <c r="G56" s="650"/>
      <c r="H56" s="653"/>
      <c r="I56" s="653"/>
      <c r="J56" s="654"/>
      <c r="K56" s="650"/>
      <c r="L56" s="650"/>
      <c r="M56" s="650">
        <v>0</v>
      </c>
      <c r="N56" s="654"/>
      <c r="O56" s="654"/>
      <c r="P56" s="654"/>
      <c r="Q56" s="654"/>
      <c r="R56" s="680"/>
      <c r="S56" s="654"/>
      <c r="T56" s="675"/>
      <c r="U56" s="675"/>
      <c r="V56" s="670" t="e">
        <f>LOOKUP(D56,'f-travail'!A:A,'f-travail'!E:E)</f>
        <v>#N/A</v>
      </c>
      <c r="W56" s="670" t="e">
        <f>VLOOKUP(V56,جرقمإستدلالي,'f-travail'!$AD$4+1,FALSE)</f>
        <v>#N/A</v>
      </c>
      <c r="X56" s="671" t="e">
        <f t="shared" si="0"/>
        <v>#N/A</v>
      </c>
      <c r="Y56" s="671">
        <f>IF(G56="مدير ولائي",(HLOOKUP(I56,جدروظعليا,'f-travail'!$AT$3+1,FALSE)-3200),0)</f>
        <v>0</v>
      </c>
      <c r="Z56" s="672" t="str">
        <f t="shared" si="18"/>
        <v/>
      </c>
      <c r="AA56" s="671">
        <f t="shared" si="19"/>
        <v>0</v>
      </c>
      <c r="AB56" s="677" t="b">
        <f t="shared" si="20"/>
        <v>0</v>
      </c>
      <c r="AC56" s="678">
        <f t="shared" si="32"/>
        <v>0</v>
      </c>
      <c r="AD56" s="673">
        <f t="shared" si="1"/>
        <v>0</v>
      </c>
      <c r="AE56" s="678">
        <f t="shared" si="2"/>
        <v>0</v>
      </c>
      <c r="AF56" s="678" t="e">
        <f t="shared" si="3"/>
        <v>#N/A</v>
      </c>
      <c r="AG56" s="678" t="e">
        <f t="shared" si="4"/>
        <v>#N/A</v>
      </c>
      <c r="AH56" s="673">
        <f t="shared" si="22"/>
        <v>0</v>
      </c>
      <c r="AI56" s="674" t="e">
        <f>IF(G56="مدير ولائي",(11000*35%),LOOKUP(D56,'f-travail'!A:A,'f-travail'!I:I))</f>
        <v>#N/A</v>
      </c>
      <c r="AJ56" s="673" t="e">
        <f>IF(G56="مدير ولائي",((W56+X56)*45)*80%,IF(V56&lt;8,0,IF(F56="إليزي",(LOOKUP(D56,'f-travail'!A:A,'f-travail'!O:O))*(AF56+AG56),LOOKUP(D56,'f-travail'!A:A,'f-travail'!P:P)*(AF56+AG56))))</f>
        <v>#N/A</v>
      </c>
      <c r="AK56" s="673" t="e">
        <f>IF(G56="مدير ولائي",0,LOOKUP(D56,'f-travail'!A:A,'f-travail'!Q:Q))</f>
        <v>#N/A</v>
      </c>
      <c r="AL56" s="673" t="e">
        <f>IF(G56="مدير ولائي",0,LOOKUP(D56,'f-travail'!A:A,'f-travail'!R:R)*(AF56+AG56))</f>
        <v>#N/A</v>
      </c>
      <c r="AM56" s="673" t="e">
        <f>IF(G56="مدير ولائي",0,LOOKUP(D56,'f-travail'!A:A,'f-travail'!S:S)*(AF56+AG56))</f>
        <v>#N/A</v>
      </c>
      <c r="AN56" s="673" t="e">
        <f>IF(G56="مدير ولائي",0,LOOKUP(D56,'f-travail'!A:A,'f-travail'!T:T)*(AF56+AG56))</f>
        <v>#N/A</v>
      </c>
      <c r="AO56" s="673" t="e">
        <f>IF(G56="مدير ولائي",0,LOOKUP(D56,'f-travail'!A:A,'f-travail'!U:U)*(AF56+AG56))</f>
        <v>#N/A</v>
      </c>
      <c r="AP56" s="673" t="e">
        <f>IF(G56="مدير ولائي",0,LOOKUP(D56,'f-travail'!A:A,'f-travail'!V:V)*(AF56+AG56))</f>
        <v>#N/A</v>
      </c>
      <c r="AQ56" s="673" t="e">
        <f>IF(G56="مدير ولائي",0,LOOKUP(D56,'f-travail'!A:A,'f-travail'!W:W)*(AF56+AG56))</f>
        <v>#N/A</v>
      </c>
      <c r="AR56" s="673">
        <f t="shared" si="23"/>
        <v>0</v>
      </c>
      <c r="AS56" s="673" t="e">
        <f>IF(G56="مدير ولائي",0,LOOKUP(D56,'f-travail'!A:A,'f-travail'!X:X)*(AF56+AG56))</f>
        <v>#N/A</v>
      </c>
      <c r="AT56" s="673" t="e">
        <f>IF(G56="مدير ولائي",0,LOOKUP(D56,'f-travail'!Y:Y,'f-travail'!R:R)*(AF56+AG56))</f>
        <v>#N/A</v>
      </c>
      <c r="AU56" s="673">
        <f t="shared" si="5"/>
        <v>0</v>
      </c>
      <c r="AV56" s="673">
        <f t="shared" si="6"/>
        <v>0</v>
      </c>
      <c r="AW56" s="673">
        <f t="shared" si="7"/>
        <v>0</v>
      </c>
      <c r="AX56" s="637" t="str">
        <f t="shared" si="33"/>
        <v/>
      </c>
      <c r="AY56" s="640" t="e">
        <f t="shared" si="9"/>
        <v>#N/A</v>
      </c>
      <c r="AZ56" s="673" t="e">
        <f t="shared" si="10"/>
        <v>#N/A</v>
      </c>
      <c r="BA56" s="639" t="e">
        <f t="shared" si="11"/>
        <v>#N/A</v>
      </c>
      <c r="BB56" s="639" t="e">
        <f t="shared" si="34"/>
        <v>#N/A</v>
      </c>
      <c r="BC56" s="639">
        <f t="shared" si="13"/>
        <v>0</v>
      </c>
      <c r="BD56" s="639" t="e">
        <f t="shared" si="14"/>
        <v>#N/A</v>
      </c>
      <c r="BE56" s="639">
        <f t="shared" si="35"/>
        <v>0</v>
      </c>
      <c r="BF56" s="639" t="e">
        <f t="shared" si="36"/>
        <v>#N/A</v>
      </c>
      <c r="BG56" s="639">
        <f t="shared" si="24"/>
        <v>0</v>
      </c>
      <c r="BH56" s="683">
        <f t="shared" si="25"/>
        <v>0</v>
      </c>
      <c r="BI56" s="683">
        <f t="shared" si="26"/>
        <v>0</v>
      </c>
      <c r="BJ56" s="641" t="e">
        <f t="shared" si="27"/>
        <v>#N/A</v>
      </c>
      <c r="BK56" s="641" t="e">
        <f t="shared" si="28"/>
        <v>#N/A</v>
      </c>
      <c r="BL56" s="641" t="e">
        <f t="shared" si="29"/>
        <v>#N/A</v>
      </c>
      <c r="BM56" s="684" t="e">
        <f t="shared" si="30"/>
        <v>#N/A</v>
      </c>
      <c r="BN56" s="638" t="s">
        <v>859</v>
      </c>
      <c r="BO56" s="682" t="e">
        <f>CONCATENATE(Z56," ",LOOKUP(D56,'f-travail'!A:A,'f-travail'!F:F))</f>
        <v>#N/A</v>
      </c>
      <c r="BP56" s="669" t="e">
        <f t="shared" si="17"/>
        <v>#N/A</v>
      </c>
    </row>
    <row r="57" spans="1:68">
      <c r="A57" s="636">
        <f t="shared" si="31"/>
        <v>56</v>
      </c>
      <c r="B57" s="637"/>
      <c r="C57" s="637"/>
      <c r="D57" s="652"/>
      <c r="E57" s="679" t="e">
        <f>LOOKUP(D57,'f-travail'!A:A,'f-travail'!B:B)</f>
        <v>#N/A</v>
      </c>
      <c r="F57" s="650"/>
      <c r="G57" s="650"/>
      <c r="H57" s="653"/>
      <c r="I57" s="653"/>
      <c r="J57" s="654"/>
      <c r="K57" s="650"/>
      <c r="L57" s="650"/>
      <c r="M57" s="650">
        <v>0</v>
      </c>
      <c r="N57" s="654"/>
      <c r="O57" s="654"/>
      <c r="P57" s="654"/>
      <c r="Q57" s="654"/>
      <c r="R57" s="676"/>
      <c r="S57" s="654"/>
      <c r="T57" s="675"/>
      <c r="U57" s="675"/>
      <c r="V57" s="670" t="e">
        <f>LOOKUP(D57,'f-travail'!A:A,'f-travail'!E:E)</f>
        <v>#N/A</v>
      </c>
      <c r="W57" s="670" t="e">
        <f>VLOOKUP(V57,جرقمإستدلالي,'f-travail'!$AD$4+1,FALSE)</f>
        <v>#N/A</v>
      </c>
      <c r="X57" s="671" t="e">
        <f t="shared" si="0"/>
        <v>#N/A</v>
      </c>
      <c r="Y57" s="671">
        <f>IF(G57="مدير ولائي",(HLOOKUP(I57,جدروظعليا,'f-travail'!$AT$3+1,FALSE)-3200),0)</f>
        <v>0</v>
      </c>
      <c r="Z57" s="672" t="str">
        <f t="shared" si="18"/>
        <v/>
      </c>
      <c r="AA57" s="671">
        <f t="shared" si="19"/>
        <v>0</v>
      </c>
      <c r="AB57" s="677" t="b">
        <f t="shared" si="20"/>
        <v>0</v>
      </c>
      <c r="AC57" s="678">
        <f t="shared" si="32"/>
        <v>0</v>
      </c>
      <c r="AD57" s="673">
        <f t="shared" si="1"/>
        <v>0</v>
      </c>
      <c r="AE57" s="678">
        <f t="shared" si="2"/>
        <v>0</v>
      </c>
      <c r="AF57" s="678" t="e">
        <f t="shared" si="3"/>
        <v>#N/A</v>
      </c>
      <c r="AG57" s="678" t="e">
        <f t="shared" si="4"/>
        <v>#N/A</v>
      </c>
      <c r="AH57" s="673">
        <f t="shared" si="22"/>
        <v>0</v>
      </c>
      <c r="AI57" s="674" t="e">
        <f>IF(G57="مدير ولائي",(11000*35%),LOOKUP(D57,'f-travail'!A:A,'f-travail'!I:I))</f>
        <v>#N/A</v>
      </c>
      <c r="AJ57" s="673" t="e">
        <f>IF(G57="مدير ولائي",((W57+X57)*45)*80%,IF(V57&lt;8,0,IF(F57="إليزي",(LOOKUP(D57,'f-travail'!A:A,'f-travail'!O:O))*(AF57+AG57),LOOKUP(D57,'f-travail'!A:A,'f-travail'!P:P)*(AF57+AG57))))</f>
        <v>#N/A</v>
      </c>
      <c r="AK57" s="673" t="e">
        <f>IF(G57="مدير ولائي",0,LOOKUP(D57,'f-travail'!A:A,'f-travail'!Q:Q))</f>
        <v>#N/A</v>
      </c>
      <c r="AL57" s="673" t="e">
        <f>IF(G57="مدير ولائي",0,LOOKUP(D57,'f-travail'!A:A,'f-travail'!R:R)*(AF57+AG57))</f>
        <v>#N/A</v>
      </c>
      <c r="AM57" s="673" t="e">
        <f>IF(G57="مدير ولائي",0,LOOKUP(D57,'f-travail'!A:A,'f-travail'!S:S)*(AF57+AG57))</f>
        <v>#N/A</v>
      </c>
      <c r="AN57" s="673" t="e">
        <f>IF(G57="مدير ولائي",0,LOOKUP(D57,'f-travail'!A:A,'f-travail'!T:T)*(AF57+AG57))</f>
        <v>#N/A</v>
      </c>
      <c r="AO57" s="673" t="e">
        <f>IF(G57="مدير ولائي",0,LOOKUP(D57,'f-travail'!A:A,'f-travail'!U:U)*(AF57+AG57))</f>
        <v>#N/A</v>
      </c>
      <c r="AP57" s="673" t="e">
        <f>IF(G57="مدير ولائي",0,LOOKUP(D57,'f-travail'!A:A,'f-travail'!V:V)*(AF57+AG57))</f>
        <v>#N/A</v>
      </c>
      <c r="AQ57" s="673" t="e">
        <f>IF(G57="مدير ولائي",0,LOOKUP(D57,'f-travail'!A:A,'f-travail'!W:W)*(AF57+AG57))</f>
        <v>#N/A</v>
      </c>
      <c r="AR57" s="673">
        <f t="shared" si="23"/>
        <v>0</v>
      </c>
      <c r="AS57" s="673" t="e">
        <f>IF(G57="مدير ولائي",0,LOOKUP(D57,'f-travail'!A:A,'f-travail'!X:X)*(AF57+AG57))</f>
        <v>#N/A</v>
      </c>
      <c r="AT57" s="673" t="e">
        <f>IF(G57="مدير ولائي",0,LOOKUP(D57,'f-travail'!Y:Y,'f-travail'!R:R)*(AF57+AG57))</f>
        <v>#N/A</v>
      </c>
      <c r="AU57" s="673">
        <f t="shared" si="5"/>
        <v>0</v>
      </c>
      <c r="AV57" s="673">
        <f t="shared" si="6"/>
        <v>0</v>
      </c>
      <c r="AW57" s="673">
        <f t="shared" si="7"/>
        <v>0</v>
      </c>
      <c r="AX57" s="637" t="str">
        <f t="shared" si="33"/>
        <v/>
      </c>
      <c r="AY57" s="640" t="e">
        <f t="shared" si="9"/>
        <v>#N/A</v>
      </c>
      <c r="AZ57" s="673" t="e">
        <f t="shared" si="10"/>
        <v>#N/A</v>
      </c>
      <c r="BA57" s="639" t="e">
        <f t="shared" si="11"/>
        <v>#N/A</v>
      </c>
      <c r="BB57" s="639" t="e">
        <f t="shared" si="34"/>
        <v>#N/A</v>
      </c>
      <c r="BC57" s="639">
        <f t="shared" si="13"/>
        <v>0</v>
      </c>
      <c r="BD57" s="639" t="e">
        <f t="shared" si="14"/>
        <v>#N/A</v>
      </c>
      <c r="BE57" s="639">
        <f t="shared" si="35"/>
        <v>0</v>
      </c>
      <c r="BF57" s="639" t="e">
        <f t="shared" si="36"/>
        <v>#N/A</v>
      </c>
      <c r="BG57" s="639">
        <f t="shared" si="24"/>
        <v>0</v>
      </c>
      <c r="BH57" s="683">
        <f t="shared" si="25"/>
        <v>0</v>
      </c>
      <c r="BI57" s="683">
        <f t="shared" si="26"/>
        <v>0</v>
      </c>
      <c r="BJ57" s="641" t="e">
        <f t="shared" si="27"/>
        <v>#N/A</v>
      </c>
      <c r="BK57" s="641" t="e">
        <f t="shared" si="28"/>
        <v>#N/A</v>
      </c>
      <c r="BL57" s="641" t="e">
        <f t="shared" si="29"/>
        <v>#N/A</v>
      </c>
      <c r="BM57" s="684" t="e">
        <f t="shared" si="30"/>
        <v>#N/A</v>
      </c>
      <c r="BN57" s="638" t="s">
        <v>860</v>
      </c>
      <c r="BO57" s="682" t="e">
        <f>CONCATENATE(Z57," ",LOOKUP(D57,'f-travail'!A:A,'f-travail'!F:F))</f>
        <v>#N/A</v>
      </c>
      <c r="BP57" s="669" t="e">
        <f t="shared" si="17"/>
        <v>#N/A</v>
      </c>
    </row>
    <row r="58" spans="1:68">
      <c r="A58" s="636">
        <f t="shared" si="31"/>
        <v>57</v>
      </c>
      <c r="B58" s="637"/>
      <c r="C58" s="637"/>
      <c r="D58" s="652"/>
      <c r="E58" s="679" t="e">
        <f>LOOKUP(D58,'f-travail'!A:A,'f-travail'!B:B)</f>
        <v>#N/A</v>
      </c>
      <c r="F58" s="650"/>
      <c r="G58" s="650"/>
      <c r="H58" s="653"/>
      <c r="I58" s="653"/>
      <c r="J58" s="654"/>
      <c r="K58" s="650"/>
      <c r="L58" s="650"/>
      <c r="M58" s="650">
        <v>0</v>
      </c>
      <c r="N58" s="654"/>
      <c r="O58" s="654"/>
      <c r="P58" s="654"/>
      <c r="Q58" s="654"/>
      <c r="R58" s="676"/>
      <c r="S58" s="654"/>
      <c r="T58" s="675"/>
      <c r="U58" s="675"/>
      <c r="V58" s="670" t="e">
        <f>LOOKUP(D58,'f-travail'!A:A,'f-travail'!E:E)</f>
        <v>#N/A</v>
      </c>
      <c r="W58" s="670" t="e">
        <f>VLOOKUP(V58,جرقمإستدلالي,'f-travail'!$AD$4+1,FALSE)</f>
        <v>#N/A</v>
      </c>
      <c r="X58" s="671" t="e">
        <f t="shared" si="0"/>
        <v>#N/A</v>
      </c>
      <c r="Y58" s="671">
        <f>IF(G58="مدير ولائي",(HLOOKUP(I58,جدروظعليا,'f-travail'!$AT$3+1,FALSE)-3200),0)</f>
        <v>0</v>
      </c>
      <c r="Z58" s="672" t="str">
        <f t="shared" si="18"/>
        <v/>
      </c>
      <c r="AA58" s="671">
        <f t="shared" si="19"/>
        <v>0</v>
      </c>
      <c r="AB58" s="677" t="b">
        <f t="shared" si="20"/>
        <v>0</v>
      </c>
      <c r="AC58" s="678">
        <f t="shared" si="32"/>
        <v>0</v>
      </c>
      <c r="AD58" s="673">
        <f t="shared" si="1"/>
        <v>0</v>
      </c>
      <c r="AE58" s="678">
        <f t="shared" si="2"/>
        <v>0</v>
      </c>
      <c r="AF58" s="678" t="e">
        <f t="shared" si="3"/>
        <v>#N/A</v>
      </c>
      <c r="AG58" s="678" t="e">
        <f t="shared" si="4"/>
        <v>#N/A</v>
      </c>
      <c r="AH58" s="673">
        <f t="shared" si="22"/>
        <v>0</v>
      </c>
      <c r="AI58" s="674" t="e">
        <f>IF(G58="مدير ولائي",(11000*35%),LOOKUP(D58,'f-travail'!A:A,'f-travail'!I:I))</f>
        <v>#N/A</v>
      </c>
      <c r="AJ58" s="673" t="e">
        <f>IF(G58="مدير ولائي",((W58+X58)*45)*80%,IF(V58&lt;8,0,IF(F58="إليزي",(LOOKUP(D58,'f-travail'!A:A,'f-travail'!O:O))*(AF58+AG58),LOOKUP(D58,'f-travail'!A:A,'f-travail'!P:P)*(AF58+AG58))))</f>
        <v>#N/A</v>
      </c>
      <c r="AK58" s="673" t="e">
        <f>IF(G58="مدير ولائي",0,LOOKUP(D58,'f-travail'!A:A,'f-travail'!Q:Q))</f>
        <v>#N/A</v>
      </c>
      <c r="AL58" s="673" t="e">
        <f>IF(G58="مدير ولائي",0,LOOKUP(D58,'f-travail'!A:A,'f-travail'!R:R)*(AF58+AG58))</f>
        <v>#N/A</v>
      </c>
      <c r="AM58" s="673" t="e">
        <f>IF(G58="مدير ولائي",0,LOOKUP(D58,'f-travail'!A:A,'f-travail'!S:S)*(AF58+AG58))</f>
        <v>#N/A</v>
      </c>
      <c r="AN58" s="673" t="e">
        <f>IF(G58="مدير ولائي",0,LOOKUP(D58,'f-travail'!A:A,'f-travail'!T:T)*(AF58+AG58))</f>
        <v>#N/A</v>
      </c>
      <c r="AO58" s="673" t="e">
        <f>IF(G58="مدير ولائي",0,LOOKUP(D58,'f-travail'!A:A,'f-travail'!U:U)*(AF58+AG58))</f>
        <v>#N/A</v>
      </c>
      <c r="AP58" s="673" t="e">
        <f>IF(G58="مدير ولائي",0,LOOKUP(D58,'f-travail'!A:A,'f-travail'!V:V)*(AF58+AG58))</f>
        <v>#N/A</v>
      </c>
      <c r="AQ58" s="673" t="e">
        <f>IF(G58="مدير ولائي",0,LOOKUP(D58,'f-travail'!A:A,'f-travail'!W:W)*(AF58+AG58))</f>
        <v>#N/A</v>
      </c>
      <c r="AR58" s="673">
        <f t="shared" si="23"/>
        <v>0</v>
      </c>
      <c r="AS58" s="673" t="e">
        <f>IF(G58="مدير ولائي",0,LOOKUP(D58,'f-travail'!A:A,'f-travail'!X:X)*(AF58+AG58))</f>
        <v>#N/A</v>
      </c>
      <c r="AT58" s="673" t="e">
        <f>IF(G58="مدير ولائي",0,LOOKUP(D58,'f-travail'!Y:Y,'f-travail'!R:R)*(AF58+AG58))</f>
        <v>#N/A</v>
      </c>
      <c r="AU58" s="673">
        <f t="shared" si="5"/>
        <v>0</v>
      </c>
      <c r="AV58" s="673">
        <f t="shared" si="6"/>
        <v>0</v>
      </c>
      <c r="AW58" s="673">
        <f t="shared" si="7"/>
        <v>0</v>
      </c>
      <c r="AX58" s="637" t="str">
        <f t="shared" si="33"/>
        <v/>
      </c>
      <c r="AY58" s="640" t="e">
        <f t="shared" si="9"/>
        <v>#N/A</v>
      </c>
      <c r="AZ58" s="673" t="e">
        <f t="shared" si="10"/>
        <v>#N/A</v>
      </c>
      <c r="BA58" s="639" t="e">
        <f t="shared" si="11"/>
        <v>#N/A</v>
      </c>
      <c r="BB58" s="639" t="e">
        <f t="shared" si="34"/>
        <v>#N/A</v>
      </c>
      <c r="BC58" s="639">
        <f t="shared" si="13"/>
        <v>0</v>
      </c>
      <c r="BD58" s="639" t="e">
        <f t="shared" si="14"/>
        <v>#N/A</v>
      </c>
      <c r="BE58" s="639">
        <f t="shared" si="35"/>
        <v>0</v>
      </c>
      <c r="BF58" s="639" t="e">
        <f t="shared" si="36"/>
        <v>#N/A</v>
      </c>
      <c r="BG58" s="639">
        <f t="shared" si="24"/>
        <v>0</v>
      </c>
      <c r="BH58" s="683">
        <f t="shared" si="25"/>
        <v>0</v>
      </c>
      <c r="BI58" s="683">
        <f t="shared" si="26"/>
        <v>0</v>
      </c>
      <c r="BJ58" s="641" t="e">
        <f t="shared" si="27"/>
        <v>#N/A</v>
      </c>
      <c r="BK58" s="641" t="e">
        <f t="shared" si="28"/>
        <v>#N/A</v>
      </c>
      <c r="BL58" s="641" t="e">
        <f t="shared" si="29"/>
        <v>#N/A</v>
      </c>
      <c r="BM58" s="684" t="e">
        <f t="shared" si="30"/>
        <v>#N/A</v>
      </c>
      <c r="BN58" s="638" t="s">
        <v>861</v>
      </c>
      <c r="BO58" s="682" t="e">
        <f>CONCATENATE(Z58," ",LOOKUP(D58,'f-travail'!A:A,'f-travail'!F:F))</f>
        <v>#N/A</v>
      </c>
      <c r="BP58" s="669" t="e">
        <f t="shared" si="17"/>
        <v>#N/A</v>
      </c>
    </row>
    <row r="59" spans="1:68">
      <c r="A59" s="636">
        <f t="shared" si="31"/>
        <v>58</v>
      </c>
      <c r="B59" s="637"/>
      <c r="C59" s="637"/>
      <c r="D59" s="652"/>
      <c r="E59" s="679" t="e">
        <f>LOOKUP(D59,'f-travail'!A:A,'f-travail'!B:B)</f>
        <v>#N/A</v>
      </c>
      <c r="F59" s="650"/>
      <c r="G59" s="650"/>
      <c r="H59" s="653"/>
      <c r="I59" s="653"/>
      <c r="J59" s="654"/>
      <c r="K59" s="650"/>
      <c r="L59" s="650"/>
      <c r="M59" s="650">
        <v>0</v>
      </c>
      <c r="N59" s="654"/>
      <c r="O59" s="654"/>
      <c r="P59" s="654"/>
      <c r="Q59" s="654"/>
      <c r="R59" s="676"/>
      <c r="S59" s="654"/>
      <c r="T59" s="675"/>
      <c r="U59" s="675"/>
      <c r="V59" s="670" t="e">
        <f>LOOKUP(D59,'f-travail'!A:A,'f-travail'!E:E)</f>
        <v>#N/A</v>
      </c>
      <c r="W59" s="670" t="e">
        <f>VLOOKUP(V59,جرقمإستدلالي,'f-travail'!$AD$4+1,FALSE)</f>
        <v>#N/A</v>
      </c>
      <c r="X59" s="671" t="e">
        <f t="shared" si="0"/>
        <v>#N/A</v>
      </c>
      <c r="Y59" s="671">
        <f>IF(G59="مدير ولائي",(HLOOKUP(I59,جدروظعليا,'f-travail'!$AT$3+1,FALSE)-3200),0)</f>
        <v>0</v>
      </c>
      <c r="Z59" s="672" t="str">
        <f t="shared" si="18"/>
        <v/>
      </c>
      <c r="AA59" s="671">
        <f t="shared" si="19"/>
        <v>0</v>
      </c>
      <c r="AB59" s="677" t="b">
        <f t="shared" si="20"/>
        <v>0</v>
      </c>
      <c r="AC59" s="678">
        <f t="shared" si="32"/>
        <v>0</v>
      </c>
      <c r="AD59" s="673">
        <f t="shared" si="1"/>
        <v>0</v>
      </c>
      <c r="AE59" s="678">
        <f t="shared" si="2"/>
        <v>0</v>
      </c>
      <c r="AF59" s="678" t="e">
        <f t="shared" si="3"/>
        <v>#N/A</v>
      </c>
      <c r="AG59" s="678" t="e">
        <f t="shared" si="4"/>
        <v>#N/A</v>
      </c>
      <c r="AH59" s="673">
        <f t="shared" si="22"/>
        <v>0</v>
      </c>
      <c r="AI59" s="674" t="e">
        <f>IF(G59="مدير ولائي",(11000*35%),LOOKUP(D59,'f-travail'!A:A,'f-travail'!I:I))</f>
        <v>#N/A</v>
      </c>
      <c r="AJ59" s="673" t="e">
        <f>IF(G59="مدير ولائي",((W59+X59)*45)*80%,IF(V59&lt;8,0,IF(F59="إليزي",(LOOKUP(D59,'f-travail'!A:A,'f-travail'!O:O))*(AF59+AG59),LOOKUP(D59,'f-travail'!A:A,'f-travail'!P:P)*(AF59+AG59))))</f>
        <v>#N/A</v>
      </c>
      <c r="AK59" s="673" t="e">
        <f>IF(G59="مدير ولائي",0,LOOKUP(D59,'f-travail'!A:A,'f-travail'!Q:Q))</f>
        <v>#N/A</v>
      </c>
      <c r="AL59" s="673" t="e">
        <f>IF(G59="مدير ولائي",0,LOOKUP(D59,'f-travail'!A:A,'f-travail'!R:R)*(AF59+AG59))</f>
        <v>#N/A</v>
      </c>
      <c r="AM59" s="673" t="e">
        <f>IF(G59="مدير ولائي",0,LOOKUP(D59,'f-travail'!A:A,'f-travail'!S:S)*(AF59+AG59))</f>
        <v>#N/A</v>
      </c>
      <c r="AN59" s="673" t="e">
        <f>IF(G59="مدير ولائي",0,LOOKUP(D59,'f-travail'!A:A,'f-travail'!T:T)*(AF59+AG59))</f>
        <v>#N/A</v>
      </c>
      <c r="AO59" s="673" t="e">
        <f>IF(G59="مدير ولائي",0,LOOKUP(D59,'f-travail'!A:A,'f-travail'!U:U)*(AF59+AG59))</f>
        <v>#N/A</v>
      </c>
      <c r="AP59" s="673" t="e">
        <f>IF(G59="مدير ولائي",0,LOOKUP(D59,'f-travail'!A:A,'f-travail'!V:V)*(AF59+AG59))</f>
        <v>#N/A</v>
      </c>
      <c r="AQ59" s="673" t="e">
        <f>IF(G59="مدير ولائي",0,LOOKUP(D59,'f-travail'!A:A,'f-travail'!W:W)*(AF59+AG59))</f>
        <v>#N/A</v>
      </c>
      <c r="AR59" s="673">
        <f t="shared" si="23"/>
        <v>0</v>
      </c>
      <c r="AS59" s="673" t="e">
        <f>IF(G59="مدير ولائي",0,LOOKUP(D59,'f-travail'!A:A,'f-travail'!X:X)*(AF59+AG59))</f>
        <v>#N/A</v>
      </c>
      <c r="AT59" s="673" t="e">
        <f>IF(G59="مدير ولائي",0,LOOKUP(D59,'f-travail'!Y:Y,'f-travail'!R:R)*(AF59+AG59))</f>
        <v>#N/A</v>
      </c>
      <c r="AU59" s="673">
        <f t="shared" si="5"/>
        <v>0</v>
      </c>
      <c r="AV59" s="673">
        <f t="shared" si="6"/>
        <v>0</v>
      </c>
      <c r="AW59" s="673">
        <f t="shared" si="7"/>
        <v>0</v>
      </c>
      <c r="AX59" s="637" t="str">
        <f t="shared" si="33"/>
        <v/>
      </c>
      <c r="AY59" s="640" t="e">
        <f t="shared" si="9"/>
        <v>#N/A</v>
      </c>
      <c r="AZ59" s="673" t="e">
        <f t="shared" si="10"/>
        <v>#N/A</v>
      </c>
      <c r="BA59" s="639" t="e">
        <f t="shared" si="11"/>
        <v>#N/A</v>
      </c>
      <c r="BB59" s="639" t="e">
        <f t="shared" si="34"/>
        <v>#N/A</v>
      </c>
      <c r="BC59" s="639">
        <f t="shared" si="13"/>
        <v>0</v>
      </c>
      <c r="BD59" s="639" t="e">
        <f t="shared" si="14"/>
        <v>#N/A</v>
      </c>
      <c r="BE59" s="639">
        <f t="shared" si="35"/>
        <v>0</v>
      </c>
      <c r="BF59" s="639" t="e">
        <f t="shared" si="36"/>
        <v>#N/A</v>
      </c>
      <c r="BG59" s="639">
        <f t="shared" si="24"/>
        <v>0</v>
      </c>
      <c r="BH59" s="683">
        <f t="shared" si="25"/>
        <v>0</v>
      </c>
      <c r="BI59" s="683">
        <f t="shared" si="26"/>
        <v>0</v>
      </c>
      <c r="BJ59" s="641" t="e">
        <f t="shared" si="27"/>
        <v>#N/A</v>
      </c>
      <c r="BK59" s="641" t="e">
        <f t="shared" si="28"/>
        <v>#N/A</v>
      </c>
      <c r="BL59" s="641" t="e">
        <f t="shared" si="29"/>
        <v>#N/A</v>
      </c>
      <c r="BM59" s="684" t="e">
        <f t="shared" si="30"/>
        <v>#N/A</v>
      </c>
      <c r="BN59" s="638" t="s">
        <v>862</v>
      </c>
      <c r="BO59" s="682" t="e">
        <f>CONCATENATE(Z59," ",LOOKUP(D59,'f-travail'!A:A,'f-travail'!F:F))</f>
        <v>#N/A</v>
      </c>
      <c r="BP59" s="669" t="e">
        <f t="shared" si="17"/>
        <v>#N/A</v>
      </c>
    </row>
    <row r="60" spans="1:68">
      <c r="A60" s="636">
        <f t="shared" si="31"/>
        <v>59</v>
      </c>
      <c r="B60" s="637"/>
      <c r="C60" s="637"/>
      <c r="D60" s="652"/>
      <c r="E60" s="679" t="e">
        <f>LOOKUP(D60,'f-travail'!A:A,'f-travail'!B:B)</f>
        <v>#N/A</v>
      </c>
      <c r="F60" s="650"/>
      <c r="G60" s="650"/>
      <c r="H60" s="653"/>
      <c r="I60" s="653"/>
      <c r="J60" s="654"/>
      <c r="K60" s="650"/>
      <c r="L60" s="650"/>
      <c r="M60" s="650">
        <v>0</v>
      </c>
      <c r="N60" s="654"/>
      <c r="O60" s="654"/>
      <c r="P60" s="654"/>
      <c r="Q60" s="654"/>
      <c r="R60" s="680"/>
      <c r="S60" s="654"/>
      <c r="T60" s="675"/>
      <c r="U60" s="675"/>
      <c r="V60" s="670" t="e">
        <f>LOOKUP(D60,'f-travail'!A:A,'f-travail'!E:E)</f>
        <v>#N/A</v>
      </c>
      <c r="W60" s="670" t="e">
        <f>VLOOKUP(V60,جرقمإستدلالي,'f-travail'!$AD$4+1,FALSE)</f>
        <v>#N/A</v>
      </c>
      <c r="X60" s="671" t="e">
        <f t="shared" si="0"/>
        <v>#N/A</v>
      </c>
      <c r="Y60" s="671">
        <f>IF(G60="مدير ولائي",(HLOOKUP(I60,جدروظعليا,'f-travail'!$AT$3+1,FALSE)-3200),0)</f>
        <v>0</v>
      </c>
      <c r="Z60" s="672" t="str">
        <f t="shared" si="18"/>
        <v/>
      </c>
      <c r="AA60" s="671">
        <f t="shared" si="19"/>
        <v>0</v>
      </c>
      <c r="AB60" s="677" t="b">
        <f t="shared" si="20"/>
        <v>0</v>
      </c>
      <c r="AC60" s="678">
        <f t="shared" si="32"/>
        <v>0</v>
      </c>
      <c r="AD60" s="673">
        <f t="shared" si="1"/>
        <v>0</v>
      </c>
      <c r="AE60" s="678">
        <f t="shared" si="2"/>
        <v>0</v>
      </c>
      <c r="AF60" s="678" t="e">
        <f t="shared" si="3"/>
        <v>#N/A</v>
      </c>
      <c r="AG60" s="678" t="e">
        <f t="shared" si="4"/>
        <v>#N/A</v>
      </c>
      <c r="AH60" s="673">
        <f t="shared" si="22"/>
        <v>0</v>
      </c>
      <c r="AI60" s="674" t="e">
        <f>IF(G60="مدير ولائي",(11000*35%),LOOKUP(D60,'f-travail'!A:A,'f-travail'!I:I))</f>
        <v>#N/A</v>
      </c>
      <c r="AJ60" s="673" t="e">
        <f>IF(G60="مدير ولائي",((W60+X60)*45)*80%,IF(V60&lt;8,0,IF(F60="إليزي",(LOOKUP(D60,'f-travail'!A:A,'f-travail'!O:O))*(AF60+AG60),LOOKUP(D60,'f-travail'!A:A,'f-travail'!P:P)*(AF60+AG60))))</f>
        <v>#N/A</v>
      </c>
      <c r="AK60" s="673" t="e">
        <f>IF(G60="مدير ولائي",0,LOOKUP(D60,'f-travail'!A:A,'f-travail'!Q:Q))</f>
        <v>#N/A</v>
      </c>
      <c r="AL60" s="673" t="e">
        <f>IF(G60="مدير ولائي",0,LOOKUP(D60,'f-travail'!A:A,'f-travail'!R:R)*(AF60+AG60))</f>
        <v>#N/A</v>
      </c>
      <c r="AM60" s="673" t="e">
        <f>IF(G60="مدير ولائي",0,LOOKUP(D60,'f-travail'!A:A,'f-travail'!S:S)*(AF60+AG60))</f>
        <v>#N/A</v>
      </c>
      <c r="AN60" s="673" t="e">
        <f>IF(G60="مدير ولائي",0,LOOKUP(D60,'f-travail'!A:A,'f-travail'!T:T)*(AF60+AG60))</f>
        <v>#N/A</v>
      </c>
      <c r="AO60" s="673" t="e">
        <f>IF(G60="مدير ولائي",0,LOOKUP(D60,'f-travail'!A:A,'f-travail'!U:U)*(AF60+AG60))</f>
        <v>#N/A</v>
      </c>
      <c r="AP60" s="673" t="e">
        <f>IF(G60="مدير ولائي",0,LOOKUP(D60,'f-travail'!A:A,'f-travail'!V:V)*(AF60+AG60))</f>
        <v>#N/A</v>
      </c>
      <c r="AQ60" s="673" t="e">
        <f>IF(G60="مدير ولائي",0,LOOKUP(D60,'f-travail'!A:A,'f-travail'!W:W)*(AF60+AG60))</f>
        <v>#N/A</v>
      </c>
      <c r="AR60" s="673">
        <f t="shared" si="23"/>
        <v>0</v>
      </c>
      <c r="AS60" s="673" t="e">
        <f>IF(G60="مدير ولائي",0,LOOKUP(D60,'f-travail'!A:A,'f-travail'!X:X)*(AF60+AG60))</f>
        <v>#N/A</v>
      </c>
      <c r="AT60" s="673" t="e">
        <f>IF(G60="مدير ولائي",0,LOOKUP(D60,'f-travail'!Y:Y,'f-travail'!R:R)*(AF60+AG60))</f>
        <v>#N/A</v>
      </c>
      <c r="AU60" s="673">
        <f t="shared" si="5"/>
        <v>0</v>
      </c>
      <c r="AV60" s="673">
        <f t="shared" si="6"/>
        <v>0</v>
      </c>
      <c r="AW60" s="673">
        <f t="shared" si="7"/>
        <v>0</v>
      </c>
      <c r="AX60" s="637" t="str">
        <f t="shared" si="33"/>
        <v/>
      </c>
      <c r="AY60" s="640" t="e">
        <f t="shared" si="9"/>
        <v>#N/A</v>
      </c>
      <c r="AZ60" s="673" t="e">
        <f t="shared" si="10"/>
        <v>#N/A</v>
      </c>
      <c r="BA60" s="639" t="e">
        <f t="shared" si="11"/>
        <v>#N/A</v>
      </c>
      <c r="BB60" s="639" t="e">
        <f t="shared" si="34"/>
        <v>#N/A</v>
      </c>
      <c r="BC60" s="639">
        <f t="shared" si="13"/>
        <v>0</v>
      </c>
      <c r="BD60" s="639" t="e">
        <f t="shared" si="14"/>
        <v>#N/A</v>
      </c>
      <c r="BE60" s="639">
        <f t="shared" si="35"/>
        <v>0</v>
      </c>
      <c r="BF60" s="639" t="e">
        <f t="shared" si="36"/>
        <v>#N/A</v>
      </c>
      <c r="BG60" s="639">
        <f t="shared" si="24"/>
        <v>0</v>
      </c>
      <c r="BH60" s="683">
        <f t="shared" si="25"/>
        <v>0</v>
      </c>
      <c r="BI60" s="683">
        <f t="shared" si="26"/>
        <v>0</v>
      </c>
      <c r="BJ60" s="641" t="e">
        <f t="shared" si="27"/>
        <v>#N/A</v>
      </c>
      <c r="BK60" s="641" t="e">
        <f t="shared" si="28"/>
        <v>#N/A</v>
      </c>
      <c r="BL60" s="641" t="e">
        <f t="shared" si="29"/>
        <v>#N/A</v>
      </c>
      <c r="BM60" s="684" t="e">
        <f t="shared" si="30"/>
        <v>#N/A</v>
      </c>
      <c r="BN60" s="638" t="s">
        <v>863</v>
      </c>
      <c r="BO60" s="682" t="e">
        <f>CONCATENATE(Z60," ",LOOKUP(D60,'f-travail'!A:A,'f-travail'!F:F))</f>
        <v>#N/A</v>
      </c>
      <c r="BP60" s="669" t="e">
        <f t="shared" si="17"/>
        <v>#N/A</v>
      </c>
    </row>
    <row r="61" spans="1:68">
      <c r="A61" s="636">
        <f t="shared" si="31"/>
        <v>60</v>
      </c>
      <c r="B61" s="637"/>
      <c r="C61" s="637"/>
      <c r="D61" s="652"/>
      <c r="E61" s="679" t="e">
        <f>LOOKUP(D61,'f-travail'!A:A,'f-travail'!B:B)</f>
        <v>#N/A</v>
      </c>
      <c r="F61" s="650"/>
      <c r="G61" s="650"/>
      <c r="H61" s="653"/>
      <c r="I61" s="653"/>
      <c r="J61" s="654"/>
      <c r="K61" s="650"/>
      <c r="L61" s="650"/>
      <c r="M61" s="650">
        <v>0</v>
      </c>
      <c r="N61" s="654"/>
      <c r="O61" s="654"/>
      <c r="P61" s="654"/>
      <c r="Q61" s="654"/>
      <c r="R61" s="680"/>
      <c r="S61" s="654"/>
      <c r="T61" s="675"/>
      <c r="U61" s="675"/>
      <c r="V61" s="670" t="e">
        <f>LOOKUP(D61,'f-travail'!A:A,'f-travail'!E:E)</f>
        <v>#N/A</v>
      </c>
      <c r="W61" s="670" t="e">
        <f>VLOOKUP(V61,جرقمإستدلالي,'f-travail'!$AD$4+1,FALSE)</f>
        <v>#N/A</v>
      </c>
      <c r="X61" s="671" t="e">
        <f t="shared" si="0"/>
        <v>#N/A</v>
      </c>
      <c r="Y61" s="671">
        <f>IF(G61="مدير ولائي",(HLOOKUP(I61,جدروظعليا,'f-travail'!$AT$3+1,FALSE)-3200),0)</f>
        <v>0</v>
      </c>
      <c r="Z61" s="672" t="str">
        <f t="shared" si="18"/>
        <v/>
      </c>
      <c r="AA61" s="671">
        <f t="shared" si="19"/>
        <v>0</v>
      </c>
      <c r="AB61" s="677" t="b">
        <f t="shared" si="20"/>
        <v>0</v>
      </c>
      <c r="AC61" s="678">
        <f t="shared" si="32"/>
        <v>0</v>
      </c>
      <c r="AD61" s="673">
        <f t="shared" si="1"/>
        <v>0</v>
      </c>
      <c r="AE61" s="678">
        <f t="shared" si="2"/>
        <v>0</v>
      </c>
      <c r="AF61" s="678" t="e">
        <f t="shared" si="3"/>
        <v>#N/A</v>
      </c>
      <c r="AG61" s="678" t="e">
        <f t="shared" si="4"/>
        <v>#N/A</v>
      </c>
      <c r="AH61" s="673">
        <f t="shared" si="22"/>
        <v>0</v>
      </c>
      <c r="AI61" s="674" t="e">
        <f>IF(G61="مدير ولائي",(11000*35%),LOOKUP(D61,'f-travail'!A:A,'f-travail'!I:I))</f>
        <v>#N/A</v>
      </c>
      <c r="AJ61" s="673" t="e">
        <f>IF(G61="مدير ولائي",((W61+X61)*45)*80%,IF(V61&lt;8,0,IF(F61="إليزي",(LOOKUP(D61,'f-travail'!A:A,'f-travail'!O:O))*(AF61+AG61),LOOKUP(D61,'f-travail'!A:A,'f-travail'!P:P)*(AF61+AG61))))</f>
        <v>#N/A</v>
      </c>
      <c r="AK61" s="673" t="e">
        <f>IF(G61="مدير ولائي",0,LOOKUP(D61,'f-travail'!A:A,'f-travail'!Q:Q))</f>
        <v>#N/A</v>
      </c>
      <c r="AL61" s="673" t="e">
        <f>IF(G61="مدير ولائي",0,LOOKUP(D61,'f-travail'!A:A,'f-travail'!R:R)*(AF61+AG61))</f>
        <v>#N/A</v>
      </c>
      <c r="AM61" s="673" t="e">
        <f>IF(G61="مدير ولائي",0,LOOKUP(D61,'f-travail'!A:A,'f-travail'!S:S)*(AF61+AG61))</f>
        <v>#N/A</v>
      </c>
      <c r="AN61" s="673" t="e">
        <f>IF(G61="مدير ولائي",0,LOOKUP(D61,'f-travail'!A:A,'f-travail'!T:T)*(AF61+AG61))</f>
        <v>#N/A</v>
      </c>
      <c r="AO61" s="673" t="e">
        <f>IF(G61="مدير ولائي",0,LOOKUP(D61,'f-travail'!A:A,'f-travail'!U:U)*(AF61+AG61))</f>
        <v>#N/A</v>
      </c>
      <c r="AP61" s="673" t="e">
        <f>IF(G61="مدير ولائي",0,LOOKUP(D61,'f-travail'!A:A,'f-travail'!V:V)*(AF61+AG61))</f>
        <v>#N/A</v>
      </c>
      <c r="AQ61" s="673" t="e">
        <f>IF(G61="مدير ولائي",0,LOOKUP(D61,'f-travail'!A:A,'f-travail'!W:W)*(AF61+AG61))</f>
        <v>#N/A</v>
      </c>
      <c r="AR61" s="673">
        <f t="shared" si="23"/>
        <v>0</v>
      </c>
      <c r="AS61" s="673" t="e">
        <f>IF(G61="مدير ولائي",0,LOOKUP(D61,'f-travail'!A:A,'f-travail'!X:X)*(AF61+AG61))</f>
        <v>#N/A</v>
      </c>
      <c r="AT61" s="673" t="e">
        <f>IF(G61="مدير ولائي",0,LOOKUP(D61,'f-travail'!Y:Y,'f-travail'!R:R)*(AF61+AG61))</f>
        <v>#N/A</v>
      </c>
      <c r="AU61" s="673">
        <f t="shared" si="5"/>
        <v>0</v>
      </c>
      <c r="AV61" s="673">
        <f t="shared" si="6"/>
        <v>0</v>
      </c>
      <c r="AW61" s="673">
        <f t="shared" si="7"/>
        <v>0</v>
      </c>
      <c r="AX61" s="637" t="str">
        <f t="shared" si="33"/>
        <v/>
      </c>
      <c r="AY61" s="640" t="e">
        <f t="shared" si="9"/>
        <v>#N/A</v>
      </c>
      <c r="AZ61" s="673" t="e">
        <f t="shared" si="10"/>
        <v>#N/A</v>
      </c>
      <c r="BA61" s="639" t="e">
        <f t="shared" si="11"/>
        <v>#N/A</v>
      </c>
      <c r="BB61" s="639" t="e">
        <f t="shared" si="34"/>
        <v>#N/A</v>
      </c>
      <c r="BC61" s="639">
        <f t="shared" si="13"/>
        <v>0</v>
      </c>
      <c r="BD61" s="639" t="e">
        <f t="shared" si="14"/>
        <v>#N/A</v>
      </c>
      <c r="BE61" s="639">
        <f t="shared" si="35"/>
        <v>0</v>
      </c>
      <c r="BF61" s="639" t="e">
        <f t="shared" si="36"/>
        <v>#N/A</v>
      </c>
      <c r="BG61" s="639">
        <f t="shared" si="24"/>
        <v>0</v>
      </c>
      <c r="BH61" s="683">
        <f t="shared" si="25"/>
        <v>0</v>
      </c>
      <c r="BI61" s="683">
        <f t="shared" si="26"/>
        <v>0</v>
      </c>
      <c r="BJ61" s="641" t="e">
        <f t="shared" si="27"/>
        <v>#N/A</v>
      </c>
      <c r="BK61" s="641" t="e">
        <f t="shared" si="28"/>
        <v>#N/A</v>
      </c>
      <c r="BL61" s="641" t="e">
        <f t="shared" si="29"/>
        <v>#N/A</v>
      </c>
      <c r="BM61" s="684" t="e">
        <f t="shared" si="30"/>
        <v>#N/A</v>
      </c>
      <c r="BN61" s="638" t="s">
        <v>864</v>
      </c>
      <c r="BO61" s="682" t="e">
        <f>CONCATENATE(Z61," ",LOOKUP(D61,'f-travail'!A:A,'f-travail'!F:F))</f>
        <v>#N/A</v>
      </c>
      <c r="BP61" s="669" t="e">
        <f t="shared" si="17"/>
        <v>#N/A</v>
      </c>
    </row>
    <row r="62" spans="1:68">
      <c r="A62" s="636">
        <f t="shared" si="31"/>
        <v>61</v>
      </c>
      <c r="B62" s="637"/>
      <c r="C62" s="637"/>
      <c r="D62" s="652"/>
      <c r="E62" s="679" t="e">
        <f>LOOKUP(D62,'f-travail'!A:A,'f-travail'!B:B)</f>
        <v>#N/A</v>
      </c>
      <c r="F62" s="650"/>
      <c r="G62" s="650"/>
      <c r="H62" s="653"/>
      <c r="I62" s="653"/>
      <c r="J62" s="654"/>
      <c r="K62" s="650"/>
      <c r="L62" s="650"/>
      <c r="M62" s="650">
        <v>0</v>
      </c>
      <c r="N62" s="654"/>
      <c r="O62" s="654"/>
      <c r="P62" s="654"/>
      <c r="Q62" s="654"/>
      <c r="R62" s="676"/>
      <c r="S62" s="654"/>
      <c r="T62" s="675"/>
      <c r="U62" s="675"/>
      <c r="V62" s="670" t="e">
        <f>LOOKUP(D62,'f-travail'!A:A,'f-travail'!E:E)</f>
        <v>#N/A</v>
      </c>
      <c r="W62" s="670" t="e">
        <f>VLOOKUP(V62,جرقمإستدلالي,'f-travail'!$AD$4+1,FALSE)</f>
        <v>#N/A</v>
      </c>
      <c r="X62" s="671" t="e">
        <f t="shared" si="0"/>
        <v>#N/A</v>
      </c>
      <c r="Y62" s="671">
        <f>IF(G62="مدير ولائي",(HLOOKUP(I62,جدروظعليا,'f-travail'!$AT$3+1,FALSE)-3200),0)</f>
        <v>0</v>
      </c>
      <c r="Z62" s="672" t="str">
        <f t="shared" si="18"/>
        <v/>
      </c>
      <c r="AA62" s="671">
        <f t="shared" si="19"/>
        <v>0</v>
      </c>
      <c r="AB62" s="677" t="b">
        <f t="shared" si="20"/>
        <v>0</v>
      </c>
      <c r="AC62" s="678">
        <f t="shared" si="32"/>
        <v>0</v>
      </c>
      <c r="AD62" s="673">
        <f t="shared" si="1"/>
        <v>0</v>
      </c>
      <c r="AE62" s="678">
        <f t="shared" si="2"/>
        <v>0</v>
      </c>
      <c r="AF62" s="678" t="e">
        <f t="shared" si="3"/>
        <v>#N/A</v>
      </c>
      <c r="AG62" s="678" t="e">
        <f t="shared" si="4"/>
        <v>#N/A</v>
      </c>
      <c r="AH62" s="673">
        <f t="shared" si="22"/>
        <v>0</v>
      </c>
      <c r="AI62" s="674" t="e">
        <f>IF(G62="مدير ولائي",(11000*35%),LOOKUP(D62,'f-travail'!A:A,'f-travail'!I:I))</f>
        <v>#N/A</v>
      </c>
      <c r="AJ62" s="673" t="e">
        <f>IF(G62="مدير ولائي",((W62+X62)*45)*80%,IF(V62&lt;8,0,IF(F62="إليزي",(LOOKUP(D62,'f-travail'!A:A,'f-travail'!O:O))*(AF62+AG62),LOOKUP(D62,'f-travail'!A:A,'f-travail'!P:P)*(AF62+AG62))))</f>
        <v>#N/A</v>
      </c>
      <c r="AK62" s="673" t="e">
        <f>IF(G62="مدير ولائي",0,LOOKUP(D62,'f-travail'!A:A,'f-travail'!Q:Q))</f>
        <v>#N/A</v>
      </c>
      <c r="AL62" s="673" t="e">
        <f>IF(G62="مدير ولائي",0,LOOKUP(D62,'f-travail'!A:A,'f-travail'!R:R)*(AF62+AG62))</f>
        <v>#N/A</v>
      </c>
      <c r="AM62" s="673" t="e">
        <f>IF(G62="مدير ولائي",0,LOOKUP(D62,'f-travail'!A:A,'f-travail'!S:S)*(AF62+AG62))</f>
        <v>#N/A</v>
      </c>
      <c r="AN62" s="673" t="e">
        <f>IF(G62="مدير ولائي",0,LOOKUP(D62,'f-travail'!A:A,'f-travail'!T:T)*(AF62+AG62))</f>
        <v>#N/A</v>
      </c>
      <c r="AO62" s="673" t="e">
        <f>IF(G62="مدير ولائي",0,LOOKUP(D62,'f-travail'!A:A,'f-travail'!U:U)*(AF62+AG62))</f>
        <v>#N/A</v>
      </c>
      <c r="AP62" s="673" t="e">
        <f>IF(G62="مدير ولائي",0,LOOKUP(D62,'f-travail'!A:A,'f-travail'!V:V)*(AF62+AG62))</f>
        <v>#N/A</v>
      </c>
      <c r="AQ62" s="673" t="e">
        <f>IF(G62="مدير ولائي",0,LOOKUP(D62,'f-travail'!A:A,'f-travail'!W:W)*(AF62+AG62))</f>
        <v>#N/A</v>
      </c>
      <c r="AR62" s="673">
        <f t="shared" si="23"/>
        <v>0</v>
      </c>
      <c r="AS62" s="673" t="e">
        <f>IF(G62="مدير ولائي",0,LOOKUP(D62,'f-travail'!A:A,'f-travail'!X:X)*(AF62+AG62))</f>
        <v>#N/A</v>
      </c>
      <c r="AT62" s="673" t="e">
        <f>IF(G62="مدير ولائي",0,LOOKUP(D62,'f-travail'!Y:Y,'f-travail'!R:R)*(AF62+AG62))</f>
        <v>#N/A</v>
      </c>
      <c r="AU62" s="673">
        <f t="shared" si="5"/>
        <v>0</v>
      </c>
      <c r="AV62" s="673">
        <f t="shared" si="6"/>
        <v>0</v>
      </c>
      <c r="AW62" s="673">
        <f t="shared" si="7"/>
        <v>0</v>
      </c>
      <c r="AX62" s="637" t="str">
        <f t="shared" si="33"/>
        <v/>
      </c>
      <c r="AY62" s="640" t="e">
        <f t="shared" si="9"/>
        <v>#N/A</v>
      </c>
      <c r="AZ62" s="673" t="e">
        <f t="shared" si="10"/>
        <v>#N/A</v>
      </c>
      <c r="BA62" s="639" t="e">
        <f t="shared" si="11"/>
        <v>#N/A</v>
      </c>
      <c r="BB62" s="639" t="e">
        <f t="shared" si="34"/>
        <v>#N/A</v>
      </c>
      <c r="BC62" s="639">
        <f t="shared" si="13"/>
        <v>0</v>
      </c>
      <c r="BD62" s="639" t="e">
        <f t="shared" si="14"/>
        <v>#N/A</v>
      </c>
      <c r="BE62" s="639">
        <f t="shared" si="35"/>
        <v>0</v>
      </c>
      <c r="BF62" s="639" t="e">
        <f t="shared" si="36"/>
        <v>#N/A</v>
      </c>
      <c r="BG62" s="639">
        <f t="shared" si="24"/>
        <v>0</v>
      </c>
      <c r="BH62" s="683">
        <f t="shared" si="25"/>
        <v>0</v>
      </c>
      <c r="BI62" s="683">
        <f t="shared" si="26"/>
        <v>0</v>
      </c>
      <c r="BJ62" s="641" t="e">
        <f t="shared" si="27"/>
        <v>#N/A</v>
      </c>
      <c r="BK62" s="641" t="e">
        <f t="shared" si="28"/>
        <v>#N/A</v>
      </c>
      <c r="BL62" s="641" t="e">
        <f t="shared" si="29"/>
        <v>#N/A</v>
      </c>
      <c r="BM62" s="684" t="e">
        <f t="shared" si="30"/>
        <v>#N/A</v>
      </c>
      <c r="BN62" s="638" t="s">
        <v>865</v>
      </c>
      <c r="BO62" s="682" t="e">
        <f>CONCATENATE(Z62," ",LOOKUP(D62,'f-travail'!A:A,'f-travail'!F:F))</f>
        <v>#N/A</v>
      </c>
      <c r="BP62" s="669" t="e">
        <f t="shared" si="17"/>
        <v>#N/A</v>
      </c>
    </row>
    <row r="63" spans="1:68">
      <c r="A63" s="636">
        <f t="shared" si="31"/>
        <v>62</v>
      </c>
      <c r="B63" s="637"/>
      <c r="C63" s="637"/>
      <c r="D63" s="652"/>
      <c r="E63" s="679" t="e">
        <f>LOOKUP(D63,'f-travail'!A:A,'f-travail'!B:B)</f>
        <v>#N/A</v>
      </c>
      <c r="F63" s="650"/>
      <c r="G63" s="650"/>
      <c r="H63" s="653"/>
      <c r="I63" s="653"/>
      <c r="J63" s="654"/>
      <c r="K63" s="650"/>
      <c r="L63" s="650"/>
      <c r="M63" s="650">
        <v>0</v>
      </c>
      <c r="N63" s="654"/>
      <c r="O63" s="654"/>
      <c r="P63" s="654"/>
      <c r="Q63" s="654"/>
      <c r="R63" s="680"/>
      <c r="S63" s="654"/>
      <c r="T63" s="675"/>
      <c r="U63" s="675"/>
      <c r="V63" s="670" t="e">
        <f>LOOKUP(D63,'f-travail'!A:A,'f-travail'!E:E)</f>
        <v>#N/A</v>
      </c>
      <c r="W63" s="670" t="e">
        <f>VLOOKUP(V63,جرقمإستدلالي,'f-travail'!$AD$4+1,FALSE)</f>
        <v>#N/A</v>
      </c>
      <c r="X63" s="671" t="e">
        <f t="shared" si="0"/>
        <v>#N/A</v>
      </c>
      <c r="Y63" s="671">
        <f>IF(G63="مدير ولائي",(HLOOKUP(I63,جدروظعليا,'f-travail'!$AT$3+1,FALSE)-3200),0)</f>
        <v>0</v>
      </c>
      <c r="Z63" s="672" t="str">
        <f t="shared" si="18"/>
        <v/>
      </c>
      <c r="AA63" s="671">
        <f t="shared" si="19"/>
        <v>0</v>
      </c>
      <c r="AB63" s="677" t="b">
        <f t="shared" si="20"/>
        <v>0</v>
      </c>
      <c r="AC63" s="678">
        <f t="shared" si="32"/>
        <v>0</v>
      </c>
      <c r="AD63" s="673">
        <f t="shared" si="1"/>
        <v>0</v>
      </c>
      <c r="AE63" s="678">
        <f t="shared" si="2"/>
        <v>0</v>
      </c>
      <c r="AF63" s="678" t="e">
        <f t="shared" si="3"/>
        <v>#N/A</v>
      </c>
      <c r="AG63" s="678" t="e">
        <f t="shared" si="4"/>
        <v>#N/A</v>
      </c>
      <c r="AH63" s="673">
        <f t="shared" si="22"/>
        <v>0</v>
      </c>
      <c r="AI63" s="674" t="e">
        <f>IF(G63="مدير ولائي",(11000*35%),LOOKUP(D63,'f-travail'!A:A,'f-travail'!I:I))</f>
        <v>#N/A</v>
      </c>
      <c r="AJ63" s="673" t="e">
        <f>IF(G63="مدير ولائي",((W63+X63)*45)*80%,IF(V63&lt;8,0,IF(F63="إليزي",(LOOKUP(D63,'f-travail'!A:A,'f-travail'!O:O))*(AF63+AG63),LOOKUP(D63,'f-travail'!A:A,'f-travail'!P:P)*(AF63+AG63))))</f>
        <v>#N/A</v>
      </c>
      <c r="AK63" s="673" t="e">
        <f>IF(G63="مدير ولائي",0,LOOKUP(D63,'f-travail'!A:A,'f-travail'!Q:Q))</f>
        <v>#N/A</v>
      </c>
      <c r="AL63" s="673" t="e">
        <f>IF(G63="مدير ولائي",0,LOOKUP(D63,'f-travail'!A:A,'f-travail'!R:R)*(AF63+AG63))</f>
        <v>#N/A</v>
      </c>
      <c r="AM63" s="673" t="e">
        <f>IF(G63="مدير ولائي",0,LOOKUP(D63,'f-travail'!A:A,'f-travail'!S:S)*(AF63+AG63))</f>
        <v>#N/A</v>
      </c>
      <c r="AN63" s="673" t="e">
        <f>IF(G63="مدير ولائي",0,LOOKUP(D63,'f-travail'!A:A,'f-travail'!T:T)*(AF63+AG63))</f>
        <v>#N/A</v>
      </c>
      <c r="AO63" s="673" t="e">
        <f>IF(G63="مدير ولائي",0,LOOKUP(D63,'f-travail'!A:A,'f-travail'!U:U)*(AF63+AG63))</f>
        <v>#N/A</v>
      </c>
      <c r="AP63" s="673" t="e">
        <f>IF(G63="مدير ولائي",0,LOOKUP(D63,'f-travail'!A:A,'f-travail'!V:V)*(AF63+AG63))</f>
        <v>#N/A</v>
      </c>
      <c r="AQ63" s="673" t="e">
        <f>IF(G63="مدير ولائي",0,LOOKUP(D63,'f-travail'!A:A,'f-travail'!W:W)*(AF63+AG63))</f>
        <v>#N/A</v>
      </c>
      <c r="AR63" s="673">
        <f t="shared" si="23"/>
        <v>0</v>
      </c>
      <c r="AS63" s="673" t="e">
        <f>IF(G63="مدير ولائي",0,LOOKUP(D63,'f-travail'!A:A,'f-travail'!X:X)*(AF63+AG63))</f>
        <v>#N/A</v>
      </c>
      <c r="AT63" s="673" t="e">
        <f>IF(G63="مدير ولائي",0,LOOKUP(D63,'f-travail'!Y:Y,'f-travail'!R:R)*(AF63+AG63))</f>
        <v>#N/A</v>
      </c>
      <c r="AU63" s="673">
        <f t="shared" si="5"/>
        <v>0</v>
      </c>
      <c r="AV63" s="673">
        <f t="shared" si="6"/>
        <v>0</v>
      </c>
      <c r="AW63" s="673">
        <f t="shared" si="7"/>
        <v>0</v>
      </c>
      <c r="AX63" s="637" t="str">
        <f t="shared" si="33"/>
        <v/>
      </c>
      <c r="AY63" s="640" t="e">
        <f t="shared" si="9"/>
        <v>#N/A</v>
      </c>
      <c r="AZ63" s="673" t="e">
        <f t="shared" si="10"/>
        <v>#N/A</v>
      </c>
      <c r="BA63" s="639" t="e">
        <f t="shared" si="11"/>
        <v>#N/A</v>
      </c>
      <c r="BB63" s="639" t="e">
        <f t="shared" si="34"/>
        <v>#N/A</v>
      </c>
      <c r="BC63" s="639">
        <f t="shared" si="13"/>
        <v>0</v>
      </c>
      <c r="BD63" s="639" t="e">
        <f t="shared" si="14"/>
        <v>#N/A</v>
      </c>
      <c r="BE63" s="639">
        <f t="shared" si="35"/>
        <v>0</v>
      </c>
      <c r="BF63" s="639" t="e">
        <f t="shared" si="36"/>
        <v>#N/A</v>
      </c>
      <c r="BG63" s="639">
        <f t="shared" si="24"/>
        <v>0</v>
      </c>
      <c r="BH63" s="683">
        <f t="shared" si="25"/>
        <v>0</v>
      </c>
      <c r="BI63" s="683">
        <f t="shared" si="26"/>
        <v>0</v>
      </c>
      <c r="BJ63" s="641" t="e">
        <f t="shared" si="27"/>
        <v>#N/A</v>
      </c>
      <c r="BK63" s="641" t="e">
        <f t="shared" si="28"/>
        <v>#N/A</v>
      </c>
      <c r="BL63" s="641" t="e">
        <f t="shared" si="29"/>
        <v>#N/A</v>
      </c>
      <c r="BM63" s="684" t="e">
        <f t="shared" si="30"/>
        <v>#N/A</v>
      </c>
      <c r="BN63" s="638" t="s">
        <v>866</v>
      </c>
      <c r="BO63" s="682" t="e">
        <f>CONCATENATE(Z63," ",LOOKUP(D63,'f-travail'!A:A,'f-travail'!F:F))</f>
        <v>#N/A</v>
      </c>
      <c r="BP63" s="669" t="e">
        <f t="shared" si="17"/>
        <v>#N/A</v>
      </c>
    </row>
    <row r="64" spans="1:68">
      <c r="A64" s="636">
        <f t="shared" si="31"/>
        <v>63</v>
      </c>
      <c r="B64" s="637"/>
      <c r="C64" s="637"/>
      <c r="D64" s="652"/>
      <c r="E64" s="679" t="e">
        <f>LOOKUP(D64,'f-travail'!A:A,'f-travail'!B:B)</f>
        <v>#N/A</v>
      </c>
      <c r="F64" s="650"/>
      <c r="G64" s="650"/>
      <c r="H64" s="653"/>
      <c r="I64" s="653"/>
      <c r="J64" s="654"/>
      <c r="K64" s="650"/>
      <c r="L64" s="650"/>
      <c r="M64" s="650">
        <v>0</v>
      </c>
      <c r="N64" s="654"/>
      <c r="O64" s="654"/>
      <c r="P64" s="654"/>
      <c r="Q64" s="654"/>
      <c r="R64" s="676"/>
      <c r="S64" s="654"/>
      <c r="T64" s="675"/>
      <c r="U64" s="675"/>
      <c r="V64" s="670" t="e">
        <f>LOOKUP(D64,'f-travail'!A:A,'f-travail'!E:E)</f>
        <v>#N/A</v>
      </c>
      <c r="W64" s="670" t="e">
        <f>VLOOKUP(V64,جرقمإستدلالي,'f-travail'!$AD$4+1,FALSE)</f>
        <v>#N/A</v>
      </c>
      <c r="X64" s="671" t="e">
        <f t="shared" si="0"/>
        <v>#N/A</v>
      </c>
      <c r="Y64" s="671">
        <f>IF(G64="مدير ولائي",(HLOOKUP(I64,جدروظعليا,'f-travail'!$AT$3+1,FALSE)-3200),0)</f>
        <v>0</v>
      </c>
      <c r="Z64" s="672" t="str">
        <f t="shared" si="18"/>
        <v/>
      </c>
      <c r="AA64" s="671">
        <f t="shared" si="19"/>
        <v>0</v>
      </c>
      <c r="AB64" s="677" t="b">
        <f t="shared" si="20"/>
        <v>0</v>
      </c>
      <c r="AC64" s="678">
        <f t="shared" si="32"/>
        <v>0</v>
      </c>
      <c r="AD64" s="673">
        <f t="shared" si="1"/>
        <v>0</v>
      </c>
      <c r="AE64" s="678">
        <f t="shared" si="2"/>
        <v>0</v>
      </c>
      <c r="AF64" s="678" t="e">
        <f t="shared" si="3"/>
        <v>#N/A</v>
      </c>
      <c r="AG64" s="678" t="e">
        <f t="shared" si="4"/>
        <v>#N/A</v>
      </c>
      <c r="AH64" s="673">
        <f t="shared" si="22"/>
        <v>0</v>
      </c>
      <c r="AI64" s="674" t="e">
        <f>IF(G64="مدير ولائي",(11000*35%),LOOKUP(D64,'f-travail'!A:A,'f-travail'!I:I))</f>
        <v>#N/A</v>
      </c>
      <c r="AJ64" s="673" t="e">
        <f>IF(G64="مدير ولائي",((W64+X64)*45)*80%,IF(V64&lt;8,0,IF(F64="إليزي",(LOOKUP(D64,'f-travail'!A:A,'f-travail'!O:O))*(AF64+AG64),LOOKUP(D64,'f-travail'!A:A,'f-travail'!P:P)*(AF64+AG64))))</f>
        <v>#N/A</v>
      </c>
      <c r="AK64" s="673" t="e">
        <f>IF(G64="مدير ولائي",0,LOOKUP(D64,'f-travail'!A:A,'f-travail'!Q:Q))</f>
        <v>#N/A</v>
      </c>
      <c r="AL64" s="673" t="e">
        <f>IF(G64="مدير ولائي",0,LOOKUP(D64,'f-travail'!A:A,'f-travail'!R:R)*(AF64+AG64))</f>
        <v>#N/A</v>
      </c>
      <c r="AM64" s="673" t="e">
        <f>IF(G64="مدير ولائي",0,LOOKUP(D64,'f-travail'!A:A,'f-travail'!S:S)*(AF64+AG64))</f>
        <v>#N/A</v>
      </c>
      <c r="AN64" s="673" t="e">
        <f>IF(G64="مدير ولائي",0,LOOKUP(D64,'f-travail'!A:A,'f-travail'!T:T)*(AF64+AG64))</f>
        <v>#N/A</v>
      </c>
      <c r="AO64" s="673" t="e">
        <f>IF(G64="مدير ولائي",0,LOOKUP(D64,'f-travail'!A:A,'f-travail'!U:U)*(AF64+AG64))</f>
        <v>#N/A</v>
      </c>
      <c r="AP64" s="673" t="e">
        <f>IF(G64="مدير ولائي",0,LOOKUP(D64,'f-travail'!A:A,'f-travail'!V:V)*(AF64+AG64))</f>
        <v>#N/A</v>
      </c>
      <c r="AQ64" s="673" t="e">
        <f>IF(G64="مدير ولائي",0,LOOKUP(D64,'f-travail'!A:A,'f-travail'!W:W)*(AF64+AG64))</f>
        <v>#N/A</v>
      </c>
      <c r="AR64" s="673">
        <f t="shared" si="23"/>
        <v>0</v>
      </c>
      <c r="AS64" s="673" t="e">
        <f>IF(G64="مدير ولائي",0,LOOKUP(D64,'f-travail'!A:A,'f-travail'!X:X)*(AF64+AG64))</f>
        <v>#N/A</v>
      </c>
      <c r="AT64" s="673" t="e">
        <f>IF(G64="مدير ولائي",0,LOOKUP(D64,'f-travail'!Y:Y,'f-travail'!R:R)*(AF64+AG64))</f>
        <v>#N/A</v>
      </c>
      <c r="AU64" s="673">
        <f t="shared" si="5"/>
        <v>0</v>
      </c>
      <c r="AV64" s="673">
        <f t="shared" si="6"/>
        <v>0</v>
      </c>
      <c r="AW64" s="673">
        <f t="shared" si="7"/>
        <v>0</v>
      </c>
      <c r="AX64" s="637" t="str">
        <f t="shared" si="33"/>
        <v/>
      </c>
      <c r="AY64" s="640" t="e">
        <f t="shared" si="9"/>
        <v>#N/A</v>
      </c>
      <c r="AZ64" s="673" t="e">
        <f t="shared" si="10"/>
        <v>#N/A</v>
      </c>
      <c r="BA64" s="639" t="e">
        <f t="shared" si="11"/>
        <v>#N/A</v>
      </c>
      <c r="BB64" s="639" t="e">
        <f t="shared" si="34"/>
        <v>#N/A</v>
      </c>
      <c r="BC64" s="639">
        <f t="shared" si="13"/>
        <v>0</v>
      </c>
      <c r="BD64" s="639" t="e">
        <f t="shared" si="14"/>
        <v>#N/A</v>
      </c>
      <c r="BE64" s="639">
        <f t="shared" si="35"/>
        <v>0</v>
      </c>
      <c r="BF64" s="639" t="e">
        <f t="shared" si="36"/>
        <v>#N/A</v>
      </c>
      <c r="BG64" s="639">
        <f t="shared" si="24"/>
        <v>0</v>
      </c>
      <c r="BH64" s="683">
        <f t="shared" si="25"/>
        <v>0</v>
      </c>
      <c r="BI64" s="683">
        <f t="shared" si="26"/>
        <v>0</v>
      </c>
      <c r="BJ64" s="641" t="e">
        <f t="shared" si="27"/>
        <v>#N/A</v>
      </c>
      <c r="BK64" s="641" t="e">
        <f t="shared" si="28"/>
        <v>#N/A</v>
      </c>
      <c r="BL64" s="641" t="e">
        <f t="shared" si="29"/>
        <v>#N/A</v>
      </c>
      <c r="BM64" s="684" t="e">
        <f t="shared" si="30"/>
        <v>#N/A</v>
      </c>
      <c r="BN64" s="638" t="s">
        <v>867</v>
      </c>
      <c r="BO64" s="682" t="e">
        <f>CONCATENATE(Z64," ",LOOKUP(D64,'f-travail'!A:A,'f-travail'!F:F))</f>
        <v>#N/A</v>
      </c>
      <c r="BP64" s="669" t="e">
        <f t="shared" si="17"/>
        <v>#N/A</v>
      </c>
    </row>
    <row r="65" spans="1:68">
      <c r="A65" s="636">
        <f t="shared" si="31"/>
        <v>64</v>
      </c>
      <c r="B65" s="637"/>
      <c r="C65" s="637"/>
      <c r="D65" s="652"/>
      <c r="E65" s="679" t="e">
        <f>LOOKUP(D65,'f-travail'!A:A,'f-travail'!B:B)</f>
        <v>#N/A</v>
      </c>
      <c r="F65" s="650"/>
      <c r="G65" s="650"/>
      <c r="H65" s="653"/>
      <c r="I65" s="653"/>
      <c r="J65" s="654"/>
      <c r="K65" s="650"/>
      <c r="L65" s="650"/>
      <c r="M65" s="650">
        <v>0</v>
      </c>
      <c r="N65" s="654"/>
      <c r="O65" s="654"/>
      <c r="P65" s="654"/>
      <c r="Q65" s="654"/>
      <c r="R65" s="676"/>
      <c r="S65" s="654"/>
      <c r="T65" s="675"/>
      <c r="U65" s="675"/>
      <c r="V65" s="670" t="e">
        <f>LOOKUP(D65,'f-travail'!A:A,'f-travail'!E:E)</f>
        <v>#N/A</v>
      </c>
      <c r="W65" s="670" t="e">
        <f>VLOOKUP(V65,جرقمإستدلالي,'f-travail'!$AD$4+1,FALSE)</f>
        <v>#N/A</v>
      </c>
      <c r="X65" s="671" t="e">
        <f t="shared" ref="X65:X128" si="37">INDEX(جدرجات,V65,H65+1)</f>
        <v>#N/A</v>
      </c>
      <c r="Y65" s="671">
        <f>IF(G65="مدير ولائي",(HLOOKUP(I65,جدروظعليا,'f-travail'!$AT$3+1,FALSE)-3200),0)</f>
        <v>0</v>
      </c>
      <c r="Z65" s="672" t="str">
        <f t="shared" si="18"/>
        <v/>
      </c>
      <c r="AA65" s="671">
        <f t="shared" si="19"/>
        <v>0</v>
      </c>
      <c r="AB65" s="677" t="b">
        <f t="shared" ref="AB65:AB128" si="38">IF(OR(J65="متزوج(ة)",J65="متزوج(ة)ماكثة",J65="متزوج(ة)عاملة"),(CONCATENATE("م","(",K65,")")),IF(J65="مطلق(ة)",(CONCATENATE("مط","(",K65,")")),IF(J65="عازب(ة)","ع",IF(J65="عازب(ة)كفيل",CONCATENATE("ع/ك","(",K65,")")))))</f>
        <v>0</v>
      </c>
      <c r="AC65" s="678">
        <f t="shared" si="32"/>
        <v>0</v>
      </c>
      <c r="AD65" s="673">
        <f t="shared" ref="AD65:AD79" si="39">IF(L65&gt;3,(3*11.25),L65*11.25)</f>
        <v>0</v>
      </c>
      <c r="AE65" s="678">
        <f t="shared" ref="AE65:AE128" si="40">IF(AB65="ع",0,(AD65+(K65*300)+AC65))</f>
        <v>0</v>
      </c>
      <c r="AF65" s="678" t="e">
        <f t="shared" ref="AF65:AF128" si="41">IF(G65="مدير ولائي",(3200*19),(W65*45))</f>
        <v>#N/A</v>
      </c>
      <c r="AG65" s="678" t="e">
        <f t="shared" ref="AG65:AG128" si="42">IF(G65="مدير ولائي",(Y65*19),(X65*45))</f>
        <v>#N/A</v>
      </c>
      <c r="AH65" s="673">
        <f t="shared" si="22"/>
        <v>0</v>
      </c>
      <c r="AI65" s="674" t="e">
        <f>IF(G65="مدير ولائي",(11000*35%),LOOKUP(D65,'f-travail'!A:A,'f-travail'!I:I))</f>
        <v>#N/A</v>
      </c>
      <c r="AJ65" s="673" t="e">
        <f>IF(G65="مدير ولائي",((W65+X65)*45)*80%,IF(V65&lt;8,0,IF(F65="إليزي",(LOOKUP(D65,'f-travail'!A:A,'f-travail'!O:O))*(AF65+AG65),LOOKUP(D65,'f-travail'!A:A,'f-travail'!P:P)*(AF65+AG65))))</f>
        <v>#N/A</v>
      </c>
      <c r="AK65" s="673" t="e">
        <f>IF(G65="مدير ولائي",0,LOOKUP(D65,'f-travail'!A:A,'f-travail'!Q:Q))</f>
        <v>#N/A</v>
      </c>
      <c r="AL65" s="673" t="e">
        <f>IF(G65="مدير ولائي",0,LOOKUP(D65,'f-travail'!A:A,'f-travail'!R:R)*(AF65+AG65))</f>
        <v>#N/A</v>
      </c>
      <c r="AM65" s="673" t="e">
        <f>IF(G65="مدير ولائي",0,LOOKUP(D65,'f-travail'!A:A,'f-travail'!S:S)*(AF65+AG65))</f>
        <v>#N/A</v>
      </c>
      <c r="AN65" s="673" t="e">
        <f>IF(G65="مدير ولائي",0,LOOKUP(D65,'f-travail'!A:A,'f-travail'!T:T)*(AF65+AG65))</f>
        <v>#N/A</v>
      </c>
      <c r="AO65" s="673" t="e">
        <f>IF(G65="مدير ولائي",0,LOOKUP(D65,'f-travail'!A:A,'f-travail'!U:U)*(AF65+AG65))</f>
        <v>#N/A</v>
      </c>
      <c r="AP65" s="673" t="e">
        <f>IF(G65="مدير ولائي",0,LOOKUP(D65,'f-travail'!A:A,'f-travail'!V:V)*(AF65+AG65))</f>
        <v>#N/A</v>
      </c>
      <c r="AQ65" s="673" t="e">
        <f>IF(G65="مدير ولائي",0,LOOKUP(D65,'f-travail'!A:A,'f-travail'!W:W)*(AF65+AG65))</f>
        <v>#N/A</v>
      </c>
      <c r="AR65" s="673">
        <f t="shared" si="23"/>
        <v>0</v>
      </c>
      <c r="AS65" s="673" t="e">
        <f>IF(G65="مدير ولائي",0,LOOKUP(D65,'f-travail'!A:A,'f-travail'!X:X)*(AF65+AG65))</f>
        <v>#N/A</v>
      </c>
      <c r="AT65" s="673" t="e">
        <f>IF(G65="مدير ولائي",0,LOOKUP(D65,'f-travail'!Y:Y,'f-travail'!R:R)*(AF65+AG65))</f>
        <v>#N/A</v>
      </c>
      <c r="AU65" s="673">
        <f t="shared" ref="AU65:AU128" si="43">IF(G65="مدير ولائي",50%*(AF65+AG65),0)</f>
        <v>0</v>
      </c>
      <c r="AV65" s="673">
        <f t="shared" ref="AV65:AV128" si="44">IF(G65="مدير ولائي",50%*(AF65+AG65),0)</f>
        <v>0</v>
      </c>
      <c r="AW65" s="673">
        <f t="shared" ref="AW65:AW128" si="45">IF(G65="مدير ولائي",50%*(AF65+AG65),0)</f>
        <v>0</v>
      </c>
      <c r="AX65" s="637" t="str">
        <f t="shared" si="33"/>
        <v/>
      </c>
      <c r="AY65" s="640" t="e">
        <f t="shared" si="9"/>
        <v>#N/A</v>
      </c>
      <c r="AZ65" s="673" t="e">
        <f t="shared" ref="AZ65:AZ128" si="46">AG65+AF65+U65+T65+(AA65*45)</f>
        <v>#N/A</v>
      </c>
      <c r="BA65" s="639" t="e">
        <f t="shared" ref="BA65:BA128" si="47">SUM(BB65:BF65,(AZ65+AT65+AJ65+AI65+AE65))</f>
        <v>#N/A</v>
      </c>
      <c r="BB65" s="639" t="e">
        <f t="shared" ref="BB65:BB79" si="48">AP65+AO65+AN65+AM65+AL65</f>
        <v>#N/A</v>
      </c>
      <c r="BC65" s="639">
        <f t="shared" ref="BC65:BC79" si="49">AV65+AR65</f>
        <v>0</v>
      </c>
      <c r="BD65" s="639" t="e">
        <f t="shared" ref="BD65:BD79" si="50">AU65+AK65</f>
        <v>#N/A</v>
      </c>
      <c r="BE65" s="639">
        <f t="shared" ref="BE65:BE79" si="51">N65+AH65</f>
        <v>0</v>
      </c>
      <c r="BF65" s="639" t="e">
        <f t="shared" ref="BF65:BF79" si="52">AS65+AQ65+AW65</f>
        <v>#N/A</v>
      </c>
      <c r="BG65" s="639">
        <f t="shared" si="24"/>
        <v>0</v>
      </c>
      <c r="BH65" s="683">
        <f t="shared" si="25"/>
        <v>0</v>
      </c>
      <c r="BI65" s="683">
        <f t="shared" si="26"/>
        <v>0</v>
      </c>
      <c r="BJ65" s="641" t="e">
        <f t="shared" si="27"/>
        <v>#N/A</v>
      </c>
      <c r="BK65" s="641" t="e">
        <f t="shared" si="28"/>
        <v>#N/A</v>
      </c>
      <c r="BL65" s="641" t="e">
        <f t="shared" si="29"/>
        <v>#N/A</v>
      </c>
      <c r="BM65" s="684" t="e">
        <f t="shared" si="30"/>
        <v>#N/A</v>
      </c>
      <c r="BN65" s="638" t="s">
        <v>868</v>
      </c>
      <c r="BO65" s="682" t="e">
        <f>CONCATENATE(Z65," ",LOOKUP(D65,'f-travail'!A:A,'f-travail'!F:F))</f>
        <v>#N/A</v>
      </c>
      <c r="BP65" s="669" t="e">
        <f t="shared" ref="BP65:BP128" si="53">IF(G65="",CONCATENATE(G65," ",E65),CONCATENATE(G65," (",E65,")"))</f>
        <v>#N/A</v>
      </c>
    </row>
    <row r="66" spans="1:68">
      <c r="A66" s="636">
        <f t="shared" si="31"/>
        <v>65</v>
      </c>
      <c r="B66" s="637"/>
      <c r="C66" s="637"/>
      <c r="D66" s="652"/>
      <c r="E66" s="679" t="e">
        <f>LOOKUP(D66,'f-travail'!A:A,'f-travail'!B:B)</f>
        <v>#N/A</v>
      </c>
      <c r="F66" s="650"/>
      <c r="G66" s="650"/>
      <c r="H66" s="653"/>
      <c r="I66" s="653"/>
      <c r="J66" s="654"/>
      <c r="K66" s="650"/>
      <c r="L66" s="650"/>
      <c r="M66" s="650">
        <v>0</v>
      </c>
      <c r="N66" s="654"/>
      <c r="O66" s="654"/>
      <c r="P66" s="654"/>
      <c r="Q66" s="654"/>
      <c r="R66" s="676"/>
      <c r="S66" s="654"/>
      <c r="T66" s="675"/>
      <c r="U66" s="675"/>
      <c r="V66" s="670" t="e">
        <f>LOOKUP(D66,'f-travail'!A:A,'f-travail'!E:E)</f>
        <v>#N/A</v>
      </c>
      <c r="W66" s="670" t="e">
        <f>VLOOKUP(V66,جرقمإستدلالي,'f-travail'!$AD$4+1,FALSE)</f>
        <v>#N/A</v>
      </c>
      <c r="X66" s="671" t="e">
        <f t="shared" si="37"/>
        <v>#N/A</v>
      </c>
      <c r="Y66" s="671">
        <f>IF(G66="مدير ولائي",(HLOOKUP(I66,جدروظعليا,'f-travail'!$AT$3+1,FALSE)-3200),0)</f>
        <v>0</v>
      </c>
      <c r="Z66" s="672" t="str">
        <f t="shared" ref="Z66:Z129" si="54">IF(OR(G66="رئيس مفتشية",G66="محافظ عقاري",G66="رئيس مصلحة"),"م8",IF(G66="رئيس مكتب","م7",IF(G66="رئيس قسم","م5",IF(G66="رئيس حضيرة","م3",IF(G66="مدير ولائي","ب 1","")))))</f>
        <v/>
      </c>
      <c r="AA66" s="671">
        <f t="shared" ref="AA66:AA129" si="55">IF(Z66="م8",195,IF(Z66="م7",145,IF(Z66="م5",75,IF(Z66="م3",45,0))))</f>
        <v>0</v>
      </c>
      <c r="AB66" s="677" t="b">
        <f t="shared" si="38"/>
        <v>0</v>
      </c>
      <c r="AC66" s="678">
        <f t="shared" ref="AC66:AC129" si="56">IF(AND(J66="متزوج(ة)ماكثة",K66=0),5.5,IF(AND(J66="متزوج(ة)ماكثة",K66&gt;0),800,0))</f>
        <v>0</v>
      </c>
      <c r="AD66" s="673">
        <f t="shared" si="39"/>
        <v>0</v>
      </c>
      <c r="AE66" s="678">
        <f t="shared" si="40"/>
        <v>0</v>
      </c>
      <c r="AF66" s="678" t="e">
        <f t="shared" si="41"/>
        <v>#N/A</v>
      </c>
      <c r="AG66" s="678" t="e">
        <f t="shared" si="42"/>
        <v>#N/A</v>
      </c>
      <c r="AH66" s="673">
        <f t="shared" ref="AH66:AH129" si="57">IF(OR(G66="مدير ولائي",M66=0),0,IF(M66=1,2000))</f>
        <v>0</v>
      </c>
      <c r="AI66" s="674" t="e">
        <f>IF(G66="مدير ولائي",(11000*35%),LOOKUP(D66,'f-travail'!A:A,'f-travail'!I:I))</f>
        <v>#N/A</v>
      </c>
      <c r="AJ66" s="673" t="e">
        <f>IF(G66="مدير ولائي",((W66+X66)*45)*80%,IF(V66&lt;8,0,IF(F66="إليزي",(LOOKUP(D66,'f-travail'!A:A,'f-travail'!O:O))*(AF66+AG66),LOOKUP(D66,'f-travail'!A:A,'f-travail'!P:P)*(AF66+AG66))))</f>
        <v>#N/A</v>
      </c>
      <c r="AK66" s="673" t="e">
        <f>IF(G66="مدير ولائي",0,LOOKUP(D66,'f-travail'!A:A,'f-travail'!Q:Q))</f>
        <v>#N/A</v>
      </c>
      <c r="AL66" s="673" t="e">
        <f>IF(G66="مدير ولائي",0,LOOKUP(D66,'f-travail'!A:A,'f-travail'!R:R)*(AF66+AG66))</f>
        <v>#N/A</v>
      </c>
      <c r="AM66" s="673" t="e">
        <f>IF(G66="مدير ولائي",0,LOOKUP(D66,'f-travail'!A:A,'f-travail'!S:S)*(AF66+AG66))</f>
        <v>#N/A</v>
      </c>
      <c r="AN66" s="673" t="e">
        <f>IF(G66="مدير ولائي",0,LOOKUP(D66,'f-travail'!A:A,'f-travail'!T:T)*(AF66+AG66))</f>
        <v>#N/A</v>
      </c>
      <c r="AO66" s="673" t="e">
        <f>IF(G66="مدير ولائي",0,LOOKUP(D66,'f-travail'!A:A,'f-travail'!U:U)*(AF66+AG66))</f>
        <v>#N/A</v>
      </c>
      <c r="AP66" s="673" t="e">
        <f>IF(G66="مدير ولائي",0,LOOKUP(D66,'f-travail'!A:A,'f-travail'!V:V)*(AF66+AG66))</f>
        <v>#N/A</v>
      </c>
      <c r="AQ66" s="673" t="e">
        <f>IF(G66="مدير ولائي",0,LOOKUP(D66,'f-travail'!A:A,'f-travail'!W:W)*(AF66+AG66))</f>
        <v>#N/A</v>
      </c>
      <c r="AR66" s="673">
        <f t="shared" ref="AR66:AR129" si="58">IF(G66="أمين صندوق",4000,0)</f>
        <v>0</v>
      </c>
      <c r="AS66" s="673" t="e">
        <f>IF(G66="مدير ولائي",0,LOOKUP(D66,'f-travail'!A:A,'f-travail'!X:X)*(AF66+AG66))</f>
        <v>#N/A</v>
      </c>
      <c r="AT66" s="673" t="e">
        <f>IF(G66="مدير ولائي",0,LOOKUP(D66,'f-travail'!Y:Y,'f-travail'!R:R)*(AF66+AG66))</f>
        <v>#N/A</v>
      </c>
      <c r="AU66" s="673">
        <f t="shared" si="43"/>
        <v>0</v>
      </c>
      <c r="AV66" s="673">
        <f t="shared" si="44"/>
        <v>0</v>
      </c>
      <c r="AW66" s="673">
        <f t="shared" si="45"/>
        <v>0</v>
      </c>
      <c r="AX66" s="637" t="str">
        <f t="shared" si="33"/>
        <v/>
      </c>
      <c r="AY66" s="640" t="e">
        <f t="shared" ref="AY66:AY129" si="59">IF(Z66="ب 1",IF(OR(A66=0,A66=""),"",IF(OR(H66=0,I66=""),BO66,CONCATENATE(BO66," - ","د"," ",I66))),IF(OR(A66=0,A66=""),"",IF(OR(H66=0,H66=""),BO66,CONCATENATE(BO66," - ","د"," ",H66))))</f>
        <v>#N/A</v>
      </c>
      <c r="AZ66" s="673" t="e">
        <f t="shared" si="46"/>
        <v>#N/A</v>
      </c>
      <c r="BA66" s="639" t="e">
        <f t="shared" si="47"/>
        <v>#N/A</v>
      </c>
      <c r="BB66" s="639" t="e">
        <f t="shared" si="48"/>
        <v>#N/A</v>
      </c>
      <c r="BC66" s="639">
        <f t="shared" si="49"/>
        <v>0</v>
      </c>
      <c r="BD66" s="639" t="e">
        <f t="shared" si="50"/>
        <v>#N/A</v>
      </c>
      <c r="BE66" s="639">
        <f t="shared" si="51"/>
        <v>0</v>
      </c>
      <c r="BF66" s="639" t="e">
        <f t="shared" si="52"/>
        <v>#N/A</v>
      </c>
      <c r="BG66" s="639">
        <f t="shared" ref="BG66:BG129" si="60">IF(Z66="ب 1",ROUND((BA66-AE66-N66)*1%,2),0)</f>
        <v>0</v>
      </c>
      <c r="BH66" s="683">
        <f t="shared" ref="BH66:BH129" si="61">IF(AND(Z66="ب 1",P66=1),ROUND((BA66-AE66-N66)*1.5%,2),IF(P66=1,ROUND((BA66-AE66)*1.5%,2),0))</f>
        <v>0</v>
      </c>
      <c r="BI66" s="683">
        <f t="shared" ref="BI66:BI129" si="62">IF(O66=1,9523.81,0)</f>
        <v>0</v>
      </c>
      <c r="BJ66" s="641" t="e">
        <f t="shared" ref="BJ66:BJ129" si="63">IF(Z66="ب 1",ROUND((BA66-AE66-N66),2),ROUND((BA66-AE66),2))</f>
        <v>#N/A</v>
      </c>
      <c r="BK66" s="641" t="e">
        <f t="shared" ref="BK66:BK129" si="64">ROUND((BJ66*9%),2)</f>
        <v>#N/A</v>
      </c>
      <c r="BL66" s="641" t="e">
        <f t="shared" ref="BL66:BL129" si="65">IF(Z66="ب 1",ROUNDDOWN((BA66-BK66-AI66-N66),2),ROUNDDOWN((BA66-BK66-AI66-AH66),2))</f>
        <v>#N/A</v>
      </c>
      <c r="BM66" s="684" t="e">
        <f t="shared" ref="BM66:BM129" si="66">IF(Z66="ب 1",ROUND((29500+(BL66-120000)*35%)/2,2),(ROUND((IF((BL66&gt;1500),(IF(OR(BL66&gt;22500),IF(AND(BL66&gt;22500),(BL66-22500)*12%)+IF(AND(BL66&gt;28750),(BL66-28750)*8%)+IF(AND(BL66&gt;30000),(BL66-30000)*10%)+1500,IF(AND((BL66&gt;1500),(BL66&lt;=22500)),(BL66-15000)*20%))))/2),2)))</f>
        <v>#N/A</v>
      </c>
      <c r="BN66" s="638" t="s">
        <v>869</v>
      </c>
      <c r="BO66" s="682" t="e">
        <f>CONCATENATE(Z66," ",LOOKUP(D66,'f-travail'!A:A,'f-travail'!F:F))</f>
        <v>#N/A</v>
      </c>
      <c r="BP66" s="669" t="e">
        <f t="shared" si="53"/>
        <v>#N/A</v>
      </c>
    </row>
    <row r="67" spans="1:68">
      <c r="A67" s="636">
        <f t="shared" si="31"/>
        <v>66</v>
      </c>
      <c r="B67" s="637"/>
      <c r="C67" s="637"/>
      <c r="D67" s="652"/>
      <c r="E67" s="679" t="e">
        <f>LOOKUP(D67,'f-travail'!A:A,'f-travail'!B:B)</f>
        <v>#N/A</v>
      </c>
      <c r="F67" s="650"/>
      <c r="G67" s="650"/>
      <c r="H67" s="653"/>
      <c r="I67" s="653"/>
      <c r="J67" s="654"/>
      <c r="K67" s="650"/>
      <c r="L67" s="650"/>
      <c r="M67" s="650">
        <v>0</v>
      </c>
      <c r="N67" s="654"/>
      <c r="O67" s="654"/>
      <c r="P67" s="654"/>
      <c r="Q67" s="654"/>
      <c r="R67" s="676"/>
      <c r="S67" s="654"/>
      <c r="T67" s="675"/>
      <c r="U67" s="675"/>
      <c r="V67" s="670" t="e">
        <f>LOOKUP(D67,'f-travail'!A:A,'f-travail'!E:E)</f>
        <v>#N/A</v>
      </c>
      <c r="W67" s="670" t="e">
        <f>VLOOKUP(V67,جرقمإستدلالي,'f-travail'!$AD$4+1,FALSE)</f>
        <v>#N/A</v>
      </c>
      <c r="X67" s="671" t="e">
        <f t="shared" si="37"/>
        <v>#N/A</v>
      </c>
      <c r="Y67" s="671">
        <f>IF(G67="مدير ولائي",(HLOOKUP(I67,جدروظعليا,'f-travail'!$AT$3+1,FALSE)-3200),0)</f>
        <v>0</v>
      </c>
      <c r="Z67" s="672" t="str">
        <f t="shared" si="54"/>
        <v/>
      </c>
      <c r="AA67" s="671">
        <f t="shared" si="55"/>
        <v>0</v>
      </c>
      <c r="AB67" s="677" t="b">
        <f t="shared" si="38"/>
        <v>0</v>
      </c>
      <c r="AC67" s="678">
        <f t="shared" si="56"/>
        <v>0</v>
      </c>
      <c r="AD67" s="673">
        <f t="shared" si="39"/>
        <v>0</v>
      </c>
      <c r="AE67" s="678">
        <f t="shared" si="40"/>
        <v>0</v>
      </c>
      <c r="AF67" s="678" t="e">
        <f t="shared" si="41"/>
        <v>#N/A</v>
      </c>
      <c r="AG67" s="678" t="e">
        <f t="shared" si="42"/>
        <v>#N/A</v>
      </c>
      <c r="AH67" s="673">
        <f t="shared" si="57"/>
        <v>0</v>
      </c>
      <c r="AI67" s="674" t="e">
        <f>IF(G67="مدير ولائي",(11000*35%),LOOKUP(D67,'f-travail'!A:A,'f-travail'!I:I))</f>
        <v>#N/A</v>
      </c>
      <c r="AJ67" s="673" t="e">
        <f>IF(G67="مدير ولائي",((W67+X67)*45)*80%,IF(V67&lt;8,0,IF(F67="إليزي",(LOOKUP(D67,'f-travail'!A:A,'f-travail'!O:O))*(AF67+AG67),LOOKUP(D67,'f-travail'!A:A,'f-travail'!P:P)*(AF67+AG67))))</f>
        <v>#N/A</v>
      </c>
      <c r="AK67" s="673" t="e">
        <f>IF(G67="مدير ولائي",0,LOOKUP(D67,'f-travail'!A:A,'f-travail'!Q:Q))</f>
        <v>#N/A</v>
      </c>
      <c r="AL67" s="673" t="e">
        <f>IF(G67="مدير ولائي",0,LOOKUP(D67,'f-travail'!A:A,'f-travail'!R:R)*(AF67+AG67))</f>
        <v>#N/A</v>
      </c>
      <c r="AM67" s="673" t="e">
        <f>IF(G67="مدير ولائي",0,LOOKUP(D67,'f-travail'!A:A,'f-travail'!S:S)*(AF67+AG67))</f>
        <v>#N/A</v>
      </c>
      <c r="AN67" s="673" t="e">
        <f>IF(G67="مدير ولائي",0,LOOKUP(D67,'f-travail'!A:A,'f-travail'!T:T)*(AF67+AG67))</f>
        <v>#N/A</v>
      </c>
      <c r="AO67" s="673" t="e">
        <f>IF(G67="مدير ولائي",0,LOOKUP(D67,'f-travail'!A:A,'f-travail'!U:U)*(AF67+AG67))</f>
        <v>#N/A</v>
      </c>
      <c r="AP67" s="673" t="e">
        <f>IF(G67="مدير ولائي",0,LOOKUP(D67,'f-travail'!A:A,'f-travail'!V:V)*(AF67+AG67))</f>
        <v>#N/A</v>
      </c>
      <c r="AQ67" s="673" t="e">
        <f>IF(G67="مدير ولائي",0,LOOKUP(D67,'f-travail'!A:A,'f-travail'!W:W)*(AF67+AG67))</f>
        <v>#N/A</v>
      </c>
      <c r="AR67" s="673">
        <f t="shared" si="58"/>
        <v>0</v>
      </c>
      <c r="AS67" s="673" t="e">
        <f>IF(G67="مدير ولائي",0,LOOKUP(D67,'f-travail'!A:A,'f-travail'!X:X)*(AF67+AG67))</f>
        <v>#N/A</v>
      </c>
      <c r="AT67" s="673" t="e">
        <f>IF(G67="مدير ولائي",0,LOOKUP(D67,'f-travail'!Y:Y,'f-travail'!R:R)*(AF67+AG67))</f>
        <v>#N/A</v>
      </c>
      <c r="AU67" s="673">
        <f t="shared" si="43"/>
        <v>0</v>
      </c>
      <c r="AV67" s="673">
        <f t="shared" si="44"/>
        <v>0</v>
      </c>
      <c r="AW67" s="673">
        <f t="shared" si="45"/>
        <v>0</v>
      </c>
      <c r="AX67" s="637" t="str">
        <f>C67&amp;B67</f>
        <v/>
      </c>
      <c r="AY67" s="640" t="e">
        <f t="shared" si="59"/>
        <v>#N/A</v>
      </c>
      <c r="AZ67" s="673" t="e">
        <f t="shared" si="46"/>
        <v>#N/A</v>
      </c>
      <c r="BA67" s="639" t="e">
        <f t="shared" si="47"/>
        <v>#N/A</v>
      </c>
      <c r="BB67" s="639" t="e">
        <f t="shared" si="48"/>
        <v>#N/A</v>
      </c>
      <c r="BC67" s="639">
        <f t="shared" si="49"/>
        <v>0</v>
      </c>
      <c r="BD67" s="639" t="e">
        <f t="shared" si="50"/>
        <v>#N/A</v>
      </c>
      <c r="BE67" s="639">
        <f t="shared" si="51"/>
        <v>0</v>
      </c>
      <c r="BF67" s="639" t="e">
        <f t="shared" si="52"/>
        <v>#N/A</v>
      </c>
      <c r="BG67" s="639">
        <f t="shared" si="60"/>
        <v>0</v>
      </c>
      <c r="BH67" s="683">
        <f t="shared" si="61"/>
        <v>0</v>
      </c>
      <c r="BI67" s="683">
        <f t="shared" si="62"/>
        <v>0</v>
      </c>
      <c r="BJ67" s="641" t="e">
        <f t="shared" si="63"/>
        <v>#N/A</v>
      </c>
      <c r="BK67" s="641" t="e">
        <f t="shared" si="64"/>
        <v>#N/A</v>
      </c>
      <c r="BL67" s="641" t="e">
        <f t="shared" si="65"/>
        <v>#N/A</v>
      </c>
      <c r="BM67" s="684" t="e">
        <f t="shared" si="66"/>
        <v>#N/A</v>
      </c>
      <c r="BN67" s="638" t="s">
        <v>870</v>
      </c>
      <c r="BO67" s="682" t="e">
        <f>CONCATENATE(Z67," ",LOOKUP(D67,'f-travail'!A:A,'f-travail'!F:F))</f>
        <v>#N/A</v>
      </c>
      <c r="BP67" s="669" t="e">
        <f t="shared" si="53"/>
        <v>#N/A</v>
      </c>
    </row>
    <row r="68" spans="1:68">
      <c r="A68" s="636">
        <f t="shared" ref="A68:A131" si="67">A67+1</f>
        <v>67</v>
      </c>
      <c r="B68" s="637"/>
      <c r="C68" s="637"/>
      <c r="D68" s="652"/>
      <c r="E68" s="679" t="e">
        <f>LOOKUP(D68,'f-travail'!A:A,'f-travail'!B:B)</f>
        <v>#N/A</v>
      </c>
      <c r="F68" s="650"/>
      <c r="G68" s="650"/>
      <c r="H68" s="653"/>
      <c r="I68" s="653"/>
      <c r="J68" s="654"/>
      <c r="K68" s="650"/>
      <c r="L68" s="650"/>
      <c r="M68" s="650">
        <v>0</v>
      </c>
      <c r="N68" s="654"/>
      <c r="O68" s="654"/>
      <c r="P68" s="654"/>
      <c r="Q68" s="654"/>
      <c r="R68" s="676"/>
      <c r="S68" s="654"/>
      <c r="T68" s="675"/>
      <c r="U68" s="675"/>
      <c r="V68" s="670" t="e">
        <f>LOOKUP(D68,'f-travail'!A:A,'f-travail'!E:E)</f>
        <v>#N/A</v>
      </c>
      <c r="W68" s="670" t="e">
        <f>VLOOKUP(V68,جرقمإستدلالي,'f-travail'!$AD$4+1,FALSE)</f>
        <v>#N/A</v>
      </c>
      <c r="X68" s="671" t="e">
        <f t="shared" si="37"/>
        <v>#N/A</v>
      </c>
      <c r="Y68" s="671">
        <f>IF(G68="مدير ولائي",(HLOOKUP(I68,جدروظعليا,'f-travail'!$AT$3+1,FALSE)-3200),0)</f>
        <v>0</v>
      </c>
      <c r="Z68" s="672" t="str">
        <f t="shared" si="54"/>
        <v/>
      </c>
      <c r="AA68" s="671">
        <f t="shared" si="55"/>
        <v>0</v>
      </c>
      <c r="AB68" s="677" t="b">
        <f t="shared" si="38"/>
        <v>0</v>
      </c>
      <c r="AC68" s="678">
        <f t="shared" si="56"/>
        <v>0</v>
      </c>
      <c r="AD68" s="673">
        <f t="shared" si="39"/>
        <v>0</v>
      </c>
      <c r="AE68" s="678">
        <f t="shared" si="40"/>
        <v>0</v>
      </c>
      <c r="AF68" s="678" t="e">
        <f t="shared" si="41"/>
        <v>#N/A</v>
      </c>
      <c r="AG68" s="678" t="e">
        <f t="shared" si="42"/>
        <v>#N/A</v>
      </c>
      <c r="AH68" s="673">
        <f t="shared" si="57"/>
        <v>0</v>
      </c>
      <c r="AI68" s="674" t="e">
        <f>IF(G68="مدير ولائي",(11000*35%),LOOKUP(D68,'f-travail'!A:A,'f-travail'!I:I))</f>
        <v>#N/A</v>
      </c>
      <c r="AJ68" s="673" t="e">
        <f>IF(G68="مدير ولائي",((W68+X68)*45)*80%,IF(V68&lt;8,0,IF(F68="إليزي",(LOOKUP(D68,'f-travail'!A:A,'f-travail'!O:O))*(AF68+AG68),LOOKUP(D68,'f-travail'!A:A,'f-travail'!P:P)*(AF68+AG68))))</f>
        <v>#N/A</v>
      </c>
      <c r="AK68" s="673" t="e">
        <f>IF(G68="مدير ولائي",0,LOOKUP(D68,'f-travail'!A:A,'f-travail'!Q:Q))</f>
        <v>#N/A</v>
      </c>
      <c r="AL68" s="673" t="e">
        <f>IF(G68="مدير ولائي",0,LOOKUP(D68,'f-travail'!A:A,'f-travail'!R:R)*(AF68+AG68))</f>
        <v>#N/A</v>
      </c>
      <c r="AM68" s="673" t="e">
        <f>IF(G68="مدير ولائي",0,LOOKUP(D68,'f-travail'!A:A,'f-travail'!S:S)*(AF68+AG68))</f>
        <v>#N/A</v>
      </c>
      <c r="AN68" s="673" t="e">
        <f>IF(G68="مدير ولائي",0,LOOKUP(D68,'f-travail'!A:A,'f-travail'!T:T)*(AF68+AG68))</f>
        <v>#N/A</v>
      </c>
      <c r="AO68" s="673" t="e">
        <f>IF(G68="مدير ولائي",0,LOOKUP(D68,'f-travail'!A:A,'f-travail'!U:U)*(AF68+AG68))</f>
        <v>#N/A</v>
      </c>
      <c r="AP68" s="673" t="e">
        <f>IF(G68="مدير ولائي",0,LOOKUP(D68,'f-travail'!A:A,'f-travail'!V:V)*(AF68+AG68))</f>
        <v>#N/A</v>
      </c>
      <c r="AQ68" s="673" t="e">
        <f>IF(G68="مدير ولائي",0,LOOKUP(D68,'f-travail'!A:A,'f-travail'!W:W)*(AF68+AG68))</f>
        <v>#N/A</v>
      </c>
      <c r="AR68" s="673">
        <f t="shared" si="58"/>
        <v>0</v>
      </c>
      <c r="AS68" s="673" t="e">
        <f>IF(G68="مدير ولائي",0,LOOKUP(D68,'f-travail'!A:A,'f-travail'!X:X)*(AF68+AG68))</f>
        <v>#N/A</v>
      </c>
      <c r="AT68" s="673" t="e">
        <f>IF(G68="مدير ولائي",0,LOOKUP(D68,'f-travail'!Y:Y,'f-travail'!R:R)*(AF68+AG68))</f>
        <v>#N/A</v>
      </c>
      <c r="AU68" s="673">
        <f t="shared" si="43"/>
        <v>0</v>
      </c>
      <c r="AV68" s="673">
        <f t="shared" si="44"/>
        <v>0</v>
      </c>
      <c r="AW68" s="673">
        <f t="shared" si="45"/>
        <v>0</v>
      </c>
      <c r="AX68" s="637" t="str">
        <f t="shared" si="33"/>
        <v/>
      </c>
      <c r="AY68" s="640" t="e">
        <f t="shared" si="59"/>
        <v>#N/A</v>
      </c>
      <c r="AZ68" s="673" t="e">
        <f t="shared" si="46"/>
        <v>#N/A</v>
      </c>
      <c r="BA68" s="639" t="e">
        <f t="shared" si="47"/>
        <v>#N/A</v>
      </c>
      <c r="BB68" s="639" t="e">
        <f t="shared" si="48"/>
        <v>#N/A</v>
      </c>
      <c r="BC68" s="639">
        <f t="shared" si="49"/>
        <v>0</v>
      </c>
      <c r="BD68" s="639" t="e">
        <f t="shared" si="50"/>
        <v>#N/A</v>
      </c>
      <c r="BE68" s="639">
        <f t="shared" si="51"/>
        <v>0</v>
      </c>
      <c r="BF68" s="639" t="e">
        <f t="shared" si="52"/>
        <v>#N/A</v>
      </c>
      <c r="BG68" s="639">
        <f t="shared" si="60"/>
        <v>0</v>
      </c>
      <c r="BH68" s="683">
        <f t="shared" si="61"/>
        <v>0</v>
      </c>
      <c r="BI68" s="683">
        <f t="shared" si="62"/>
        <v>0</v>
      </c>
      <c r="BJ68" s="641" t="e">
        <f t="shared" si="63"/>
        <v>#N/A</v>
      </c>
      <c r="BK68" s="641" t="e">
        <f t="shared" si="64"/>
        <v>#N/A</v>
      </c>
      <c r="BL68" s="641" t="e">
        <f t="shared" si="65"/>
        <v>#N/A</v>
      </c>
      <c r="BM68" s="684" t="e">
        <f t="shared" si="66"/>
        <v>#N/A</v>
      </c>
      <c r="BN68" s="638" t="s">
        <v>871</v>
      </c>
      <c r="BO68" s="682" t="e">
        <f>CONCATENATE(Z68," ",LOOKUP(D68,'f-travail'!A:A,'f-travail'!F:F))</f>
        <v>#N/A</v>
      </c>
      <c r="BP68" s="669" t="e">
        <f t="shared" si="53"/>
        <v>#N/A</v>
      </c>
    </row>
    <row r="69" spans="1:68">
      <c r="A69" s="636">
        <f t="shared" si="67"/>
        <v>68</v>
      </c>
      <c r="B69" s="637"/>
      <c r="C69" s="637"/>
      <c r="D69" s="652"/>
      <c r="E69" s="679" t="e">
        <f>LOOKUP(D69,'f-travail'!A:A,'f-travail'!B:B)</f>
        <v>#N/A</v>
      </c>
      <c r="F69" s="650"/>
      <c r="G69" s="650"/>
      <c r="H69" s="653"/>
      <c r="I69" s="653"/>
      <c r="J69" s="654"/>
      <c r="K69" s="650"/>
      <c r="L69" s="650"/>
      <c r="M69" s="650">
        <v>0</v>
      </c>
      <c r="N69" s="654"/>
      <c r="O69" s="654"/>
      <c r="P69" s="654"/>
      <c r="Q69" s="654"/>
      <c r="R69" s="676"/>
      <c r="S69" s="654"/>
      <c r="T69" s="675"/>
      <c r="U69" s="675"/>
      <c r="V69" s="670" t="e">
        <f>LOOKUP(D69,'f-travail'!A:A,'f-travail'!E:E)</f>
        <v>#N/A</v>
      </c>
      <c r="W69" s="670" t="e">
        <f>VLOOKUP(V69,جرقمإستدلالي,'f-travail'!$AD$4+1,FALSE)</f>
        <v>#N/A</v>
      </c>
      <c r="X69" s="671" t="e">
        <f t="shared" si="37"/>
        <v>#N/A</v>
      </c>
      <c r="Y69" s="671">
        <f>IF(G69="مدير ولائي",(HLOOKUP(I69,جدروظعليا,'f-travail'!$AT$3+1,FALSE)-3200),0)</f>
        <v>0</v>
      </c>
      <c r="Z69" s="672" t="str">
        <f t="shared" si="54"/>
        <v/>
      </c>
      <c r="AA69" s="671">
        <f t="shared" si="55"/>
        <v>0</v>
      </c>
      <c r="AB69" s="677" t="b">
        <f t="shared" si="38"/>
        <v>0</v>
      </c>
      <c r="AC69" s="678">
        <f t="shared" si="56"/>
        <v>0</v>
      </c>
      <c r="AD69" s="673">
        <f t="shared" si="39"/>
        <v>0</v>
      </c>
      <c r="AE69" s="678">
        <f t="shared" si="40"/>
        <v>0</v>
      </c>
      <c r="AF69" s="678" t="e">
        <f t="shared" si="41"/>
        <v>#N/A</v>
      </c>
      <c r="AG69" s="678" t="e">
        <f t="shared" si="42"/>
        <v>#N/A</v>
      </c>
      <c r="AH69" s="673">
        <f t="shared" si="57"/>
        <v>0</v>
      </c>
      <c r="AI69" s="674" t="e">
        <f>IF(G69="مدير ولائي",(11000*35%),LOOKUP(D69,'f-travail'!A:A,'f-travail'!I:I))</f>
        <v>#N/A</v>
      </c>
      <c r="AJ69" s="673" t="e">
        <f>IF(G69="مدير ولائي",((W69+X69)*45)*80%,IF(V69&lt;8,0,IF(F69="إليزي",(LOOKUP(D69,'f-travail'!A:A,'f-travail'!O:O))*(AF69+AG69),LOOKUP(D69,'f-travail'!A:A,'f-travail'!P:P)*(AF69+AG69))))</f>
        <v>#N/A</v>
      </c>
      <c r="AK69" s="673" t="e">
        <f>IF(G69="مدير ولائي",0,LOOKUP(D69,'f-travail'!A:A,'f-travail'!Q:Q))</f>
        <v>#N/A</v>
      </c>
      <c r="AL69" s="673" t="e">
        <f>IF(G69="مدير ولائي",0,LOOKUP(D69,'f-travail'!A:A,'f-travail'!R:R)*(AF69+AG69))</f>
        <v>#N/A</v>
      </c>
      <c r="AM69" s="673" t="e">
        <f>IF(G69="مدير ولائي",0,LOOKUP(D69,'f-travail'!A:A,'f-travail'!S:S)*(AF69+AG69))</f>
        <v>#N/A</v>
      </c>
      <c r="AN69" s="673" t="e">
        <f>IF(G69="مدير ولائي",0,LOOKUP(D69,'f-travail'!A:A,'f-travail'!T:T)*(AF69+AG69))</f>
        <v>#N/A</v>
      </c>
      <c r="AO69" s="673" t="e">
        <f>IF(G69="مدير ولائي",0,LOOKUP(D69,'f-travail'!A:A,'f-travail'!U:U)*(AF69+AG69))</f>
        <v>#N/A</v>
      </c>
      <c r="AP69" s="673" t="e">
        <f>IF(G69="مدير ولائي",0,LOOKUP(D69,'f-travail'!A:A,'f-travail'!V:V)*(AF69+AG69))</f>
        <v>#N/A</v>
      </c>
      <c r="AQ69" s="673" t="e">
        <f>IF(G69="مدير ولائي",0,LOOKUP(D69,'f-travail'!A:A,'f-travail'!W:W)*(AF69+AG69))</f>
        <v>#N/A</v>
      </c>
      <c r="AR69" s="673">
        <f t="shared" si="58"/>
        <v>0</v>
      </c>
      <c r="AS69" s="673" t="e">
        <f>IF(G69="مدير ولائي",0,LOOKUP(D69,'f-travail'!A:A,'f-travail'!X:X)*(AF69+AG69))</f>
        <v>#N/A</v>
      </c>
      <c r="AT69" s="673" t="e">
        <f>IF(G69="مدير ولائي",0,LOOKUP(D69,'f-travail'!Y:Y,'f-travail'!R:R)*(AF69+AG69))</f>
        <v>#N/A</v>
      </c>
      <c r="AU69" s="673">
        <f t="shared" si="43"/>
        <v>0</v>
      </c>
      <c r="AV69" s="673">
        <f t="shared" si="44"/>
        <v>0</v>
      </c>
      <c r="AW69" s="673">
        <f t="shared" si="45"/>
        <v>0</v>
      </c>
      <c r="AX69" s="637" t="str">
        <f t="shared" si="33"/>
        <v/>
      </c>
      <c r="AY69" s="640" t="e">
        <f t="shared" si="59"/>
        <v>#N/A</v>
      </c>
      <c r="AZ69" s="673" t="e">
        <f t="shared" si="46"/>
        <v>#N/A</v>
      </c>
      <c r="BA69" s="639" t="e">
        <f t="shared" si="47"/>
        <v>#N/A</v>
      </c>
      <c r="BB69" s="639" t="e">
        <f t="shared" si="48"/>
        <v>#N/A</v>
      </c>
      <c r="BC69" s="639">
        <f t="shared" si="49"/>
        <v>0</v>
      </c>
      <c r="BD69" s="639" t="e">
        <f t="shared" si="50"/>
        <v>#N/A</v>
      </c>
      <c r="BE69" s="639">
        <f t="shared" si="51"/>
        <v>0</v>
      </c>
      <c r="BF69" s="639" t="e">
        <f t="shared" si="52"/>
        <v>#N/A</v>
      </c>
      <c r="BG69" s="639">
        <f t="shared" si="60"/>
        <v>0</v>
      </c>
      <c r="BH69" s="683">
        <f t="shared" si="61"/>
        <v>0</v>
      </c>
      <c r="BI69" s="683">
        <f t="shared" si="62"/>
        <v>0</v>
      </c>
      <c r="BJ69" s="641" t="e">
        <f t="shared" si="63"/>
        <v>#N/A</v>
      </c>
      <c r="BK69" s="641" t="e">
        <f t="shared" si="64"/>
        <v>#N/A</v>
      </c>
      <c r="BL69" s="641" t="e">
        <f t="shared" si="65"/>
        <v>#N/A</v>
      </c>
      <c r="BM69" s="684" t="e">
        <f t="shared" si="66"/>
        <v>#N/A</v>
      </c>
      <c r="BN69" s="643"/>
      <c r="BO69" s="682" t="e">
        <f>CONCATENATE(Z69," ",LOOKUP(D69,'f-travail'!A:A,'f-travail'!F:F))</f>
        <v>#N/A</v>
      </c>
      <c r="BP69" s="669" t="e">
        <f t="shared" si="53"/>
        <v>#N/A</v>
      </c>
    </row>
    <row r="70" spans="1:68">
      <c r="A70" s="636">
        <f t="shared" si="67"/>
        <v>69</v>
      </c>
      <c r="B70" s="637"/>
      <c r="C70" s="637"/>
      <c r="D70" s="652"/>
      <c r="E70" s="679" t="e">
        <f>LOOKUP(D70,'f-travail'!A:A,'f-travail'!B:B)</f>
        <v>#N/A</v>
      </c>
      <c r="F70" s="650"/>
      <c r="G70" s="650"/>
      <c r="H70" s="653"/>
      <c r="I70" s="653"/>
      <c r="J70" s="654"/>
      <c r="K70" s="650"/>
      <c r="L70" s="650"/>
      <c r="M70" s="650">
        <v>0</v>
      </c>
      <c r="N70" s="654"/>
      <c r="O70" s="654"/>
      <c r="P70" s="654"/>
      <c r="Q70" s="654"/>
      <c r="R70" s="676"/>
      <c r="S70" s="654"/>
      <c r="T70" s="675"/>
      <c r="U70" s="675"/>
      <c r="V70" s="670" t="e">
        <f>LOOKUP(D70,'f-travail'!A:A,'f-travail'!E:E)</f>
        <v>#N/A</v>
      </c>
      <c r="W70" s="670" t="e">
        <f>VLOOKUP(V70,جرقمإستدلالي,'f-travail'!$AD$4+1,FALSE)</f>
        <v>#N/A</v>
      </c>
      <c r="X70" s="671" t="e">
        <f t="shared" si="37"/>
        <v>#N/A</v>
      </c>
      <c r="Y70" s="671">
        <f>IF(G70="مدير ولائي",(HLOOKUP(I70,جدروظعليا,'f-travail'!$AT$3+1,FALSE)-3200),0)</f>
        <v>0</v>
      </c>
      <c r="Z70" s="672" t="str">
        <f t="shared" si="54"/>
        <v/>
      </c>
      <c r="AA70" s="671">
        <f t="shared" si="55"/>
        <v>0</v>
      </c>
      <c r="AB70" s="677" t="b">
        <f t="shared" si="38"/>
        <v>0</v>
      </c>
      <c r="AC70" s="678">
        <f t="shared" si="56"/>
        <v>0</v>
      </c>
      <c r="AD70" s="673">
        <f t="shared" si="39"/>
        <v>0</v>
      </c>
      <c r="AE70" s="678">
        <f t="shared" si="40"/>
        <v>0</v>
      </c>
      <c r="AF70" s="678" t="e">
        <f t="shared" si="41"/>
        <v>#N/A</v>
      </c>
      <c r="AG70" s="678" t="e">
        <f t="shared" si="42"/>
        <v>#N/A</v>
      </c>
      <c r="AH70" s="673">
        <f t="shared" si="57"/>
        <v>0</v>
      </c>
      <c r="AI70" s="674" t="e">
        <f>IF(G70="مدير ولائي",(11000*35%),LOOKUP(D70,'f-travail'!A:A,'f-travail'!I:I))</f>
        <v>#N/A</v>
      </c>
      <c r="AJ70" s="673" t="e">
        <f>IF(G70="مدير ولائي",((W70+X70)*45)*80%,IF(V70&lt;8,0,IF(F70="إليزي",(LOOKUP(D70,'f-travail'!A:A,'f-travail'!O:O))*(AF70+AG70),LOOKUP(D70,'f-travail'!A:A,'f-travail'!P:P)*(AF70+AG70))))</f>
        <v>#N/A</v>
      </c>
      <c r="AK70" s="673" t="e">
        <f>IF(G70="مدير ولائي",0,LOOKUP(D70,'f-travail'!A:A,'f-travail'!Q:Q))</f>
        <v>#N/A</v>
      </c>
      <c r="AL70" s="673" t="e">
        <f>IF(G70="مدير ولائي",0,LOOKUP(D70,'f-travail'!A:A,'f-travail'!R:R)*(AF70+AG70))</f>
        <v>#N/A</v>
      </c>
      <c r="AM70" s="673" t="e">
        <f>IF(G70="مدير ولائي",0,LOOKUP(D70,'f-travail'!A:A,'f-travail'!S:S)*(AF70+AG70))</f>
        <v>#N/A</v>
      </c>
      <c r="AN70" s="673" t="e">
        <f>IF(G70="مدير ولائي",0,LOOKUP(D70,'f-travail'!A:A,'f-travail'!T:T)*(AF70+AG70))</f>
        <v>#N/A</v>
      </c>
      <c r="AO70" s="673" t="e">
        <f>IF(G70="مدير ولائي",0,LOOKUP(D70,'f-travail'!A:A,'f-travail'!U:U)*(AF70+AG70))</f>
        <v>#N/A</v>
      </c>
      <c r="AP70" s="673" t="e">
        <f>IF(G70="مدير ولائي",0,LOOKUP(D70,'f-travail'!A:A,'f-travail'!V:V)*(AF70+AG70))</f>
        <v>#N/A</v>
      </c>
      <c r="AQ70" s="673" t="e">
        <f>IF(G70="مدير ولائي",0,LOOKUP(D70,'f-travail'!A:A,'f-travail'!W:W)*(AF70+AG70))</f>
        <v>#N/A</v>
      </c>
      <c r="AR70" s="673">
        <f t="shared" si="58"/>
        <v>0</v>
      </c>
      <c r="AS70" s="673" t="e">
        <f>IF(G70="مدير ولائي",0,LOOKUP(D70,'f-travail'!A:A,'f-travail'!X:X)*(AF70+AG70))</f>
        <v>#N/A</v>
      </c>
      <c r="AT70" s="673" t="e">
        <f>IF(G70="مدير ولائي",0,LOOKUP(D70,'f-travail'!Y:Y,'f-travail'!R:R)*(AF70+AG70))</f>
        <v>#N/A</v>
      </c>
      <c r="AU70" s="673">
        <f t="shared" si="43"/>
        <v>0</v>
      </c>
      <c r="AV70" s="673">
        <f t="shared" si="44"/>
        <v>0</v>
      </c>
      <c r="AW70" s="673">
        <f t="shared" si="45"/>
        <v>0</v>
      </c>
      <c r="AX70" s="637" t="str">
        <f t="shared" si="33"/>
        <v/>
      </c>
      <c r="AY70" s="640" t="e">
        <f t="shared" si="59"/>
        <v>#N/A</v>
      </c>
      <c r="AZ70" s="673" t="e">
        <f t="shared" si="46"/>
        <v>#N/A</v>
      </c>
      <c r="BA70" s="639" t="e">
        <f t="shared" si="47"/>
        <v>#N/A</v>
      </c>
      <c r="BB70" s="639" t="e">
        <f t="shared" si="48"/>
        <v>#N/A</v>
      </c>
      <c r="BC70" s="639">
        <f t="shared" si="49"/>
        <v>0</v>
      </c>
      <c r="BD70" s="639" t="e">
        <f t="shared" si="50"/>
        <v>#N/A</v>
      </c>
      <c r="BE70" s="639">
        <f t="shared" si="51"/>
        <v>0</v>
      </c>
      <c r="BF70" s="639" t="e">
        <f t="shared" si="52"/>
        <v>#N/A</v>
      </c>
      <c r="BG70" s="639">
        <f t="shared" si="60"/>
        <v>0</v>
      </c>
      <c r="BH70" s="683">
        <f t="shared" si="61"/>
        <v>0</v>
      </c>
      <c r="BI70" s="683">
        <f t="shared" si="62"/>
        <v>0</v>
      </c>
      <c r="BJ70" s="641" t="e">
        <f t="shared" si="63"/>
        <v>#N/A</v>
      </c>
      <c r="BK70" s="641" t="e">
        <f t="shared" si="64"/>
        <v>#N/A</v>
      </c>
      <c r="BL70" s="641" t="e">
        <f t="shared" si="65"/>
        <v>#N/A</v>
      </c>
      <c r="BM70" s="684" t="e">
        <f t="shared" si="66"/>
        <v>#N/A</v>
      </c>
      <c r="BN70" s="643"/>
      <c r="BO70" s="682" t="e">
        <f>CONCATENATE(Z70," ",LOOKUP(D70,'f-travail'!A:A,'f-travail'!F:F))</f>
        <v>#N/A</v>
      </c>
      <c r="BP70" s="669" t="e">
        <f t="shared" si="53"/>
        <v>#N/A</v>
      </c>
    </row>
    <row r="71" spans="1:68">
      <c r="A71" s="636">
        <f t="shared" si="67"/>
        <v>70</v>
      </c>
      <c r="B71" s="637"/>
      <c r="C71" s="637"/>
      <c r="D71" s="652"/>
      <c r="E71" s="679" t="e">
        <f>LOOKUP(D71,'f-travail'!A:A,'f-travail'!B:B)</f>
        <v>#N/A</v>
      </c>
      <c r="F71" s="650"/>
      <c r="G71" s="650"/>
      <c r="H71" s="653"/>
      <c r="I71" s="653"/>
      <c r="J71" s="654"/>
      <c r="K71" s="650"/>
      <c r="L71" s="650"/>
      <c r="M71" s="650">
        <v>0</v>
      </c>
      <c r="N71" s="654"/>
      <c r="O71" s="654"/>
      <c r="P71" s="654"/>
      <c r="Q71" s="654"/>
      <c r="R71" s="676"/>
      <c r="S71" s="654"/>
      <c r="T71" s="675"/>
      <c r="U71" s="675"/>
      <c r="V71" s="670" t="e">
        <f>LOOKUP(D71,'f-travail'!A:A,'f-travail'!E:E)</f>
        <v>#N/A</v>
      </c>
      <c r="W71" s="670" t="e">
        <f>VLOOKUP(V71,جرقمإستدلالي,'f-travail'!$AD$4+1,FALSE)</f>
        <v>#N/A</v>
      </c>
      <c r="X71" s="671" t="e">
        <f t="shared" si="37"/>
        <v>#N/A</v>
      </c>
      <c r="Y71" s="671">
        <f>IF(G71="مدير ولائي",(HLOOKUP(I71,جدروظعليا,'f-travail'!$AT$3+1,FALSE)-3200),0)</f>
        <v>0</v>
      </c>
      <c r="Z71" s="672" t="str">
        <f t="shared" si="54"/>
        <v/>
      </c>
      <c r="AA71" s="671">
        <f t="shared" si="55"/>
        <v>0</v>
      </c>
      <c r="AB71" s="677" t="b">
        <f t="shared" si="38"/>
        <v>0</v>
      </c>
      <c r="AC71" s="678">
        <f t="shared" si="56"/>
        <v>0</v>
      </c>
      <c r="AD71" s="673">
        <f t="shared" si="39"/>
        <v>0</v>
      </c>
      <c r="AE71" s="678">
        <f t="shared" si="40"/>
        <v>0</v>
      </c>
      <c r="AF71" s="678" t="e">
        <f t="shared" si="41"/>
        <v>#N/A</v>
      </c>
      <c r="AG71" s="678" t="e">
        <f t="shared" si="42"/>
        <v>#N/A</v>
      </c>
      <c r="AH71" s="673">
        <f t="shared" si="57"/>
        <v>0</v>
      </c>
      <c r="AI71" s="674" t="e">
        <f>IF(G71="مدير ولائي",(11000*35%),LOOKUP(D71,'f-travail'!A:A,'f-travail'!I:I))</f>
        <v>#N/A</v>
      </c>
      <c r="AJ71" s="673" t="e">
        <f>IF(G71="مدير ولائي",((W71+X71)*45)*80%,IF(V71&lt;8,0,IF(F71="إليزي",(LOOKUP(D71,'f-travail'!A:A,'f-travail'!O:O))*(AF71+AG71),LOOKUP(D71,'f-travail'!A:A,'f-travail'!P:P)*(AF71+AG71))))</f>
        <v>#N/A</v>
      </c>
      <c r="AK71" s="673" t="e">
        <f>IF(G71="مدير ولائي",0,LOOKUP(D71,'f-travail'!A:A,'f-travail'!Q:Q))</f>
        <v>#N/A</v>
      </c>
      <c r="AL71" s="673" t="e">
        <f>IF(G71="مدير ولائي",0,LOOKUP(D71,'f-travail'!A:A,'f-travail'!R:R)*(AF71+AG71))</f>
        <v>#N/A</v>
      </c>
      <c r="AM71" s="673" t="e">
        <f>IF(G71="مدير ولائي",0,LOOKUP(D71,'f-travail'!A:A,'f-travail'!S:S)*(AF71+AG71))</f>
        <v>#N/A</v>
      </c>
      <c r="AN71" s="673" t="e">
        <f>IF(G71="مدير ولائي",0,LOOKUP(D71,'f-travail'!A:A,'f-travail'!T:T)*(AF71+AG71))</f>
        <v>#N/A</v>
      </c>
      <c r="AO71" s="673" t="e">
        <f>IF(G71="مدير ولائي",0,LOOKUP(D71,'f-travail'!A:A,'f-travail'!U:U)*(AF71+AG71))</f>
        <v>#N/A</v>
      </c>
      <c r="AP71" s="673" t="e">
        <f>IF(G71="مدير ولائي",0,LOOKUP(D71,'f-travail'!A:A,'f-travail'!V:V)*(AF71+AG71))</f>
        <v>#N/A</v>
      </c>
      <c r="AQ71" s="673" t="e">
        <f>IF(G71="مدير ولائي",0,LOOKUP(D71,'f-travail'!A:A,'f-travail'!W:W)*(AF71+AG71))</f>
        <v>#N/A</v>
      </c>
      <c r="AR71" s="673">
        <f t="shared" si="58"/>
        <v>0</v>
      </c>
      <c r="AS71" s="673" t="e">
        <f>IF(G71="مدير ولائي",0,LOOKUP(D71,'f-travail'!A:A,'f-travail'!X:X)*(AF71+AG71))</f>
        <v>#N/A</v>
      </c>
      <c r="AT71" s="673" t="e">
        <f>IF(G71="مدير ولائي",0,LOOKUP(D71,'f-travail'!Y:Y,'f-travail'!R:R)*(AF71+AG71))</f>
        <v>#N/A</v>
      </c>
      <c r="AU71" s="673">
        <f t="shared" si="43"/>
        <v>0</v>
      </c>
      <c r="AV71" s="673">
        <f t="shared" si="44"/>
        <v>0</v>
      </c>
      <c r="AW71" s="673">
        <f t="shared" si="45"/>
        <v>0</v>
      </c>
      <c r="AX71" s="637" t="str">
        <f t="shared" si="33"/>
        <v/>
      </c>
      <c r="AY71" s="640" t="e">
        <f t="shared" si="59"/>
        <v>#N/A</v>
      </c>
      <c r="AZ71" s="673" t="e">
        <f t="shared" si="46"/>
        <v>#N/A</v>
      </c>
      <c r="BA71" s="639" t="e">
        <f t="shared" si="47"/>
        <v>#N/A</v>
      </c>
      <c r="BB71" s="639" t="e">
        <f t="shared" si="48"/>
        <v>#N/A</v>
      </c>
      <c r="BC71" s="639">
        <f t="shared" si="49"/>
        <v>0</v>
      </c>
      <c r="BD71" s="639" t="e">
        <f t="shared" si="50"/>
        <v>#N/A</v>
      </c>
      <c r="BE71" s="639">
        <f t="shared" si="51"/>
        <v>0</v>
      </c>
      <c r="BF71" s="639" t="e">
        <f t="shared" si="52"/>
        <v>#N/A</v>
      </c>
      <c r="BG71" s="639">
        <f t="shared" si="60"/>
        <v>0</v>
      </c>
      <c r="BH71" s="683">
        <f t="shared" si="61"/>
        <v>0</v>
      </c>
      <c r="BI71" s="683">
        <f t="shared" si="62"/>
        <v>0</v>
      </c>
      <c r="BJ71" s="641" t="e">
        <f t="shared" si="63"/>
        <v>#N/A</v>
      </c>
      <c r="BK71" s="641" t="e">
        <f t="shared" si="64"/>
        <v>#N/A</v>
      </c>
      <c r="BL71" s="641" t="e">
        <f t="shared" si="65"/>
        <v>#N/A</v>
      </c>
      <c r="BM71" s="684" t="e">
        <f t="shared" si="66"/>
        <v>#N/A</v>
      </c>
      <c r="BN71" s="638"/>
      <c r="BO71" s="682" t="e">
        <f>CONCATENATE(Z71," ",LOOKUP(D71,'f-travail'!A:A,'f-travail'!F:F))</f>
        <v>#N/A</v>
      </c>
      <c r="BP71" s="669" t="e">
        <f t="shared" si="53"/>
        <v>#N/A</v>
      </c>
    </row>
    <row r="72" spans="1:68">
      <c r="A72" s="636">
        <f t="shared" si="67"/>
        <v>71</v>
      </c>
      <c r="B72" s="637"/>
      <c r="C72" s="637"/>
      <c r="D72" s="652"/>
      <c r="E72" s="679" t="e">
        <f>LOOKUP(D72,'f-travail'!A:A,'f-travail'!B:B)</f>
        <v>#N/A</v>
      </c>
      <c r="F72" s="650"/>
      <c r="G72" s="650"/>
      <c r="H72" s="653"/>
      <c r="I72" s="653"/>
      <c r="J72" s="654"/>
      <c r="K72" s="650"/>
      <c r="L72" s="650"/>
      <c r="M72" s="650">
        <v>0</v>
      </c>
      <c r="N72" s="654"/>
      <c r="O72" s="654"/>
      <c r="P72" s="654"/>
      <c r="Q72" s="654"/>
      <c r="R72" s="676"/>
      <c r="S72" s="654"/>
      <c r="T72" s="675"/>
      <c r="U72" s="675"/>
      <c r="V72" s="670" t="e">
        <f>LOOKUP(D72,'f-travail'!A:A,'f-travail'!E:E)</f>
        <v>#N/A</v>
      </c>
      <c r="W72" s="670" t="e">
        <f>VLOOKUP(V72,جرقمإستدلالي,'f-travail'!$AD$4+1,FALSE)</f>
        <v>#N/A</v>
      </c>
      <c r="X72" s="671" t="e">
        <f t="shared" si="37"/>
        <v>#N/A</v>
      </c>
      <c r="Y72" s="671">
        <f>IF(G72="مدير ولائي",(HLOOKUP(I72,جدروظعليا,'f-travail'!$AT$3+1,FALSE)-3200),0)</f>
        <v>0</v>
      </c>
      <c r="Z72" s="672" t="str">
        <f t="shared" si="54"/>
        <v/>
      </c>
      <c r="AA72" s="671">
        <f t="shared" si="55"/>
        <v>0</v>
      </c>
      <c r="AB72" s="677" t="b">
        <f t="shared" si="38"/>
        <v>0</v>
      </c>
      <c r="AC72" s="678">
        <f t="shared" si="56"/>
        <v>0</v>
      </c>
      <c r="AD72" s="673">
        <f t="shared" si="39"/>
        <v>0</v>
      </c>
      <c r="AE72" s="678">
        <f t="shared" si="40"/>
        <v>0</v>
      </c>
      <c r="AF72" s="678" t="e">
        <f t="shared" si="41"/>
        <v>#N/A</v>
      </c>
      <c r="AG72" s="678" t="e">
        <f t="shared" si="42"/>
        <v>#N/A</v>
      </c>
      <c r="AH72" s="673">
        <f t="shared" si="57"/>
        <v>0</v>
      </c>
      <c r="AI72" s="674" t="e">
        <f>IF(G72="مدير ولائي",(11000*35%),LOOKUP(D72,'f-travail'!A:A,'f-travail'!I:I))</f>
        <v>#N/A</v>
      </c>
      <c r="AJ72" s="673" t="e">
        <f>IF(G72="مدير ولائي",((W72+X72)*45)*80%,IF(V72&lt;8,0,IF(F72="إليزي",(LOOKUP(D72,'f-travail'!A:A,'f-travail'!O:O))*(AF72+AG72),LOOKUP(D72,'f-travail'!A:A,'f-travail'!P:P)*(AF72+AG72))))</f>
        <v>#N/A</v>
      </c>
      <c r="AK72" s="673" t="e">
        <f>IF(G72="مدير ولائي",0,LOOKUP(D72,'f-travail'!A:A,'f-travail'!Q:Q))</f>
        <v>#N/A</v>
      </c>
      <c r="AL72" s="673" t="e">
        <f>IF(G72="مدير ولائي",0,LOOKUP(D72,'f-travail'!A:A,'f-travail'!R:R)*(AF72+AG72))</f>
        <v>#N/A</v>
      </c>
      <c r="AM72" s="673" t="e">
        <f>IF(G72="مدير ولائي",0,LOOKUP(D72,'f-travail'!A:A,'f-travail'!S:S)*(AF72+AG72))</f>
        <v>#N/A</v>
      </c>
      <c r="AN72" s="673" t="e">
        <f>IF(G72="مدير ولائي",0,LOOKUP(D72,'f-travail'!A:A,'f-travail'!T:T)*(AF72+AG72))</f>
        <v>#N/A</v>
      </c>
      <c r="AO72" s="673" t="e">
        <f>IF(G72="مدير ولائي",0,LOOKUP(D72,'f-travail'!A:A,'f-travail'!U:U)*(AF72+AG72))</f>
        <v>#N/A</v>
      </c>
      <c r="AP72" s="673" t="e">
        <f>IF(G72="مدير ولائي",0,LOOKUP(D72,'f-travail'!A:A,'f-travail'!V:V)*(AF72+AG72))</f>
        <v>#N/A</v>
      </c>
      <c r="AQ72" s="673" t="e">
        <f>IF(G72="مدير ولائي",0,LOOKUP(D72,'f-travail'!A:A,'f-travail'!W:W)*(AF72+AG72))</f>
        <v>#N/A</v>
      </c>
      <c r="AR72" s="673">
        <f t="shared" si="58"/>
        <v>0</v>
      </c>
      <c r="AS72" s="673" t="e">
        <f>IF(G72="مدير ولائي",0,LOOKUP(D72,'f-travail'!A:A,'f-travail'!X:X)*(AF72+AG72))</f>
        <v>#N/A</v>
      </c>
      <c r="AT72" s="673" t="e">
        <f>IF(G72="مدير ولائي",0,LOOKUP(D72,'f-travail'!Y:Y,'f-travail'!R:R)*(AF72+AG72))</f>
        <v>#N/A</v>
      </c>
      <c r="AU72" s="673">
        <f t="shared" si="43"/>
        <v>0</v>
      </c>
      <c r="AV72" s="673">
        <f t="shared" si="44"/>
        <v>0</v>
      </c>
      <c r="AW72" s="673">
        <f t="shared" si="45"/>
        <v>0</v>
      </c>
      <c r="AX72" s="637" t="str">
        <f t="shared" si="33"/>
        <v/>
      </c>
      <c r="AY72" s="640" t="e">
        <f t="shared" si="59"/>
        <v>#N/A</v>
      </c>
      <c r="AZ72" s="673" t="e">
        <f t="shared" si="46"/>
        <v>#N/A</v>
      </c>
      <c r="BA72" s="639" t="e">
        <f t="shared" si="47"/>
        <v>#N/A</v>
      </c>
      <c r="BB72" s="639" t="e">
        <f t="shared" si="48"/>
        <v>#N/A</v>
      </c>
      <c r="BC72" s="639">
        <f t="shared" si="49"/>
        <v>0</v>
      </c>
      <c r="BD72" s="639" t="e">
        <f t="shared" si="50"/>
        <v>#N/A</v>
      </c>
      <c r="BE72" s="639">
        <f t="shared" si="51"/>
        <v>0</v>
      </c>
      <c r="BF72" s="639" t="e">
        <f t="shared" si="52"/>
        <v>#N/A</v>
      </c>
      <c r="BG72" s="639">
        <f t="shared" si="60"/>
        <v>0</v>
      </c>
      <c r="BH72" s="683">
        <f t="shared" si="61"/>
        <v>0</v>
      </c>
      <c r="BI72" s="683">
        <f t="shared" si="62"/>
        <v>0</v>
      </c>
      <c r="BJ72" s="641" t="e">
        <f t="shared" si="63"/>
        <v>#N/A</v>
      </c>
      <c r="BK72" s="641" t="e">
        <f t="shared" si="64"/>
        <v>#N/A</v>
      </c>
      <c r="BL72" s="641" t="e">
        <f t="shared" si="65"/>
        <v>#N/A</v>
      </c>
      <c r="BM72" s="684" t="e">
        <f t="shared" si="66"/>
        <v>#N/A</v>
      </c>
      <c r="BN72" s="643"/>
      <c r="BO72" s="682" t="e">
        <f>CONCATENATE(Z72," ",LOOKUP(D72,'f-travail'!A:A,'f-travail'!F:F))</f>
        <v>#N/A</v>
      </c>
      <c r="BP72" s="669" t="e">
        <f t="shared" si="53"/>
        <v>#N/A</v>
      </c>
    </row>
    <row r="73" spans="1:68">
      <c r="A73" s="636">
        <f t="shared" si="67"/>
        <v>72</v>
      </c>
      <c r="B73" s="637"/>
      <c r="C73" s="637"/>
      <c r="D73" s="652"/>
      <c r="E73" s="679" t="e">
        <f>LOOKUP(D73,'f-travail'!A:A,'f-travail'!B:B)</f>
        <v>#N/A</v>
      </c>
      <c r="F73" s="650"/>
      <c r="G73" s="650"/>
      <c r="H73" s="653"/>
      <c r="I73" s="653"/>
      <c r="J73" s="654"/>
      <c r="K73" s="650"/>
      <c r="L73" s="650"/>
      <c r="M73" s="650">
        <v>0</v>
      </c>
      <c r="N73" s="654"/>
      <c r="O73" s="654"/>
      <c r="P73" s="654"/>
      <c r="Q73" s="654"/>
      <c r="R73" s="676"/>
      <c r="S73" s="654"/>
      <c r="T73" s="675"/>
      <c r="U73" s="675"/>
      <c r="V73" s="670" t="e">
        <f>LOOKUP(D73,'f-travail'!A:A,'f-travail'!E:E)</f>
        <v>#N/A</v>
      </c>
      <c r="W73" s="670" t="e">
        <f>VLOOKUP(V73,جرقمإستدلالي,'f-travail'!$AD$4+1,FALSE)</f>
        <v>#N/A</v>
      </c>
      <c r="X73" s="671" t="e">
        <f t="shared" si="37"/>
        <v>#N/A</v>
      </c>
      <c r="Y73" s="671">
        <f>IF(G73="مدير ولائي",(HLOOKUP(I73,جدروظعليا,'f-travail'!$AT$3+1,FALSE)-3200),0)</f>
        <v>0</v>
      </c>
      <c r="Z73" s="672" t="str">
        <f t="shared" si="54"/>
        <v/>
      </c>
      <c r="AA73" s="671">
        <f t="shared" si="55"/>
        <v>0</v>
      </c>
      <c r="AB73" s="677" t="b">
        <f t="shared" si="38"/>
        <v>0</v>
      </c>
      <c r="AC73" s="678">
        <f t="shared" si="56"/>
        <v>0</v>
      </c>
      <c r="AD73" s="673">
        <f t="shared" si="39"/>
        <v>0</v>
      </c>
      <c r="AE73" s="678">
        <f t="shared" si="40"/>
        <v>0</v>
      </c>
      <c r="AF73" s="678" t="e">
        <f t="shared" si="41"/>
        <v>#N/A</v>
      </c>
      <c r="AG73" s="678" t="e">
        <f t="shared" si="42"/>
        <v>#N/A</v>
      </c>
      <c r="AH73" s="673">
        <f t="shared" si="57"/>
        <v>0</v>
      </c>
      <c r="AI73" s="674" t="e">
        <f>IF(G73="مدير ولائي",(11000*35%),LOOKUP(D73,'f-travail'!A:A,'f-travail'!I:I))</f>
        <v>#N/A</v>
      </c>
      <c r="AJ73" s="673" t="e">
        <f>IF(G73="مدير ولائي",((W73+X73)*45)*80%,IF(V73&lt;8,0,IF(F73="إليزي",(LOOKUP(D73,'f-travail'!A:A,'f-travail'!O:O))*(AF73+AG73),LOOKUP(D73,'f-travail'!A:A,'f-travail'!P:P)*(AF73+AG73))))</f>
        <v>#N/A</v>
      </c>
      <c r="AK73" s="673" t="e">
        <f>IF(G73="مدير ولائي",0,LOOKUP(D73,'f-travail'!A:A,'f-travail'!Q:Q))</f>
        <v>#N/A</v>
      </c>
      <c r="AL73" s="673" t="e">
        <f>IF(G73="مدير ولائي",0,LOOKUP(D73,'f-travail'!A:A,'f-travail'!R:R)*(AF73+AG73))</f>
        <v>#N/A</v>
      </c>
      <c r="AM73" s="673" t="e">
        <f>IF(G73="مدير ولائي",0,LOOKUP(D73,'f-travail'!A:A,'f-travail'!S:S)*(AF73+AG73))</f>
        <v>#N/A</v>
      </c>
      <c r="AN73" s="673" t="e">
        <f>IF(G73="مدير ولائي",0,LOOKUP(D73,'f-travail'!A:A,'f-travail'!T:T)*(AF73+AG73))</f>
        <v>#N/A</v>
      </c>
      <c r="AO73" s="673" t="e">
        <f>IF(G73="مدير ولائي",0,LOOKUP(D73,'f-travail'!A:A,'f-travail'!U:U)*(AF73+AG73))</f>
        <v>#N/A</v>
      </c>
      <c r="AP73" s="673" t="e">
        <f>IF(G73="مدير ولائي",0,LOOKUP(D73,'f-travail'!A:A,'f-travail'!V:V)*(AF73+AG73))</f>
        <v>#N/A</v>
      </c>
      <c r="AQ73" s="673" t="e">
        <f>IF(G73="مدير ولائي",0,LOOKUP(D73,'f-travail'!A:A,'f-travail'!W:W)*(AF73+AG73))</f>
        <v>#N/A</v>
      </c>
      <c r="AR73" s="673">
        <f t="shared" si="58"/>
        <v>0</v>
      </c>
      <c r="AS73" s="673" t="e">
        <f>IF(G73="مدير ولائي",0,LOOKUP(D73,'f-travail'!A:A,'f-travail'!X:X)*(AF73+AG73))</f>
        <v>#N/A</v>
      </c>
      <c r="AT73" s="673" t="e">
        <f>IF(G73="مدير ولائي",0,LOOKUP(D73,'f-travail'!Y:Y,'f-travail'!R:R)*(AF73+AG73))</f>
        <v>#N/A</v>
      </c>
      <c r="AU73" s="673">
        <f t="shared" si="43"/>
        <v>0</v>
      </c>
      <c r="AV73" s="673">
        <f t="shared" si="44"/>
        <v>0</v>
      </c>
      <c r="AW73" s="673">
        <f t="shared" si="45"/>
        <v>0</v>
      </c>
      <c r="AX73" s="637" t="str">
        <f t="shared" si="33"/>
        <v/>
      </c>
      <c r="AY73" s="640" t="e">
        <f t="shared" si="59"/>
        <v>#N/A</v>
      </c>
      <c r="AZ73" s="673" t="e">
        <f t="shared" si="46"/>
        <v>#N/A</v>
      </c>
      <c r="BA73" s="639" t="e">
        <f t="shared" si="47"/>
        <v>#N/A</v>
      </c>
      <c r="BB73" s="639" t="e">
        <f t="shared" si="48"/>
        <v>#N/A</v>
      </c>
      <c r="BC73" s="639">
        <f t="shared" si="49"/>
        <v>0</v>
      </c>
      <c r="BD73" s="639" t="e">
        <f t="shared" si="50"/>
        <v>#N/A</v>
      </c>
      <c r="BE73" s="639">
        <f t="shared" si="51"/>
        <v>0</v>
      </c>
      <c r="BF73" s="639" t="e">
        <f t="shared" si="52"/>
        <v>#N/A</v>
      </c>
      <c r="BG73" s="639">
        <f t="shared" si="60"/>
        <v>0</v>
      </c>
      <c r="BH73" s="683">
        <f t="shared" si="61"/>
        <v>0</v>
      </c>
      <c r="BI73" s="683">
        <f t="shared" si="62"/>
        <v>0</v>
      </c>
      <c r="BJ73" s="641" t="e">
        <f t="shared" si="63"/>
        <v>#N/A</v>
      </c>
      <c r="BK73" s="641" t="e">
        <f t="shared" si="64"/>
        <v>#N/A</v>
      </c>
      <c r="BL73" s="641" t="e">
        <f t="shared" si="65"/>
        <v>#N/A</v>
      </c>
      <c r="BM73" s="684" t="e">
        <f t="shared" si="66"/>
        <v>#N/A</v>
      </c>
      <c r="BN73" s="638"/>
      <c r="BO73" s="682" t="e">
        <f>CONCATENATE(Z73," ",LOOKUP(D73,'f-travail'!A:A,'f-travail'!F:F))</f>
        <v>#N/A</v>
      </c>
      <c r="BP73" s="669" t="e">
        <f t="shared" si="53"/>
        <v>#N/A</v>
      </c>
    </row>
    <row r="74" spans="1:68">
      <c r="A74" s="636">
        <f t="shared" si="67"/>
        <v>73</v>
      </c>
      <c r="B74" s="637"/>
      <c r="C74" s="637"/>
      <c r="D74" s="652"/>
      <c r="E74" s="679" t="e">
        <f>LOOKUP(D74,'f-travail'!A:A,'f-travail'!B:B)</f>
        <v>#N/A</v>
      </c>
      <c r="F74" s="650"/>
      <c r="G74" s="650"/>
      <c r="H74" s="653"/>
      <c r="I74" s="653"/>
      <c r="J74" s="654"/>
      <c r="K74" s="650"/>
      <c r="L74" s="650"/>
      <c r="M74" s="650">
        <v>0</v>
      </c>
      <c r="N74" s="654"/>
      <c r="O74" s="654"/>
      <c r="P74" s="654"/>
      <c r="Q74" s="654"/>
      <c r="R74" s="676"/>
      <c r="S74" s="654"/>
      <c r="T74" s="675"/>
      <c r="U74" s="675"/>
      <c r="V74" s="670" t="e">
        <f>LOOKUP(D74,'f-travail'!A:A,'f-travail'!E:E)</f>
        <v>#N/A</v>
      </c>
      <c r="W74" s="670" t="e">
        <f>VLOOKUP(V74,جرقمإستدلالي,'f-travail'!$AD$4+1,FALSE)</f>
        <v>#N/A</v>
      </c>
      <c r="X74" s="671" t="e">
        <f t="shared" si="37"/>
        <v>#N/A</v>
      </c>
      <c r="Y74" s="671">
        <f>IF(G74="مدير ولائي",(HLOOKUP(I74,جدروظعليا,'f-travail'!$AT$3+1,FALSE)-3200),0)</f>
        <v>0</v>
      </c>
      <c r="Z74" s="672" t="str">
        <f t="shared" si="54"/>
        <v/>
      </c>
      <c r="AA74" s="671">
        <f t="shared" si="55"/>
        <v>0</v>
      </c>
      <c r="AB74" s="677" t="b">
        <f t="shared" si="38"/>
        <v>0</v>
      </c>
      <c r="AC74" s="678">
        <f t="shared" si="56"/>
        <v>0</v>
      </c>
      <c r="AD74" s="673">
        <f t="shared" si="39"/>
        <v>0</v>
      </c>
      <c r="AE74" s="678">
        <f t="shared" si="40"/>
        <v>0</v>
      </c>
      <c r="AF74" s="678" t="e">
        <f t="shared" si="41"/>
        <v>#N/A</v>
      </c>
      <c r="AG74" s="678" t="e">
        <f t="shared" si="42"/>
        <v>#N/A</v>
      </c>
      <c r="AH74" s="673">
        <f t="shared" si="57"/>
        <v>0</v>
      </c>
      <c r="AI74" s="674" t="e">
        <f>IF(G74="مدير ولائي",(11000*35%),LOOKUP(D74,'f-travail'!A:A,'f-travail'!I:I))</f>
        <v>#N/A</v>
      </c>
      <c r="AJ74" s="673" t="e">
        <f>IF(G74="مدير ولائي",((W74+X74)*45)*80%,IF(V74&lt;8,0,IF(F74="إليزي",(LOOKUP(D74,'f-travail'!A:A,'f-travail'!O:O))*(AF74+AG74),LOOKUP(D74,'f-travail'!A:A,'f-travail'!P:P)*(AF74+AG74))))</f>
        <v>#N/A</v>
      </c>
      <c r="AK74" s="673" t="e">
        <f>IF(G74="مدير ولائي",0,LOOKUP(D74,'f-travail'!A:A,'f-travail'!Q:Q))</f>
        <v>#N/A</v>
      </c>
      <c r="AL74" s="673" t="e">
        <f>IF(G74="مدير ولائي",0,LOOKUP(D74,'f-travail'!A:A,'f-travail'!R:R)*(AF74+AG74))</f>
        <v>#N/A</v>
      </c>
      <c r="AM74" s="673" t="e">
        <f>IF(G74="مدير ولائي",0,LOOKUP(D74,'f-travail'!A:A,'f-travail'!S:S)*(AF74+AG74))</f>
        <v>#N/A</v>
      </c>
      <c r="AN74" s="673" t="e">
        <f>IF(G74="مدير ولائي",0,LOOKUP(D74,'f-travail'!A:A,'f-travail'!T:T)*(AF74+AG74))</f>
        <v>#N/A</v>
      </c>
      <c r="AO74" s="673" t="e">
        <f>IF(G74="مدير ولائي",0,LOOKUP(D74,'f-travail'!A:A,'f-travail'!U:U)*(AF74+AG74))</f>
        <v>#N/A</v>
      </c>
      <c r="AP74" s="673" t="e">
        <f>IF(G74="مدير ولائي",0,LOOKUP(D74,'f-travail'!A:A,'f-travail'!V:V)*(AF74+AG74))</f>
        <v>#N/A</v>
      </c>
      <c r="AQ74" s="673" t="e">
        <f>IF(G74="مدير ولائي",0,LOOKUP(D74,'f-travail'!A:A,'f-travail'!W:W)*(AF74+AG74))</f>
        <v>#N/A</v>
      </c>
      <c r="AR74" s="673">
        <f t="shared" si="58"/>
        <v>0</v>
      </c>
      <c r="AS74" s="673" t="e">
        <f>IF(G74="مدير ولائي",0,LOOKUP(D74,'f-travail'!A:A,'f-travail'!X:X)*(AF74+AG74))</f>
        <v>#N/A</v>
      </c>
      <c r="AT74" s="673" t="e">
        <f>IF(G74="مدير ولائي",0,LOOKUP(D74,'f-travail'!Y:Y,'f-travail'!R:R)*(AF74+AG74))</f>
        <v>#N/A</v>
      </c>
      <c r="AU74" s="673">
        <f t="shared" si="43"/>
        <v>0</v>
      </c>
      <c r="AV74" s="673">
        <f t="shared" si="44"/>
        <v>0</v>
      </c>
      <c r="AW74" s="673">
        <f t="shared" si="45"/>
        <v>0</v>
      </c>
      <c r="AX74" s="637" t="str">
        <f t="shared" si="33"/>
        <v/>
      </c>
      <c r="AY74" s="640" t="e">
        <f t="shared" si="59"/>
        <v>#N/A</v>
      </c>
      <c r="AZ74" s="673" t="e">
        <f t="shared" si="46"/>
        <v>#N/A</v>
      </c>
      <c r="BA74" s="639" t="e">
        <f t="shared" si="47"/>
        <v>#N/A</v>
      </c>
      <c r="BB74" s="639" t="e">
        <f t="shared" si="48"/>
        <v>#N/A</v>
      </c>
      <c r="BC74" s="639">
        <f t="shared" si="49"/>
        <v>0</v>
      </c>
      <c r="BD74" s="639" t="e">
        <f t="shared" si="50"/>
        <v>#N/A</v>
      </c>
      <c r="BE74" s="639">
        <f t="shared" si="51"/>
        <v>0</v>
      </c>
      <c r="BF74" s="639" t="e">
        <f t="shared" si="52"/>
        <v>#N/A</v>
      </c>
      <c r="BG74" s="639">
        <f t="shared" si="60"/>
        <v>0</v>
      </c>
      <c r="BH74" s="683">
        <f t="shared" si="61"/>
        <v>0</v>
      </c>
      <c r="BI74" s="683">
        <f t="shared" si="62"/>
        <v>0</v>
      </c>
      <c r="BJ74" s="641" t="e">
        <f t="shared" si="63"/>
        <v>#N/A</v>
      </c>
      <c r="BK74" s="641" t="e">
        <f t="shared" si="64"/>
        <v>#N/A</v>
      </c>
      <c r="BL74" s="641" t="e">
        <f t="shared" si="65"/>
        <v>#N/A</v>
      </c>
      <c r="BM74" s="684" t="e">
        <f t="shared" si="66"/>
        <v>#N/A</v>
      </c>
      <c r="BN74" s="643"/>
      <c r="BO74" s="682" t="e">
        <f>CONCATENATE(Z74," ",LOOKUP(D74,'f-travail'!A:A,'f-travail'!F:F))</f>
        <v>#N/A</v>
      </c>
      <c r="BP74" s="669" t="e">
        <f t="shared" si="53"/>
        <v>#N/A</v>
      </c>
    </row>
    <row r="75" spans="1:68">
      <c r="A75" s="636">
        <f t="shared" si="67"/>
        <v>74</v>
      </c>
      <c r="B75" s="637"/>
      <c r="C75" s="637"/>
      <c r="D75" s="652"/>
      <c r="E75" s="679" t="e">
        <f>LOOKUP(D75,'f-travail'!A:A,'f-travail'!B:B)</f>
        <v>#N/A</v>
      </c>
      <c r="F75" s="650"/>
      <c r="G75" s="650"/>
      <c r="H75" s="653"/>
      <c r="I75" s="653"/>
      <c r="J75" s="654"/>
      <c r="K75" s="650"/>
      <c r="L75" s="650"/>
      <c r="M75" s="650">
        <v>0</v>
      </c>
      <c r="N75" s="654"/>
      <c r="O75" s="654"/>
      <c r="P75" s="654"/>
      <c r="Q75" s="654"/>
      <c r="R75" s="676"/>
      <c r="S75" s="654"/>
      <c r="T75" s="675"/>
      <c r="U75" s="675"/>
      <c r="V75" s="670" t="e">
        <f>LOOKUP(D75,'f-travail'!A:A,'f-travail'!E:E)</f>
        <v>#N/A</v>
      </c>
      <c r="W75" s="670" t="e">
        <f>VLOOKUP(V75,جرقمإستدلالي,'f-travail'!$AD$4+1,FALSE)</f>
        <v>#N/A</v>
      </c>
      <c r="X75" s="671" t="e">
        <f t="shared" si="37"/>
        <v>#N/A</v>
      </c>
      <c r="Y75" s="671">
        <f>IF(G75="مدير ولائي",(HLOOKUP(I75,جدروظعليا,'f-travail'!$AT$3+1,FALSE)-3200),0)</f>
        <v>0</v>
      </c>
      <c r="Z75" s="672" t="str">
        <f t="shared" si="54"/>
        <v/>
      </c>
      <c r="AA75" s="671">
        <f t="shared" si="55"/>
        <v>0</v>
      </c>
      <c r="AB75" s="677" t="b">
        <f t="shared" si="38"/>
        <v>0</v>
      </c>
      <c r="AC75" s="678">
        <f t="shared" si="56"/>
        <v>0</v>
      </c>
      <c r="AD75" s="673">
        <f t="shared" si="39"/>
        <v>0</v>
      </c>
      <c r="AE75" s="678">
        <f t="shared" si="40"/>
        <v>0</v>
      </c>
      <c r="AF75" s="678" t="e">
        <f t="shared" si="41"/>
        <v>#N/A</v>
      </c>
      <c r="AG75" s="678" t="e">
        <f t="shared" si="42"/>
        <v>#N/A</v>
      </c>
      <c r="AH75" s="673">
        <f t="shared" si="57"/>
        <v>0</v>
      </c>
      <c r="AI75" s="674" t="e">
        <f>IF(G75="مدير ولائي",(11000*35%),LOOKUP(D75,'f-travail'!A:A,'f-travail'!I:I))</f>
        <v>#N/A</v>
      </c>
      <c r="AJ75" s="673" t="e">
        <f>IF(G75="مدير ولائي",((W75+X75)*45)*80%,IF(V75&lt;8,0,IF(F75="إليزي",(LOOKUP(D75,'f-travail'!A:A,'f-travail'!O:O))*(AF75+AG75),LOOKUP(D75,'f-travail'!A:A,'f-travail'!P:P)*(AF75+AG75))))</f>
        <v>#N/A</v>
      </c>
      <c r="AK75" s="673" t="e">
        <f>IF(G75="مدير ولائي",0,LOOKUP(D75,'f-travail'!A:A,'f-travail'!Q:Q))</f>
        <v>#N/A</v>
      </c>
      <c r="AL75" s="673" t="e">
        <f>IF(G75="مدير ولائي",0,LOOKUP(D75,'f-travail'!A:A,'f-travail'!R:R)*(AF75+AG75))</f>
        <v>#N/A</v>
      </c>
      <c r="AM75" s="673" t="e">
        <f>IF(G75="مدير ولائي",0,LOOKUP(D75,'f-travail'!A:A,'f-travail'!S:S)*(AF75+AG75))</f>
        <v>#N/A</v>
      </c>
      <c r="AN75" s="673" t="e">
        <f>IF(G75="مدير ولائي",0,LOOKUP(D75,'f-travail'!A:A,'f-travail'!T:T)*(AF75+AG75))</f>
        <v>#N/A</v>
      </c>
      <c r="AO75" s="673" t="e">
        <f>IF(G75="مدير ولائي",0,LOOKUP(D75,'f-travail'!A:A,'f-travail'!U:U)*(AF75+AG75))</f>
        <v>#N/A</v>
      </c>
      <c r="AP75" s="673" t="e">
        <f>IF(G75="مدير ولائي",0,LOOKUP(D75,'f-travail'!A:A,'f-travail'!V:V)*(AF75+AG75))</f>
        <v>#N/A</v>
      </c>
      <c r="AQ75" s="673" t="e">
        <f>IF(G75="مدير ولائي",0,LOOKUP(D75,'f-travail'!A:A,'f-travail'!W:W)*(AF75+AG75))</f>
        <v>#N/A</v>
      </c>
      <c r="AR75" s="673">
        <f t="shared" si="58"/>
        <v>0</v>
      </c>
      <c r="AS75" s="673" t="e">
        <f>IF(G75="مدير ولائي",0,LOOKUP(D75,'f-travail'!A:A,'f-travail'!X:X)*(AF75+AG75))</f>
        <v>#N/A</v>
      </c>
      <c r="AT75" s="673" t="e">
        <f>IF(G75="مدير ولائي",0,LOOKUP(D75,'f-travail'!Y:Y,'f-travail'!R:R)*(AF75+AG75))</f>
        <v>#N/A</v>
      </c>
      <c r="AU75" s="673">
        <f t="shared" si="43"/>
        <v>0</v>
      </c>
      <c r="AV75" s="673">
        <f t="shared" si="44"/>
        <v>0</v>
      </c>
      <c r="AW75" s="673">
        <f t="shared" si="45"/>
        <v>0</v>
      </c>
      <c r="AX75" s="637" t="str">
        <f t="shared" si="33"/>
        <v/>
      </c>
      <c r="AY75" s="640" t="e">
        <f t="shared" si="59"/>
        <v>#N/A</v>
      </c>
      <c r="AZ75" s="673" t="e">
        <f t="shared" si="46"/>
        <v>#N/A</v>
      </c>
      <c r="BA75" s="639" t="e">
        <f t="shared" si="47"/>
        <v>#N/A</v>
      </c>
      <c r="BB75" s="639" t="e">
        <f t="shared" si="48"/>
        <v>#N/A</v>
      </c>
      <c r="BC75" s="639">
        <f t="shared" si="49"/>
        <v>0</v>
      </c>
      <c r="BD75" s="639" t="e">
        <f t="shared" si="50"/>
        <v>#N/A</v>
      </c>
      <c r="BE75" s="639">
        <f t="shared" si="51"/>
        <v>0</v>
      </c>
      <c r="BF75" s="639" t="e">
        <f t="shared" si="52"/>
        <v>#N/A</v>
      </c>
      <c r="BG75" s="639">
        <f t="shared" si="60"/>
        <v>0</v>
      </c>
      <c r="BH75" s="683">
        <f t="shared" si="61"/>
        <v>0</v>
      </c>
      <c r="BI75" s="683">
        <f t="shared" si="62"/>
        <v>0</v>
      </c>
      <c r="BJ75" s="641" t="e">
        <f t="shared" si="63"/>
        <v>#N/A</v>
      </c>
      <c r="BK75" s="641" t="e">
        <f t="shared" si="64"/>
        <v>#N/A</v>
      </c>
      <c r="BL75" s="641" t="e">
        <f t="shared" si="65"/>
        <v>#N/A</v>
      </c>
      <c r="BM75" s="684" t="e">
        <f t="shared" si="66"/>
        <v>#N/A</v>
      </c>
      <c r="BN75" s="638"/>
      <c r="BO75" s="682" t="e">
        <f>CONCATENATE(Z75," ",LOOKUP(D75,'f-travail'!A:A,'f-travail'!F:F))</f>
        <v>#N/A</v>
      </c>
      <c r="BP75" s="669" t="e">
        <f t="shared" si="53"/>
        <v>#N/A</v>
      </c>
    </row>
    <row r="76" spans="1:68">
      <c r="A76" s="636">
        <f t="shared" si="67"/>
        <v>75</v>
      </c>
      <c r="B76" s="637"/>
      <c r="C76" s="637"/>
      <c r="D76" s="652"/>
      <c r="E76" s="679" t="e">
        <f>LOOKUP(D76,'f-travail'!A:A,'f-travail'!B:B)</f>
        <v>#N/A</v>
      </c>
      <c r="F76" s="650"/>
      <c r="G76" s="650"/>
      <c r="H76" s="653"/>
      <c r="I76" s="653"/>
      <c r="J76" s="654"/>
      <c r="K76" s="650"/>
      <c r="L76" s="650"/>
      <c r="M76" s="650">
        <v>0</v>
      </c>
      <c r="N76" s="654"/>
      <c r="O76" s="654"/>
      <c r="P76" s="654"/>
      <c r="Q76" s="654"/>
      <c r="R76" s="676"/>
      <c r="S76" s="654"/>
      <c r="T76" s="675"/>
      <c r="U76" s="675"/>
      <c r="V76" s="670" t="e">
        <f>LOOKUP(D76,'f-travail'!A:A,'f-travail'!E:E)</f>
        <v>#N/A</v>
      </c>
      <c r="W76" s="670" t="e">
        <f>VLOOKUP(V76,جرقمإستدلالي,'f-travail'!$AD$4+1,FALSE)</f>
        <v>#N/A</v>
      </c>
      <c r="X76" s="671" t="e">
        <f t="shared" si="37"/>
        <v>#N/A</v>
      </c>
      <c r="Y76" s="671">
        <f>IF(G76="مدير ولائي",(HLOOKUP(I76,جدروظعليا,'f-travail'!$AT$3+1,FALSE)-3200),0)</f>
        <v>0</v>
      </c>
      <c r="Z76" s="672" t="str">
        <f t="shared" si="54"/>
        <v/>
      </c>
      <c r="AA76" s="671">
        <f t="shared" si="55"/>
        <v>0</v>
      </c>
      <c r="AB76" s="677" t="b">
        <f t="shared" si="38"/>
        <v>0</v>
      </c>
      <c r="AC76" s="678">
        <f t="shared" si="56"/>
        <v>0</v>
      </c>
      <c r="AD76" s="673">
        <f t="shared" si="39"/>
        <v>0</v>
      </c>
      <c r="AE76" s="678">
        <f t="shared" si="40"/>
        <v>0</v>
      </c>
      <c r="AF76" s="678" t="e">
        <f t="shared" si="41"/>
        <v>#N/A</v>
      </c>
      <c r="AG76" s="678" t="e">
        <f t="shared" si="42"/>
        <v>#N/A</v>
      </c>
      <c r="AH76" s="673">
        <f t="shared" si="57"/>
        <v>0</v>
      </c>
      <c r="AI76" s="674" t="e">
        <f>IF(G76="مدير ولائي",(11000*35%),LOOKUP(D76,'f-travail'!A:A,'f-travail'!I:I))</f>
        <v>#N/A</v>
      </c>
      <c r="AJ76" s="673" t="e">
        <f>IF(G76="مدير ولائي",((W76+X76)*45)*80%,IF(V76&lt;8,0,IF(F76="إليزي",(LOOKUP(D76,'f-travail'!A:A,'f-travail'!O:O))*(AF76+AG76),LOOKUP(D76,'f-travail'!A:A,'f-travail'!P:P)*(AF76+AG76))))</f>
        <v>#N/A</v>
      </c>
      <c r="AK76" s="673" t="e">
        <f>IF(G76="مدير ولائي",0,LOOKUP(D76,'f-travail'!A:A,'f-travail'!Q:Q))</f>
        <v>#N/A</v>
      </c>
      <c r="AL76" s="673" t="e">
        <f>IF(G76="مدير ولائي",0,LOOKUP(D76,'f-travail'!A:A,'f-travail'!R:R)*(AF76+AG76))</f>
        <v>#N/A</v>
      </c>
      <c r="AM76" s="673" t="e">
        <f>IF(G76="مدير ولائي",0,LOOKUP(D76,'f-travail'!A:A,'f-travail'!S:S)*(AF76+AG76))</f>
        <v>#N/A</v>
      </c>
      <c r="AN76" s="673" t="e">
        <f>IF(G76="مدير ولائي",0,LOOKUP(D76,'f-travail'!A:A,'f-travail'!T:T)*(AF76+AG76))</f>
        <v>#N/A</v>
      </c>
      <c r="AO76" s="673" t="e">
        <f>IF(G76="مدير ولائي",0,LOOKUP(D76,'f-travail'!A:A,'f-travail'!U:U)*(AF76+AG76))</f>
        <v>#N/A</v>
      </c>
      <c r="AP76" s="673" t="e">
        <f>IF(G76="مدير ولائي",0,LOOKUP(D76,'f-travail'!A:A,'f-travail'!V:V)*(AF76+AG76))</f>
        <v>#N/A</v>
      </c>
      <c r="AQ76" s="673" t="e">
        <f>IF(G76="مدير ولائي",0,LOOKUP(D76,'f-travail'!A:A,'f-travail'!W:W)*(AF76+AG76))</f>
        <v>#N/A</v>
      </c>
      <c r="AR76" s="673">
        <f t="shared" si="58"/>
        <v>0</v>
      </c>
      <c r="AS76" s="673" t="e">
        <f>IF(G76="مدير ولائي",0,LOOKUP(D76,'f-travail'!A:A,'f-travail'!X:X)*(AF76+AG76))</f>
        <v>#N/A</v>
      </c>
      <c r="AT76" s="673" t="e">
        <f>IF(G76="مدير ولائي",0,LOOKUP(D76,'f-travail'!Y:Y,'f-travail'!R:R)*(AF76+AG76))</f>
        <v>#N/A</v>
      </c>
      <c r="AU76" s="673">
        <f t="shared" si="43"/>
        <v>0</v>
      </c>
      <c r="AV76" s="673">
        <f t="shared" si="44"/>
        <v>0</v>
      </c>
      <c r="AW76" s="673">
        <f t="shared" si="45"/>
        <v>0</v>
      </c>
      <c r="AX76" s="637" t="str">
        <f t="shared" si="33"/>
        <v/>
      </c>
      <c r="AY76" s="640" t="e">
        <f t="shared" si="59"/>
        <v>#N/A</v>
      </c>
      <c r="AZ76" s="673" t="e">
        <f t="shared" si="46"/>
        <v>#N/A</v>
      </c>
      <c r="BA76" s="639" t="e">
        <f t="shared" si="47"/>
        <v>#N/A</v>
      </c>
      <c r="BB76" s="639" t="e">
        <f t="shared" si="48"/>
        <v>#N/A</v>
      </c>
      <c r="BC76" s="639">
        <f t="shared" si="49"/>
        <v>0</v>
      </c>
      <c r="BD76" s="639" t="e">
        <f t="shared" si="50"/>
        <v>#N/A</v>
      </c>
      <c r="BE76" s="639">
        <f t="shared" si="51"/>
        <v>0</v>
      </c>
      <c r="BF76" s="639" t="e">
        <f t="shared" si="52"/>
        <v>#N/A</v>
      </c>
      <c r="BG76" s="639">
        <f t="shared" si="60"/>
        <v>0</v>
      </c>
      <c r="BH76" s="683">
        <f t="shared" si="61"/>
        <v>0</v>
      </c>
      <c r="BI76" s="683">
        <f t="shared" si="62"/>
        <v>0</v>
      </c>
      <c r="BJ76" s="641" t="e">
        <f t="shared" si="63"/>
        <v>#N/A</v>
      </c>
      <c r="BK76" s="641" t="e">
        <f t="shared" si="64"/>
        <v>#N/A</v>
      </c>
      <c r="BL76" s="641" t="e">
        <f t="shared" si="65"/>
        <v>#N/A</v>
      </c>
      <c r="BM76" s="684" t="e">
        <f t="shared" si="66"/>
        <v>#N/A</v>
      </c>
      <c r="BN76" s="638"/>
      <c r="BO76" s="682" t="e">
        <f>CONCATENATE(Z76," ",LOOKUP(D76,'f-travail'!A:A,'f-travail'!F:F))</f>
        <v>#N/A</v>
      </c>
      <c r="BP76" s="669" t="e">
        <f t="shared" si="53"/>
        <v>#N/A</v>
      </c>
    </row>
    <row r="77" spans="1:68">
      <c r="A77" s="636">
        <f t="shared" si="67"/>
        <v>76</v>
      </c>
      <c r="B77" s="637"/>
      <c r="C77" s="637"/>
      <c r="D77" s="652"/>
      <c r="E77" s="679" t="e">
        <f>LOOKUP(D77,'f-travail'!A:A,'f-travail'!B:B)</f>
        <v>#N/A</v>
      </c>
      <c r="F77" s="650"/>
      <c r="G77" s="650"/>
      <c r="H77" s="653"/>
      <c r="I77" s="653"/>
      <c r="J77" s="654"/>
      <c r="K77" s="650"/>
      <c r="L77" s="650"/>
      <c r="M77" s="650">
        <v>0</v>
      </c>
      <c r="N77" s="654"/>
      <c r="O77" s="654"/>
      <c r="P77" s="654"/>
      <c r="Q77" s="654"/>
      <c r="R77" s="676"/>
      <c r="S77" s="654"/>
      <c r="T77" s="675"/>
      <c r="U77" s="675"/>
      <c r="V77" s="670" t="e">
        <f>LOOKUP(D77,'f-travail'!A:A,'f-travail'!E:E)</f>
        <v>#N/A</v>
      </c>
      <c r="W77" s="670" t="e">
        <f>VLOOKUP(V77,جرقمإستدلالي,'f-travail'!$AD$4+1,FALSE)</f>
        <v>#N/A</v>
      </c>
      <c r="X77" s="671" t="e">
        <f t="shared" si="37"/>
        <v>#N/A</v>
      </c>
      <c r="Y77" s="671">
        <f>IF(G77="مدير ولائي",(HLOOKUP(I77,جدروظعليا,'f-travail'!$AT$3+1,FALSE)-3200),0)</f>
        <v>0</v>
      </c>
      <c r="Z77" s="672" t="str">
        <f t="shared" si="54"/>
        <v/>
      </c>
      <c r="AA77" s="671">
        <f t="shared" si="55"/>
        <v>0</v>
      </c>
      <c r="AB77" s="677" t="b">
        <f t="shared" si="38"/>
        <v>0</v>
      </c>
      <c r="AC77" s="678">
        <f t="shared" si="56"/>
        <v>0</v>
      </c>
      <c r="AD77" s="673">
        <f t="shared" si="39"/>
        <v>0</v>
      </c>
      <c r="AE77" s="678">
        <f t="shared" si="40"/>
        <v>0</v>
      </c>
      <c r="AF77" s="678" t="e">
        <f t="shared" si="41"/>
        <v>#N/A</v>
      </c>
      <c r="AG77" s="678" t="e">
        <f t="shared" si="42"/>
        <v>#N/A</v>
      </c>
      <c r="AH77" s="673">
        <f t="shared" si="57"/>
        <v>0</v>
      </c>
      <c r="AI77" s="674" t="e">
        <f>IF(G77="مدير ولائي",(11000*35%),LOOKUP(D77,'f-travail'!A:A,'f-travail'!I:I))</f>
        <v>#N/A</v>
      </c>
      <c r="AJ77" s="673" t="e">
        <f>IF(G77="مدير ولائي",((W77+X77)*45)*80%,IF(V77&lt;8,0,IF(F77="إليزي",(LOOKUP(D77,'f-travail'!A:A,'f-travail'!O:O))*(AF77+AG77),LOOKUP(D77,'f-travail'!A:A,'f-travail'!P:P)*(AF77+AG77))))</f>
        <v>#N/A</v>
      </c>
      <c r="AK77" s="673" t="e">
        <f>IF(G77="مدير ولائي",0,LOOKUP(D77,'f-travail'!A:A,'f-travail'!Q:Q))</f>
        <v>#N/A</v>
      </c>
      <c r="AL77" s="673" t="e">
        <f>IF(G77="مدير ولائي",0,LOOKUP(D77,'f-travail'!A:A,'f-travail'!R:R)*(AF77+AG77))</f>
        <v>#N/A</v>
      </c>
      <c r="AM77" s="673" t="e">
        <f>IF(G77="مدير ولائي",0,LOOKUP(D77,'f-travail'!A:A,'f-travail'!S:S)*(AF77+AG77))</f>
        <v>#N/A</v>
      </c>
      <c r="AN77" s="673" t="e">
        <f>IF(G77="مدير ولائي",0,LOOKUP(D77,'f-travail'!A:A,'f-travail'!T:T)*(AF77+AG77))</f>
        <v>#N/A</v>
      </c>
      <c r="AO77" s="673" t="e">
        <f>IF(G77="مدير ولائي",0,LOOKUP(D77,'f-travail'!A:A,'f-travail'!U:U)*(AF77+AG77))</f>
        <v>#N/A</v>
      </c>
      <c r="AP77" s="673" t="e">
        <f>IF(G77="مدير ولائي",0,LOOKUP(D77,'f-travail'!A:A,'f-travail'!V:V)*(AF77+AG77))</f>
        <v>#N/A</v>
      </c>
      <c r="AQ77" s="673" t="e">
        <f>IF(G77="مدير ولائي",0,LOOKUP(D77,'f-travail'!A:A,'f-travail'!W:W)*(AF77+AG77))</f>
        <v>#N/A</v>
      </c>
      <c r="AR77" s="673">
        <f t="shared" si="58"/>
        <v>0</v>
      </c>
      <c r="AS77" s="673" t="e">
        <f>IF(G77="مدير ولائي",0,LOOKUP(D77,'f-travail'!A:A,'f-travail'!X:X)*(AF77+AG77))</f>
        <v>#N/A</v>
      </c>
      <c r="AT77" s="673" t="e">
        <f>IF(G77="مدير ولائي",0,LOOKUP(D77,'f-travail'!Y:Y,'f-travail'!R:R)*(AF77+AG77))</f>
        <v>#N/A</v>
      </c>
      <c r="AU77" s="673">
        <f t="shared" si="43"/>
        <v>0</v>
      </c>
      <c r="AV77" s="673">
        <f t="shared" si="44"/>
        <v>0</v>
      </c>
      <c r="AW77" s="673">
        <f t="shared" si="45"/>
        <v>0</v>
      </c>
      <c r="AX77" s="637" t="str">
        <f t="shared" si="33"/>
        <v/>
      </c>
      <c r="AY77" s="640" t="e">
        <f t="shared" si="59"/>
        <v>#N/A</v>
      </c>
      <c r="AZ77" s="673" t="e">
        <f t="shared" si="46"/>
        <v>#N/A</v>
      </c>
      <c r="BA77" s="639" t="e">
        <f t="shared" si="47"/>
        <v>#N/A</v>
      </c>
      <c r="BB77" s="639" t="e">
        <f t="shared" si="48"/>
        <v>#N/A</v>
      </c>
      <c r="BC77" s="639">
        <f t="shared" si="49"/>
        <v>0</v>
      </c>
      <c r="BD77" s="639" t="e">
        <f t="shared" si="50"/>
        <v>#N/A</v>
      </c>
      <c r="BE77" s="639">
        <f t="shared" si="51"/>
        <v>0</v>
      </c>
      <c r="BF77" s="639" t="e">
        <f t="shared" si="52"/>
        <v>#N/A</v>
      </c>
      <c r="BG77" s="639">
        <f t="shared" si="60"/>
        <v>0</v>
      </c>
      <c r="BH77" s="683">
        <f t="shared" si="61"/>
        <v>0</v>
      </c>
      <c r="BI77" s="683">
        <f t="shared" si="62"/>
        <v>0</v>
      </c>
      <c r="BJ77" s="641" t="e">
        <f t="shared" si="63"/>
        <v>#N/A</v>
      </c>
      <c r="BK77" s="641" t="e">
        <f t="shared" si="64"/>
        <v>#N/A</v>
      </c>
      <c r="BL77" s="641" t="e">
        <f t="shared" si="65"/>
        <v>#N/A</v>
      </c>
      <c r="BM77" s="684" t="e">
        <f t="shared" si="66"/>
        <v>#N/A</v>
      </c>
      <c r="BN77" s="638"/>
      <c r="BO77" s="682" t="e">
        <f>CONCATENATE(Z77," ",LOOKUP(D77,'f-travail'!A:A,'f-travail'!F:F))</f>
        <v>#N/A</v>
      </c>
      <c r="BP77" s="669" t="e">
        <f t="shared" si="53"/>
        <v>#N/A</v>
      </c>
    </row>
    <row r="78" spans="1:68">
      <c r="A78" s="636">
        <f t="shared" si="67"/>
        <v>77</v>
      </c>
      <c r="B78" s="637"/>
      <c r="C78" s="637"/>
      <c r="D78" s="652"/>
      <c r="E78" s="679" t="e">
        <f>LOOKUP(D78,'f-travail'!A:A,'f-travail'!B:B)</f>
        <v>#N/A</v>
      </c>
      <c r="F78" s="650"/>
      <c r="G78" s="650"/>
      <c r="H78" s="653"/>
      <c r="I78" s="653"/>
      <c r="J78" s="654"/>
      <c r="K78" s="650"/>
      <c r="L78" s="650"/>
      <c r="M78" s="650">
        <v>0</v>
      </c>
      <c r="N78" s="654"/>
      <c r="O78" s="654"/>
      <c r="P78" s="654"/>
      <c r="Q78" s="654"/>
      <c r="R78" s="681"/>
      <c r="S78" s="654"/>
      <c r="T78" s="675"/>
      <c r="U78" s="675"/>
      <c r="V78" s="670" t="e">
        <f>LOOKUP(D78,'f-travail'!A:A,'f-travail'!E:E)</f>
        <v>#N/A</v>
      </c>
      <c r="W78" s="670" t="e">
        <f>VLOOKUP(V78,جرقمإستدلالي,'f-travail'!$AD$4+1,FALSE)</f>
        <v>#N/A</v>
      </c>
      <c r="X78" s="671" t="e">
        <f t="shared" si="37"/>
        <v>#N/A</v>
      </c>
      <c r="Y78" s="671">
        <f>IF(G78="مدير ولائي",(HLOOKUP(I78,جدروظعليا,'f-travail'!$AT$3+1,FALSE)-3200),0)</f>
        <v>0</v>
      </c>
      <c r="Z78" s="672" t="str">
        <f t="shared" si="54"/>
        <v/>
      </c>
      <c r="AA78" s="671">
        <f t="shared" si="55"/>
        <v>0</v>
      </c>
      <c r="AB78" s="677" t="b">
        <f t="shared" si="38"/>
        <v>0</v>
      </c>
      <c r="AC78" s="678">
        <f t="shared" si="56"/>
        <v>0</v>
      </c>
      <c r="AD78" s="673">
        <f t="shared" si="39"/>
        <v>0</v>
      </c>
      <c r="AE78" s="678">
        <f t="shared" si="40"/>
        <v>0</v>
      </c>
      <c r="AF78" s="678" t="e">
        <f t="shared" si="41"/>
        <v>#N/A</v>
      </c>
      <c r="AG78" s="678" t="e">
        <f t="shared" si="42"/>
        <v>#N/A</v>
      </c>
      <c r="AH78" s="673">
        <f t="shared" si="57"/>
        <v>0</v>
      </c>
      <c r="AI78" s="674" t="e">
        <f>IF(G78="مدير ولائي",(11000*35%),LOOKUP(D78,'f-travail'!A:A,'f-travail'!I:I))</f>
        <v>#N/A</v>
      </c>
      <c r="AJ78" s="673" t="e">
        <f>IF(G78="مدير ولائي",((W78+X78)*45)*80%,IF(V78&lt;8,0,IF(F78="إليزي",(LOOKUP(D78,'f-travail'!A:A,'f-travail'!O:O))*(AF78+AG78),LOOKUP(D78,'f-travail'!A:A,'f-travail'!P:P)*(AF78+AG78))))</f>
        <v>#N/A</v>
      </c>
      <c r="AK78" s="673" t="e">
        <f>IF(G78="مدير ولائي",0,LOOKUP(D78,'f-travail'!A:A,'f-travail'!Q:Q))</f>
        <v>#N/A</v>
      </c>
      <c r="AL78" s="673" t="e">
        <f>IF(G78="مدير ولائي",0,LOOKUP(D78,'f-travail'!A:A,'f-travail'!R:R)*(AF78+AG78))</f>
        <v>#N/A</v>
      </c>
      <c r="AM78" s="673" t="e">
        <f>IF(G78="مدير ولائي",0,LOOKUP(D78,'f-travail'!A:A,'f-travail'!S:S)*(AF78+AG78))</f>
        <v>#N/A</v>
      </c>
      <c r="AN78" s="673" t="e">
        <f>IF(G78="مدير ولائي",0,LOOKUP(D78,'f-travail'!A:A,'f-travail'!T:T)*(AF78+AG78))</f>
        <v>#N/A</v>
      </c>
      <c r="AO78" s="673" t="e">
        <f>IF(G78="مدير ولائي",0,LOOKUP(D78,'f-travail'!A:A,'f-travail'!U:U)*(AF78+AG78))</f>
        <v>#N/A</v>
      </c>
      <c r="AP78" s="673" t="e">
        <f>IF(G78="مدير ولائي",0,LOOKUP(D78,'f-travail'!A:A,'f-travail'!V:V)*(AF78+AG78))</f>
        <v>#N/A</v>
      </c>
      <c r="AQ78" s="673" t="e">
        <f>IF(G78="مدير ولائي",0,LOOKUP(D78,'f-travail'!A:A,'f-travail'!W:W)*(AF78+AG78))</f>
        <v>#N/A</v>
      </c>
      <c r="AR78" s="673">
        <f t="shared" si="58"/>
        <v>0</v>
      </c>
      <c r="AS78" s="673" t="e">
        <f>IF(G78="مدير ولائي",0,LOOKUP(D78,'f-travail'!A:A,'f-travail'!X:X)*(AF78+AG78))</f>
        <v>#N/A</v>
      </c>
      <c r="AT78" s="673" t="e">
        <f>IF(G78="مدير ولائي",0,LOOKUP(D78,'f-travail'!Y:Y,'f-travail'!R:R)*(AF78+AG78))</f>
        <v>#N/A</v>
      </c>
      <c r="AU78" s="673">
        <f t="shared" si="43"/>
        <v>0</v>
      </c>
      <c r="AV78" s="673">
        <f t="shared" si="44"/>
        <v>0</v>
      </c>
      <c r="AW78" s="673">
        <f t="shared" si="45"/>
        <v>0</v>
      </c>
      <c r="AX78" s="637" t="str">
        <f t="shared" si="33"/>
        <v/>
      </c>
      <c r="AY78" s="640" t="e">
        <f t="shared" si="59"/>
        <v>#N/A</v>
      </c>
      <c r="AZ78" s="673" t="e">
        <f t="shared" si="46"/>
        <v>#N/A</v>
      </c>
      <c r="BA78" s="639" t="e">
        <f t="shared" si="47"/>
        <v>#N/A</v>
      </c>
      <c r="BB78" s="644" t="e">
        <f t="shared" si="48"/>
        <v>#N/A</v>
      </c>
      <c r="BC78" s="644">
        <f t="shared" si="49"/>
        <v>0</v>
      </c>
      <c r="BD78" s="644" t="e">
        <f t="shared" si="50"/>
        <v>#N/A</v>
      </c>
      <c r="BE78" s="644">
        <f t="shared" si="51"/>
        <v>0</v>
      </c>
      <c r="BF78" s="644" t="e">
        <f t="shared" si="52"/>
        <v>#N/A</v>
      </c>
      <c r="BG78" s="639">
        <f t="shared" si="60"/>
        <v>0</v>
      </c>
      <c r="BH78" s="683">
        <f t="shared" si="61"/>
        <v>0</v>
      </c>
      <c r="BI78" s="683">
        <f t="shared" si="62"/>
        <v>0</v>
      </c>
      <c r="BJ78" s="641" t="e">
        <f t="shared" si="63"/>
        <v>#N/A</v>
      </c>
      <c r="BK78" s="641" t="e">
        <f t="shared" si="64"/>
        <v>#N/A</v>
      </c>
      <c r="BL78" s="641" t="e">
        <f t="shared" si="65"/>
        <v>#N/A</v>
      </c>
      <c r="BM78" s="684" t="e">
        <f t="shared" si="66"/>
        <v>#N/A</v>
      </c>
      <c r="BN78" s="643"/>
      <c r="BO78" s="682" t="e">
        <f>CONCATENATE(Z78," ",LOOKUP(D78,'f-travail'!A:A,'f-travail'!F:F))</f>
        <v>#N/A</v>
      </c>
      <c r="BP78" s="669" t="e">
        <f t="shared" si="53"/>
        <v>#N/A</v>
      </c>
    </row>
    <row r="79" spans="1:68" s="645" customFormat="1">
      <c r="A79" s="636">
        <f t="shared" si="67"/>
        <v>78</v>
      </c>
      <c r="B79" s="637"/>
      <c r="C79" s="637"/>
      <c r="D79" s="652"/>
      <c r="E79" s="679" t="e">
        <f>LOOKUP(D79,'f-travail'!A:A,'f-travail'!B:B)</f>
        <v>#N/A</v>
      </c>
      <c r="F79" s="650"/>
      <c r="G79" s="650"/>
      <c r="H79" s="653"/>
      <c r="I79" s="653"/>
      <c r="J79" s="654"/>
      <c r="K79" s="650"/>
      <c r="L79" s="650"/>
      <c r="M79" s="650">
        <v>0</v>
      </c>
      <c r="N79" s="654"/>
      <c r="O79" s="654"/>
      <c r="P79" s="654"/>
      <c r="Q79" s="654"/>
      <c r="R79" s="676"/>
      <c r="S79" s="654"/>
      <c r="T79" s="675"/>
      <c r="U79" s="675"/>
      <c r="V79" s="670" t="e">
        <f>LOOKUP(D79,'f-travail'!A:A,'f-travail'!E:E)</f>
        <v>#N/A</v>
      </c>
      <c r="W79" s="670" t="e">
        <f>VLOOKUP(V79,جرقمإستدلالي,'f-travail'!$AD$4+1,FALSE)</f>
        <v>#N/A</v>
      </c>
      <c r="X79" s="671" t="e">
        <f t="shared" si="37"/>
        <v>#N/A</v>
      </c>
      <c r="Y79" s="671">
        <f>IF(G79="مدير ولائي",(HLOOKUP(I79,جدروظعليا,'f-travail'!$AT$3+1,FALSE)-3200),0)</f>
        <v>0</v>
      </c>
      <c r="Z79" s="672" t="str">
        <f t="shared" si="54"/>
        <v/>
      </c>
      <c r="AA79" s="671">
        <f t="shared" si="55"/>
        <v>0</v>
      </c>
      <c r="AB79" s="677" t="b">
        <f t="shared" si="38"/>
        <v>0</v>
      </c>
      <c r="AC79" s="678">
        <f t="shared" si="56"/>
        <v>0</v>
      </c>
      <c r="AD79" s="673">
        <f t="shared" si="39"/>
        <v>0</v>
      </c>
      <c r="AE79" s="678">
        <f t="shared" si="40"/>
        <v>0</v>
      </c>
      <c r="AF79" s="678" t="e">
        <f t="shared" si="41"/>
        <v>#N/A</v>
      </c>
      <c r="AG79" s="678" t="e">
        <f t="shared" si="42"/>
        <v>#N/A</v>
      </c>
      <c r="AH79" s="673">
        <f t="shared" si="57"/>
        <v>0</v>
      </c>
      <c r="AI79" s="674" t="e">
        <f>IF(G79="مدير ولائي",(11000*35%),LOOKUP(D79,'f-travail'!A:A,'f-travail'!I:I))</f>
        <v>#N/A</v>
      </c>
      <c r="AJ79" s="673" t="e">
        <f>IF(G79="مدير ولائي",((W79+X79)*45)*80%,IF(V79&lt;8,0,IF(F79="إليزي",(LOOKUP(D79,'f-travail'!A:A,'f-travail'!O:O))*(AF79+AG79),LOOKUP(D79,'f-travail'!A:A,'f-travail'!P:P)*(AF79+AG79))))</f>
        <v>#N/A</v>
      </c>
      <c r="AK79" s="673" t="e">
        <f>IF(G79="مدير ولائي",0,LOOKUP(D79,'f-travail'!A:A,'f-travail'!Q:Q))</f>
        <v>#N/A</v>
      </c>
      <c r="AL79" s="673" t="e">
        <f>IF(G79="مدير ولائي",0,LOOKUP(D79,'f-travail'!A:A,'f-travail'!R:R)*(AF79+AG79))</f>
        <v>#N/A</v>
      </c>
      <c r="AM79" s="673" t="e">
        <f>IF(G79="مدير ولائي",0,LOOKUP(D79,'f-travail'!A:A,'f-travail'!S:S)*(AF79+AG79))</f>
        <v>#N/A</v>
      </c>
      <c r="AN79" s="673" t="e">
        <f>IF(G79="مدير ولائي",0,LOOKUP(D79,'f-travail'!A:A,'f-travail'!T:T)*(AF79+AG79))</f>
        <v>#N/A</v>
      </c>
      <c r="AO79" s="673" t="e">
        <f>IF(G79="مدير ولائي",0,LOOKUP(D79,'f-travail'!A:A,'f-travail'!U:U)*(AF79+AG79))</f>
        <v>#N/A</v>
      </c>
      <c r="AP79" s="673" t="e">
        <f>IF(G79="مدير ولائي",0,LOOKUP(D79,'f-travail'!A:A,'f-travail'!V:V)*(AF79+AG79))</f>
        <v>#N/A</v>
      </c>
      <c r="AQ79" s="673" t="e">
        <f>IF(G79="مدير ولائي",0,LOOKUP(D79,'f-travail'!A:A,'f-travail'!W:W)*(AF79+AG79))</f>
        <v>#N/A</v>
      </c>
      <c r="AR79" s="673">
        <f t="shared" si="58"/>
        <v>0</v>
      </c>
      <c r="AS79" s="673" t="e">
        <f>IF(G79="مدير ولائي",0,LOOKUP(D79,'f-travail'!A:A,'f-travail'!X:X)*(AF79+AG79))</f>
        <v>#N/A</v>
      </c>
      <c r="AT79" s="673" t="e">
        <f>IF(G79="مدير ولائي",0,LOOKUP(D79,'f-travail'!Y:Y,'f-travail'!R:R)*(AF79+AG79))</f>
        <v>#N/A</v>
      </c>
      <c r="AU79" s="673">
        <f t="shared" si="43"/>
        <v>0</v>
      </c>
      <c r="AV79" s="673">
        <f t="shared" si="44"/>
        <v>0</v>
      </c>
      <c r="AW79" s="673">
        <f t="shared" si="45"/>
        <v>0</v>
      </c>
      <c r="AX79" s="637" t="str">
        <f t="shared" si="33"/>
        <v/>
      </c>
      <c r="AY79" s="640" t="e">
        <f t="shared" si="59"/>
        <v>#N/A</v>
      </c>
      <c r="AZ79" s="673" t="e">
        <f t="shared" si="46"/>
        <v>#N/A</v>
      </c>
      <c r="BA79" s="639" t="e">
        <f t="shared" si="47"/>
        <v>#N/A</v>
      </c>
      <c r="BB79" s="639" t="e">
        <f t="shared" si="48"/>
        <v>#N/A</v>
      </c>
      <c r="BC79" s="639">
        <f t="shared" si="49"/>
        <v>0</v>
      </c>
      <c r="BD79" s="639" t="e">
        <f t="shared" si="50"/>
        <v>#N/A</v>
      </c>
      <c r="BE79" s="639">
        <f t="shared" si="51"/>
        <v>0</v>
      </c>
      <c r="BF79" s="639" t="e">
        <f t="shared" si="52"/>
        <v>#N/A</v>
      </c>
      <c r="BG79" s="639">
        <f t="shared" si="60"/>
        <v>0</v>
      </c>
      <c r="BH79" s="683">
        <f t="shared" si="61"/>
        <v>0</v>
      </c>
      <c r="BI79" s="683">
        <f t="shared" si="62"/>
        <v>0</v>
      </c>
      <c r="BJ79" s="641" t="e">
        <f t="shared" si="63"/>
        <v>#N/A</v>
      </c>
      <c r="BK79" s="641" t="e">
        <f t="shared" si="64"/>
        <v>#N/A</v>
      </c>
      <c r="BL79" s="641" t="e">
        <f t="shared" si="65"/>
        <v>#N/A</v>
      </c>
      <c r="BM79" s="684" t="e">
        <f t="shared" si="66"/>
        <v>#N/A</v>
      </c>
      <c r="BN79" s="638"/>
      <c r="BO79" s="682" t="e">
        <f>CONCATENATE(Z79," ",LOOKUP(D79,'f-travail'!A:A,'f-travail'!F:F))</f>
        <v>#N/A</v>
      </c>
      <c r="BP79" s="669" t="e">
        <f t="shared" si="53"/>
        <v>#N/A</v>
      </c>
    </row>
    <row r="80" spans="1:68">
      <c r="A80" s="636">
        <f t="shared" si="67"/>
        <v>79</v>
      </c>
      <c r="B80" s="637"/>
      <c r="C80" s="637"/>
      <c r="D80" s="652"/>
      <c r="E80" s="679" t="e">
        <f>LOOKUP(D80,'f-travail'!A:A,'f-travail'!B:B)</f>
        <v>#N/A</v>
      </c>
      <c r="F80" s="650"/>
      <c r="G80" s="650"/>
      <c r="H80" s="653"/>
      <c r="I80" s="653"/>
      <c r="J80" s="654"/>
      <c r="K80" s="650"/>
      <c r="L80" s="650"/>
      <c r="M80" s="650">
        <v>0</v>
      </c>
      <c r="N80" s="654"/>
      <c r="O80" s="654"/>
      <c r="P80" s="654"/>
      <c r="Q80" s="654"/>
      <c r="R80" s="676"/>
      <c r="S80" s="654"/>
      <c r="T80" s="675"/>
      <c r="U80" s="675"/>
      <c r="V80" s="670" t="e">
        <f>LOOKUP(D80,'f-travail'!A:A,'f-travail'!E:E)</f>
        <v>#N/A</v>
      </c>
      <c r="W80" s="670" t="e">
        <f>VLOOKUP(V80,جرقمإستدلالي,'f-travail'!$AD$4+1,FALSE)</f>
        <v>#N/A</v>
      </c>
      <c r="X80" s="671" t="e">
        <f t="shared" si="37"/>
        <v>#N/A</v>
      </c>
      <c r="Y80" s="671">
        <f>IF(G80="مدير ولائي",(HLOOKUP(I80,جدروظعليا,'f-travail'!$AT$3+1,FALSE)-3200),0)</f>
        <v>0</v>
      </c>
      <c r="Z80" s="672" t="str">
        <f t="shared" si="54"/>
        <v/>
      </c>
      <c r="AA80" s="671">
        <f t="shared" si="55"/>
        <v>0</v>
      </c>
      <c r="AB80" s="677" t="b">
        <f t="shared" si="38"/>
        <v>0</v>
      </c>
      <c r="AC80" s="678">
        <f t="shared" si="56"/>
        <v>0</v>
      </c>
      <c r="AD80" s="673"/>
      <c r="AE80" s="678">
        <f t="shared" si="40"/>
        <v>0</v>
      </c>
      <c r="AF80" s="678" t="e">
        <f t="shared" si="41"/>
        <v>#N/A</v>
      </c>
      <c r="AG80" s="678" t="e">
        <f t="shared" si="42"/>
        <v>#N/A</v>
      </c>
      <c r="AH80" s="673">
        <f t="shared" si="57"/>
        <v>0</v>
      </c>
      <c r="AI80" s="674" t="e">
        <f>IF(G80="مدير ولائي",(11000*35%),LOOKUP(D80,'f-travail'!A:A,'f-travail'!I:I))</f>
        <v>#N/A</v>
      </c>
      <c r="AJ80" s="673" t="e">
        <f>IF(G80="مدير ولائي",((W80+X80)*45)*80%,IF(V80&lt;8,0,IF(F80="إليزي",(LOOKUP(D80,'f-travail'!A:A,'f-travail'!O:O))*(AF80+AG80),LOOKUP(D80,'f-travail'!A:A,'f-travail'!P:P)*(AF80+AG80))))</f>
        <v>#N/A</v>
      </c>
      <c r="AK80" s="673" t="e">
        <f>IF(G80="مدير ولائي",0,LOOKUP(D80,'f-travail'!A:A,'f-travail'!Q:Q))</f>
        <v>#N/A</v>
      </c>
      <c r="AL80" s="673" t="e">
        <f>IF(G80="مدير ولائي",0,LOOKUP(D80,'f-travail'!A:A,'f-travail'!R:R)*(AF80+AG80))</f>
        <v>#N/A</v>
      </c>
      <c r="AM80" s="673" t="e">
        <f>IF(G80="مدير ولائي",0,LOOKUP(D80,'f-travail'!A:A,'f-travail'!S:S)*(AF80+AG80))</f>
        <v>#N/A</v>
      </c>
      <c r="AN80" s="673" t="e">
        <f>IF(G80="مدير ولائي",0,LOOKUP(D80,'f-travail'!A:A,'f-travail'!T:T)*(AF80+AG80))</f>
        <v>#N/A</v>
      </c>
      <c r="AO80" s="673" t="e">
        <f>IF(G80="مدير ولائي",0,LOOKUP(D80,'f-travail'!A:A,'f-travail'!U:U)*(AF80+AG80))</f>
        <v>#N/A</v>
      </c>
      <c r="AP80" s="673" t="e">
        <f>IF(G80="مدير ولائي",0,LOOKUP(D80,'f-travail'!A:A,'f-travail'!V:V)*(AF80+AG80))</f>
        <v>#N/A</v>
      </c>
      <c r="AQ80" s="673" t="e">
        <f>IF(G80="مدير ولائي",0,LOOKUP(D80,'f-travail'!A:A,'f-travail'!W:W)*(AF80+AG80))</f>
        <v>#N/A</v>
      </c>
      <c r="AR80" s="673">
        <f t="shared" si="58"/>
        <v>0</v>
      </c>
      <c r="AS80" s="673" t="e">
        <f>IF(G80="مدير ولائي",0,LOOKUP(D80,'f-travail'!A:A,'f-travail'!X:X)*(AF80+AG80))</f>
        <v>#N/A</v>
      </c>
      <c r="AT80" s="673" t="e">
        <f>IF(G80="مدير ولائي",0,LOOKUP(D80,'f-travail'!Y:Y,'f-travail'!R:R)*(AF80+AG80))</f>
        <v>#N/A</v>
      </c>
      <c r="AU80" s="673">
        <f t="shared" si="43"/>
        <v>0</v>
      </c>
      <c r="AV80" s="673">
        <f t="shared" si="44"/>
        <v>0</v>
      </c>
      <c r="AW80" s="673">
        <f t="shared" si="45"/>
        <v>0</v>
      </c>
      <c r="AX80" s="637" t="str">
        <f t="shared" si="33"/>
        <v/>
      </c>
      <c r="AY80" s="640" t="e">
        <f t="shared" si="59"/>
        <v>#N/A</v>
      </c>
      <c r="AZ80" s="673" t="e">
        <f t="shared" si="46"/>
        <v>#N/A</v>
      </c>
      <c r="BA80" s="639" t="e">
        <f t="shared" si="47"/>
        <v>#N/A</v>
      </c>
      <c r="BG80" s="639">
        <f t="shared" si="60"/>
        <v>0</v>
      </c>
      <c r="BH80" s="683">
        <f t="shared" si="61"/>
        <v>0</v>
      </c>
      <c r="BI80" s="683">
        <f t="shared" si="62"/>
        <v>0</v>
      </c>
      <c r="BJ80" s="641" t="e">
        <f t="shared" si="63"/>
        <v>#N/A</v>
      </c>
      <c r="BK80" s="641" t="e">
        <f t="shared" si="64"/>
        <v>#N/A</v>
      </c>
      <c r="BL80" s="641" t="e">
        <f t="shared" si="65"/>
        <v>#N/A</v>
      </c>
      <c r="BM80" s="684" t="e">
        <f t="shared" si="66"/>
        <v>#N/A</v>
      </c>
      <c r="BO80" s="682" t="e">
        <f>CONCATENATE(Z80," ",LOOKUP(D80,'f-travail'!A:A,'f-travail'!F:F))</f>
        <v>#N/A</v>
      </c>
      <c r="BP80" s="669" t="e">
        <f t="shared" si="53"/>
        <v>#N/A</v>
      </c>
    </row>
    <row r="81" spans="1:68">
      <c r="A81" s="636">
        <f t="shared" si="67"/>
        <v>80</v>
      </c>
      <c r="B81" s="637"/>
      <c r="C81" s="637"/>
      <c r="D81" s="652"/>
      <c r="E81" s="679" t="e">
        <f>LOOKUP(D81,'f-travail'!A:A,'f-travail'!B:B)</f>
        <v>#N/A</v>
      </c>
      <c r="F81" s="650"/>
      <c r="G81" s="650"/>
      <c r="H81" s="653"/>
      <c r="I81" s="653"/>
      <c r="J81" s="654"/>
      <c r="K81" s="650"/>
      <c r="L81" s="650"/>
      <c r="M81" s="650">
        <v>0</v>
      </c>
      <c r="N81" s="654"/>
      <c r="O81" s="654"/>
      <c r="P81" s="654"/>
      <c r="Q81" s="654"/>
      <c r="R81" s="676"/>
      <c r="S81" s="654"/>
      <c r="T81" s="675"/>
      <c r="U81" s="675"/>
      <c r="V81" s="670" t="e">
        <f>LOOKUP(D81,'f-travail'!A:A,'f-travail'!E:E)</f>
        <v>#N/A</v>
      </c>
      <c r="W81" s="670" t="e">
        <f>VLOOKUP(V81,جرقمإستدلالي,'f-travail'!$AD$4+1,FALSE)</f>
        <v>#N/A</v>
      </c>
      <c r="X81" s="671" t="e">
        <f t="shared" si="37"/>
        <v>#N/A</v>
      </c>
      <c r="Y81" s="671">
        <f>IF(G81="مدير ولائي",(HLOOKUP(I81,جدروظعليا,'f-travail'!$AT$3+1,FALSE)-3200),0)</f>
        <v>0</v>
      </c>
      <c r="Z81" s="672" t="str">
        <f t="shared" si="54"/>
        <v/>
      </c>
      <c r="AA81" s="671">
        <f t="shared" si="55"/>
        <v>0</v>
      </c>
      <c r="AB81" s="677" t="b">
        <f t="shared" si="38"/>
        <v>0</v>
      </c>
      <c r="AC81" s="678">
        <f t="shared" si="56"/>
        <v>0</v>
      </c>
      <c r="AD81" s="673"/>
      <c r="AE81" s="678">
        <f t="shared" si="40"/>
        <v>0</v>
      </c>
      <c r="AF81" s="678" t="e">
        <f t="shared" si="41"/>
        <v>#N/A</v>
      </c>
      <c r="AG81" s="678" t="e">
        <f t="shared" si="42"/>
        <v>#N/A</v>
      </c>
      <c r="AH81" s="673">
        <f t="shared" si="57"/>
        <v>0</v>
      </c>
      <c r="AI81" s="674" t="e">
        <f>IF(G81="مدير ولائي",(11000*35%),LOOKUP(D81,'f-travail'!A:A,'f-travail'!I:I))</f>
        <v>#N/A</v>
      </c>
      <c r="AJ81" s="673" t="e">
        <f>IF(G81="مدير ولائي",((W81+X81)*45)*80%,IF(V81&lt;8,0,IF(F81="إليزي",(LOOKUP(D81,'f-travail'!A:A,'f-travail'!O:O))*(AF81+AG81),LOOKUP(D81,'f-travail'!A:A,'f-travail'!P:P)*(AF81+AG81))))</f>
        <v>#N/A</v>
      </c>
      <c r="AK81" s="673" t="e">
        <f>IF(G81="مدير ولائي",0,LOOKUP(D81,'f-travail'!A:A,'f-travail'!Q:Q))</f>
        <v>#N/A</v>
      </c>
      <c r="AL81" s="673" t="e">
        <f>IF(G81="مدير ولائي",0,LOOKUP(D81,'f-travail'!A:A,'f-travail'!R:R)*(AF81+AG81))</f>
        <v>#N/A</v>
      </c>
      <c r="AM81" s="673" t="e">
        <f>IF(G81="مدير ولائي",0,LOOKUP(D81,'f-travail'!A:A,'f-travail'!S:S)*(AF81+AG81))</f>
        <v>#N/A</v>
      </c>
      <c r="AN81" s="673" t="e">
        <f>IF(G81="مدير ولائي",0,LOOKUP(D81,'f-travail'!A:A,'f-travail'!T:T)*(AF81+AG81))</f>
        <v>#N/A</v>
      </c>
      <c r="AO81" s="673" t="e">
        <f>IF(G81="مدير ولائي",0,LOOKUP(D81,'f-travail'!A:A,'f-travail'!U:U)*(AF81+AG81))</f>
        <v>#N/A</v>
      </c>
      <c r="AP81" s="673" t="e">
        <f>IF(G81="مدير ولائي",0,LOOKUP(D81,'f-travail'!A:A,'f-travail'!V:V)*(AF81+AG81))</f>
        <v>#N/A</v>
      </c>
      <c r="AQ81" s="673" t="e">
        <f>IF(G81="مدير ولائي",0,LOOKUP(D81,'f-travail'!A:A,'f-travail'!W:W)*(AF81+AG81))</f>
        <v>#N/A</v>
      </c>
      <c r="AR81" s="673">
        <f t="shared" si="58"/>
        <v>0</v>
      </c>
      <c r="AS81" s="673" t="e">
        <f>IF(G81="مدير ولائي",0,LOOKUP(D81,'f-travail'!A:A,'f-travail'!X:X)*(AF81+AG81))</f>
        <v>#N/A</v>
      </c>
      <c r="AT81" s="673" t="e">
        <f>IF(G81="مدير ولائي",0,LOOKUP(D81,'f-travail'!Y:Y,'f-travail'!R:R)*(AF81+AG81))</f>
        <v>#N/A</v>
      </c>
      <c r="AU81" s="673">
        <f t="shared" si="43"/>
        <v>0</v>
      </c>
      <c r="AV81" s="673">
        <f t="shared" si="44"/>
        <v>0</v>
      </c>
      <c r="AW81" s="673">
        <f t="shared" si="45"/>
        <v>0</v>
      </c>
      <c r="AX81" s="637" t="str">
        <f t="shared" si="33"/>
        <v/>
      </c>
      <c r="AY81" s="640" t="e">
        <f t="shared" si="59"/>
        <v>#N/A</v>
      </c>
      <c r="AZ81" s="673" t="e">
        <f t="shared" si="46"/>
        <v>#N/A</v>
      </c>
      <c r="BA81" s="639" t="e">
        <f t="shared" si="47"/>
        <v>#N/A</v>
      </c>
      <c r="BG81" s="639">
        <f t="shared" si="60"/>
        <v>0</v>
      </c>
      <c r="BH81" s="683">
        <f t="shared" si="61"/>
        <v>0</v>
      </c>
      <c r="BI81" s="683">
        <f t="shared" si="62"/>
        <v>0</v>
      </c>
      <c r="BJ81" s="641" t="e">
        <f t="shared" si="63"/>
        <v>#N/A</v>
      </c>
      <c r="BK81" s="641" t="e">
        <f t="shared" si="64"/>
        <v>#N/A</v>
      </c>
      <c r="BL81" s="641" t="e">
        <f t="shared" si="65"/>
        <v>#N/A</v>
      </c>
      <c r="BM81" s="684" t="e">
        <f t="shared" si="66"/>
        <v>#N/A</v>
      </c>
      <c r="BO81" s="682" t="e">
        <f>CONCATENATE(Z81," ",LOOKUP(D81,'f-travail'!A:A,'f-travail'!F:F))</f>
        <v>#N/A</v>
      </c>
      <c r="BP81" s="669" t="e">
        <f t="shared" si="53"/>
        <v>#N/A</v>
      </c>
    </row>
    <row r="82" spans="1:68">
      <c r="A82" s="636">
        <f t="shared" si="67"/>
        <v>81</v>
      </c>
      <c r="B82" s="637"/>
      <c r="C82" s="637"/>
      <c r="D82" s="652"/>
      <c r="E82" s="679" t="e">
        <f>LOOKUP(D82,'f-travail'!A:A,'f-travail'!B:B)</f>
        <v>#N/A</v>
      </c>
      <c r="F82" s="650"/>
      <c r="G82" s="650"/>
      <c r="H82" s="653"/>
      <c r="I82" s="653"/>
      <c r="J82" s="654"/>
      <c r="K82" s="650"/>
      <c r="L82" s="650"/>
      <c r="M82" s="650">
        <v>0</v>
      </c>
      <c r="N82" s="654"/>
      <c r="O82" s="654"/>
      <c r="P82" s="654"/>
      <c r="Q82" s="654"/>
      <c r="R82" s="676"/>
      <c r="S82" s="654"/>
      <c r="T82" s="675"/>
      <c r="U82" s="675"/>
      <c r="V82" s="670" t="e">
        <f>LOOKUP(D82,'f-travail'!A:A,'f-travail'!E:E)</f>
        <v>#N/A</v>
      </c>
      <c r="W82" s="670" t="e">
        <f>VLOOKUP(V82,جرقمإستدلالي,'f-travail'!$AD$4+1,FALSE)</f>
        <v>#N/A</v>
      </c>
      <c r="X82" s="671" t="e">
        <f t="shared" si="37"/>
        <v>#N/A</v>
      </c>
      <c r="Y82" s="671">
        <f>IF(G82="مدير ولائي",(HLOOKUP(I82,جدروظعليا,'f-travail'!$AT$3+1,FALSE)-3200),0)</f>
        <v>0</v>
      </c>
      <c r="Z82" s="672" t="str">
        <f t="shared" si="54"/>
        <v/>
      </c>
      <c r="AA82" s="671">
        <f t="shared" si="55"/>
        <v>0</v>
      </c>
      <c r="AB82" s="677" t="b">
        <f t="shared" si="38"/>
        <v>0</v>
      </c>
      <c r="AC82" s="678">
        <f t="shared" si="56"/>
        <v>0</v>
      </c>
      <c r="AD82" s="673"/>
      <c r="AE82" s="678">
        <f t="shared" si="40"/>
        <v>0</v>
      </c>
      <c r="AF82" s="678" t="e">
        <f t="shared" si="41"/>
        <v>#N/A</v>
      </c>
      <c r="AG82" s="678" t="e">
        <f t="shared" si="42"/>
        <v>#N/A</v>
      </c>
      <c r="AH82" s="673">
        <f t="shared" si="57"/>
        <v>0</v>
      </c>
      <c r="AI82" s="674" t="e">
        <f>IF(G82="مدير ولائي",(11000*35%),LOOKUP(D82,'f-travail'!A:A,'f-travail'!I:I))</f>
        <v>#N/A</v>
      </c>
      <c r="AJ82" s="673" t="e">
        <f>IF(G82="مدير ولائي",((W82+X82)*45)*80%,IF(V82&lt;8,0,IF(F82="إليزي",(LOOKUP(D82,'f-travail'!A:A,'f-travail'!O:O))*(AF82+AG82),LOOKUP(D82,'f-travail'!A:A,'f-travail'!P:P)*(AF82+AG82))))</f>
        <v>#N/A</v>
      </c>
      <c r="AK82" s="673" t="e">
        <f>IF(G82="مدير ولائي",0,LOOKUP(D82,'f-travail'!A:A,'f-travail'!Q:Q))</f>
        <v>#N/A</v>
      </c>
      <c r="AL82" s="673" t="e">
        <f>IF(G82="مدير ولائي",0,LOOKUP(D82,'f-travail'!A:A,'f-travail'!R:R)*(AF82+AG82))</f>
        <v>#N/A</v>
      </c>
      <c r="AM82" s="673" t="e">
        <f>IF(G82="مدير ولائي",0,LOOKUP(D82,'f-travail'!A:A,'f-travail'!S:S)*(AF82+AG82))</f>
        <v>#N/A</v>
      </c>
      <c r="AN82" s="673" t="e">
        <f>IF(G82="مدير ولائي",0,LOOKUP(D82,'f-travail'!A:A,'f-travail'!T:T)*(AF82+AG82))</f>
        <v>#N/A</v>
      </c>
      <c r="AO82" s="673" t="e">
        <f>IF(G82="مدير ولائي",0,LOOKUP(D82,'f-travail'!A:A,'f-travail'!U:U)*(AF82+AG82))</f>
        <v>#N/A</v>
      </c>
      <c r="AP82" s="673" t="e">
        <f>IF(G82="مدير ولائي",0,LOOKUP(D82,'f-travail'!A:A,'f-travail'!V:V)*(AF82+AG82))</f>
        <v>#N/A</v>
      </c>
      <c r="AQ82" s="673" t="e">
        <f>IF(G82="مدير ولائي",0,LOOKUP(D82,'f-travail'!A:A,'f-travail'!W:W)*(AF82+AG82))</f>
        <v>#N/A</v>
      </c>
      <c r="AR82" s="673">
        <f t="shared" si="58"/>
        <v>0</v>
      </c>
      <c r="AS82" s="673" t="e">
        <f>IF(G82="مدير ولائي",0,LOOKUP(D82,'f-travail'!A:A,'f-travail'!X:X)*(AF82+AG82))</f>
        <v>#N/A</v>
      </c>
      <c r="AT82" s="673" t="e">
        <f>IF(G82="مدير ولائي",0,LOOKUP(D82,'f-travail'!Y:Y,'f-travail'!R:R)*(AF82+AG82))</f>
        <v>#N/A</v>
      </c>
      <c r="AU82" s="673">
        <f t="shared" si="43"/>
        <v>0</v>
      </c>
      <c r="AV82" s="673">
        <f t="shared" si="44"/>
        <v>0</v>
      </c>
      <c r="AW82" s="673">
        <f t="shared" si="45"/>
        <v>0</v>
      </c>
      <c r="AX82" s="637" t="str">
        <f t="shared" si="33"/>
        <v/>
      </c>
      <c r="AY82" s="640" t="e">
        <f t="shared" si="59"/>
        <v>#N/A</v>
      </c>
      <c r="AZ82" s="673" t="e">
        <f t="shared" si="46"/>
        <v>#N/A</v>
      </c>
      <c r="BA82" s="639" t="e">
        <f t="shared" si="47"/>
        <v>#N/A</v>
      </c>
      <c r="BG82" s="639">
        <f t="shared" si="60"/>
        <v>0</v>
      </c>
      <c r="BH82" s="683">
        <f t="shared" si="61"/>
        <v>0</v>
      </c>
      <c r="BI82" s="683">
        <f t="shared" si="62"/>
        <v>0</v>
      </c>
      <c r="BJ82" s="641" t="e">
        <f t="shared" si="63"/>
        <v>#N/A</v>
      </c>
      <c r="BK82" s="641" t="e">
        <f t="shared" si="64"/>
        <v>#N/A</v>
      </c>
      <c r="BL82" s="641" t="e">
        <f t="shared" si="65"/>
        <v>#N/A</v>
      </c>
      <c r="BM82" s="684" t="e">
        <f t="shared" si="66"/>
        <v>#N/A</v>
      </c>
      <c r="BO82" s="682" t="e">
        <f>CONCATENATE(Z82," ",LOOKUP(D82,'f-travail'!A:A,'f-travail'!F:F))</f>
        <v>#N/A</v>
      </c>
      <c r="BP82" s="669" t="e">
        <f t="shared" si="53"/>
        <v>#N/A</v>
      </c>
    </row>
    <row r="83" spans="1:68">
      <c r="A83" s="636">
        <f t="shared" si="67"/>
        <v>82</v>
      </c>
      <c r="B83" s="637"/>
      <c r="C83" s="637"/>
      <c r="D83" s="652"/>
      <c r="E83" s="679" t="e">
        <f>LOOKUP(D83,'f-travail'!A:A,'f-travail'!B:B)</f>
        <v>#N/A</v>
      </c>
      <c r="F83" s="650"/>
      <c r="G83" s="650"/>
      <c r="H83" s="653"/>
      <c r="I83" s="653"/>
      <c r="J83" s="654"/>
      <c r="K83" s="650"/>
      <c r="L83" s="650"/>
      <c r="M83" s="650">
        <v>0</v>
      </c>
      <c r="N83" s="654"/>
      <c r="O83" s="654"/>
      <c r="P83" s="654"/>
      <c r="Q83" s="654"/>
      <c r="R83" s="676"/>
      <c r="S83" s="654"/>
      <c r="T83" s="675"/>
      <c r="U83" s="675"/>
      <c r="V83" s="670" t="e">
        <f>LOOKUP(D83,'f-travail'!A:A,'f-travail'!E:E)</f>
        <v>#N/A</v>
      </c>
      <c r="W83" s="670" t="e">
        <f>VLOOKUP(V83,جرقمإستدلالي,'f-travail'!$AD$4+1,FALSE)</f>
        <v>#N/A</v>
      </c>
      <c r="X83" s="671" t="e">
        <f t="shared" si="37"/>
        <v>#N/A</v>
      </c>
      <c r="Y83" s="671">
        <f>IF(G83="مدير ولائي",(HLOOKUP(I83,جدروظعليا,'f-travail'!$AT$3+1,FALSE)-3200),0)</f>
        <v>0</v>
      </c>
      <c r="Z83" s="672" t="str">
        <f t="shared" si="54"/>
        <v/>
      </c>
      <c r="AA83" s="671">
        <f t="shared" si="55"/>
        <v>0</v>
      </c>
      <c r="AB83" s="677" t="b">
        <f t="shared" si="38"/>
        <v>0</v>
      </c>
      <c r="AC83" s="678">
        <f t="shared" si="56"/>
        <v>0</v>
      </c>
      <c r="AD83" s="673"/>
      <c r="AE83" s="678">
        <f t="shared" si="40"/>
        <v>0</v>
      </c>
      <c r="AF83" s="678" t="e">
        <f t="shared" si="41"/>
        <v>#N/A</v>
      </c>
      <c r="AG83" s="678" t="e">
        <f t="shared" si="42"/>
        <v>#N/A</v>
      </c>
      <c r="AH83" s="673">
        <f t="shared" si="57"/>
        <v>0</v>
      </c>
      <c r="AI83" s="674" t="e">
        <f>IF(G83="مدير ولائي",(11000*35%),LOOKUP(D83,'f-travail'!A:A,'f-travail'!I:I))</f>
        <v>#N/A</v>
      </c>
      <c r="AJ83" s="673" t="e">
        <f>IF(G83="مدير ولائي",((W83+X83)*45)*80%,IF(V83&lt;8,0,IF(F83="إليزي",(LOOKUP(D83,'f-travail'!A:A,'f-travail'!O:O))*(AF83+AG83),LOOKUP(D83,'f-travail'!A:A,'f-travail'!P:P)*(AF83+AG83))))</f>
        <v>#N/A</v>
      </c>
      <c r="AK83" s="673" t="e">
        <f>IF(G83="مدير ولائي",0,LOOKUP(D83,'f-travail'!A:A,'f-travail'!Q:Q))</f>
        <v>#N/A</v>
      </c>
      <c r="AL83" s="673" t="e">
        <f>IF(G83="مدير ولائي",0,LOOKUP(D83,'f-travail'!A:A,'f-travail'!R:R)*(AF83+AG83))</f>
        <v>#N/A</v>
      </c>
      <c r="AM83" s="673" t="e">
        <f>IF(G83="مدير ولائي",0,LOOKUP(D83,'f-travail'!A:A,'f-travail'!S:S)*(AF83+AG83))</f>
        <v>#N/A</v>
      </c>
      <c r="AN83" s="673" t="e">
        <f>IF(G83="مدير ولائي",0,LOOKUP(D83,'f-travail'!A:A,'f-travail'!T:T)*(AF83+AG83))</f>
        <v>#N/A</v>
      </c>
      <c r="AO83" s="673" t="e">
        <f>IF(G83="مدير ولائي",0,LOOKUP(D83,'f-travail'!A:A,'f-travail'!U:U)*(AF83+AG83))</f>
        <v>#N/A</v>
      </c>
      <c r="AP83" s="673" t="e">
        <f>IF(G83="مدير ولائي",0,LOOKUP(D83,'f-travail'!A:A,'f-travail'!V:V)*(AF83+AG83))</f>
        <v>#N/A</v>
      </c>
      <c r="AQ83" s="673" t="e">
        <f>IF(G83="مدير ولائي",0,LOOKUP(D83,'f-travail'!A:A,'f-travail'!W:W)*(AF83+AG83))</f>
        <v>#N/A</v>
      </c>
      <c r="AR83" s="673">
        <f t="shared" si="58"/>
        <v>0</v>
      </c>
      <c r="AS83" s="673" t="e">
        <f>IF(G83="مدير ولائي",0,LOOKUP(D83,'f-travail'!A:A,'f-travail'!X:X)*(AF83+AG83))</f>
        <v>#N/A</v>
      </c>
      <c r="AT83" s="673" t="e">
        <f>IF(G83="مدير ولائي",0,LOOKUP(D83,'f-travail'!Y:Y,'f-travail'!R:R)*(AF83+AG83))</f>
        <v>#N/A</v>
      </c>
      <c r="AU83" s="673">
        <f t="shared" si="43"/>
        <v>0</v>
      </c>
      <c r="AV83" s="673">
        <f t="shared" si="44"/>
        <v>0</v>
      </c>
      <c r="AW83" s="673">
        <f t="shared" si="45"/>
        <v>0</v>
      </c>
      <c r="AX83" s="637" t="str">
        <f t="shared" si="33"/>
        <v/>
      </c>
      <c r="AY83" s="640" t="e">
        <f t="shared" si="59"/>
        <v>#N/A</v>
      </c>
      <c r="AZ83" s="673" t="e">
        <f t="shared" si="46"/>
        <v>#N/A</v>
      </c>
      <c r="BA83" s="639" t="e">
        <f t="shared" si="47"/>
        <v>#N/A</v>
      </c>
      <c r="BG83" s="639">
        <f t="shared" si="60"/>
        <v>0</v>
      </c>
      <c r="BH83" s="683">
        <f t="shared" si="61"/>
        <v>0</v>
      </c>
      <c r="BI83" s="683">
        <f t="shared" si="62"/>
        <v>0</v>
      </c>
      <c r="BJ83" s="641" t="e">
        <f t="shared" si="63"/>
        <v>#N/A</v>
      </c>
      <c r="BK83" s="641" t="e">
        <f t="shared" si="64"/>
        <v>#N/A</v>
      </c>
      <c r="BL83" s="641" t="e">
        <f t="shared" si="65"/>
        <v>#N/A</v>
      </c>
      <c r="BM83" s="684" t="e">
        <f t="shared" si="66"/>
        <v>#N/A</v>
      </c>
      <c r="BO83" s="682" t="e">
        <f>CONCATENATE(Z83," ",LOOKUP(D83,'f-travail'!A:A,'f-travail'!F:F))</f>
        <v>#N/A</v>
      </c>
      <c r="BP83" s="669" t="e">
        <f t="shared" si="53"/>
        <v>#N/A</v>
      </c>
    </row>
    <row r="84" spans="1:68">
      <c r="A84" s="636">
        <f t="shared" si="67"/>
        <v>83</v>
      </c>
      <c r="B84" s="637"/>
      <c r="C84" s="637"/>
      <c r="D84" s="652"/>
      <c r="E84" s="679" t="e">
        <f>LOOKUP(D84,'f-travail'!A:A,'f-travail'!B:B)</f>
        <v>#N/A</v>
      </c>
      <c r="F84" s="650"/>
      <c r="G84" s="650"/>
      <c r="H84" s="653"/>
      <c r="I84" s="653"/>
      <c r="J84" s="654"/>
      <c r="K84" s="650"/>
      <c r="L84" s="650"/>
      <c r="M84" s="650">
        <v>0</v>
      </c>
      <c r="N84" s="654"/>
      <c r="O84" s="654"/>
      <c r="P84" s="654"/>
      <c r="Q84" s="654"/>
      <c r="R84" s="676"/>
      <c r="S84" s="654"/>
      <c r="T84" s="675"/>
      <c r="U84" s="675"/>
      <c r="V84" s="670" t="e">
        <f>LOOKUP(D84,'f-travail'!A:A,'f-travail'!E:E)</f>
        <v>#N/A</v>
      </c>
      <c r="W84" s="670" t="e">
        <f>VLOOKUP(V84,جرقمإستدلالي,'f-travail'!$AD$4+1,FALSE)</f>
        <v>#N/A</v>
      </c>
      <c r="X84" s="671" t="e">
        <f t="shared" si="37"/>
        <v>#N/A</v>
      </c>
      <c r="Y84" s="671">
        <f>IF(G84="مدير ولائي",(HLOOKUP(I84,جدروظعليا,'f-travail'!$AT$3+1,FALSE)-3200),0)</f>
        <v>0</v>
      </c>
      <c r="Z84" s="672" t="str">
        <f t="shared" si="54"/>
        <v/>
      </c>
      <c r="AA84" s="671">
        <f t="shared" si="55"/>
        <v>0</v>
      </c>
      <c r="AB84" s="677" t="b">
        <f t="shared" si="38"/>
        <v>0</v>
      </c>
      <c r="AC84" s="678">
        <f t="shared" si="56"/>
        <v>0</v>
      </c>
      <c r="AD84" s="673"/>
      <c r="AE84" s="678">
        <f t="shared" si="40"/>
        <v>0</v>
      </c>
      <c r="AF84" s="678" t="e">
        <f t="shared" si="41"/>
        <v>#N/A</v>
      </c>
      <c r="AG84" s="678" t="e">
        <f t="shared" si="42"/>
        <v>#N/A</v>
      </c>
      <c r="AH84" s="673">
        <f t="shared" si="57"/>
        <v>0</v>
      </c>
      <c r="AI84" s="674" t="e">
        <f>IF(G84="مدير ولائي",(11000*35%),LOOKUP(D84,'f-travail'!A:A,'f-travail'!I:I))</f>
        <v>#N/A</v>
      </c>
      <c r="AJ84" s="673" t="e">
        <f>IF(G84="مدير ولائي",((W84+X84)*45)*80%,IF(V84&lt;8,0,IF(F84="إليزي",(LOOKUP(D84,'f-travail'!A:A,'f-travail'!O:O))*(AF84+AG84),LOOKUP(D84,'f-travail'!A:A,'f-travail'!P:P)*(AF84+AG84))))</f>
        <v>#N/A</v>
      </c>
      <c r="AK84" s="673" t="e">
        <f>IF(G84="مدير ولائي",0,LOOKUP(D84,'f-travail'!A:A,'f-travail'!Q:Q))</f>
        <v>#N/A</v>
      </c>
      <c r="AL84" s="673" t="e">
        <f>IF(G84="مدير ولائي",0,LOOKUP(D84,'f-travail'!A:A,'f-travail'!R:R)*(AF84+AG84))</f>
        <v>#N/A</v>
      </c>
      <c r="AM84" s="673" t="e">
        <f>IF(G84="مدير ولائي",0,LOOKUP(D84,'f-travail'!A:A,'f-travail'!S:S)*(AF84+AG84))</f>
        <v>#N/A</v>
      </c>
      <c r="AN84" s="673" t="e">
        <f>IF(G84="مدير ولائي",0,LOOKUP(D84,'f-travail'!A:A,'f-travail'!T:T)*(AF84+AG84))</f>
        <v>#N/A</v>
      </c>
      <c r="AO84" s="673" t="e">
        <f>IF(G84="مدير ولائي",0,LOOKUP(D84,'f-travail'!A:A,'f-travail'!U:U)*(AF84+AG84))</f>
        <v>#N/A</v>
      </c>
      <c r="AP84" s="673" t="e">
        <f>IF(G84="مدير ولائي",0,LOOKUP(D84,'f-travail'!A:A,'f-travail'!V:V)*(AF84+AG84))</f>
        <v>#N/A</v>
      </c>
      <c r="AQ84" s="673" t="e">
        <f>IF(G84="مدير ولائي",0,LOOKUP(D84,'f-travail'!A:A,'f-travail'!W:W)*(AF84+AG84))</f>
        <v>#N/A</v>
      </c>
      <c r="AR84" s="673">
        <f t="shared" si="58"/>
        <v>0</v>
      </c>
      <c r="AS84" s="673" t="e">
        <f>IF(G84="مدير ولائي",0,LOOKUP(D84,'f-travail'!A:A,'f-travail'!X:X)*(AF84+AG84))</f>
        <v>#N/A</v>
      </c>
      <c r="AT84" s="673" t="e">
        <f>IF(G84="مدير ولائي",0,LOOKUP(D84,'f-travail'!Y:Y,'f-travail'!R:R)*(AF84+AG84))</f>
        <v>#N/A</v>
      </c>
      <c r="AU84" s="673">
        <f t="shared" si="43"/>
        <v>0</v>
      </c>
      <c r="AV84" s="673">
        <f t="shared" si="44"/>
        <v>0</v>
      </c>
      <c r="AW84" s="673">
        <f t="shared" si="45"/>
        <v>0</v>
      </c>
      <c r="AX84" s="637" t="str">
        <f t="shared" si="33"/>
        <v/>
      </c>
      <c r="AY84" s="640" t="e">
        <f t="shared" si="59"/>
        <v>#N/A</v>
      </c>
      <c r="AZ84" s="673" t="e">
        <f t="shared" si="46"/>
        <v>#N/A</v>
      </c>
      <c r="BA84" s="639" t="e">
        <f t="shared" si="47"/>
        <v>#N/A</v>
      </c>
      <c r="BG84" s="639">
        <f t="shared" si="60"/>
        <v>0</v>
      </c>
      <c r="BH84" s="683">
        <f t="shared" si="61"/>
        <v>0</v>
      </c>
      <c r="BI84" s="683">
        <f t="shared" si="62"/>
        <v>0</v>
      </c>
      <c r="BJ84" s="641" t="e">
        <f t="shared" si="63"/>
        <v>#N/A</v>
      </c>
      <c r="BK84" s="641" t="e">
        <f t="shared" si="64"/>
        <v>#N/A</v>
      </c>
      <c r="BL84" s="641" t="e">
        <f t="shared" si="65"/>
        <v>#N/A</v>
      </c>
      <c r="BM84" s="684" t="e">
        <f t="shared" si="66"/>
        <v>#N/A</v>
      </c>
      <c r="BO84" s="682" t="e">
        <f>CONCATENATE(Z84," ",LOOKUP(D84,'f-travail'!A:A,'f-travail'!F:F))</f>
        <v>#N/A</v>
      </c>
      <c r="BP84" s="669" t="e">
        <f t="shared" si="53"/>
        <v>#N/A</v>
      </c>
    </row>
    <row r="85" spans="1:68">
      <c r="A85" s="636">
        <f t="shared" si="67"/>
        <v>84</v>
      </c>
      <c r="B85" s="637"/>
      <c r="C85" s="637"/>
      <c r="D85" s="652"/>
      <c r="E85" s="679" t="e">
        <f>LOOKUP(D85,'f-travail'!A:A,'f-travail'!B:B)</f>
        <v>#N/A</v>
      </c>
      <c r="F85" s="650"/>
      <c r="G85" s="650"/>
      <c r="H85" s="653"/>
      <c r="I85" s="653"/>
      <c r="J85" s="654"/>
      <c r="K85" s="650"/>
      <c r="L85" s="650"/>
      <c r="M85" s="650">
        <v>0</v>
      </c>
      <c r="N85" s="654"/>
      <c r="O85" s="654"/>
      <c r="P85" s="654"/>
      <c r="Q85" s="654"/>
      <c r="R85" s="676"/>
      <c r="S85" s="654"/>
      <c r="T85" s="675"/>
      <c r="U85" s="675"/>
      <c r="V85" s="670" t="e">
        <f>LOOKUP(D85,'f-travail'!A:A,'f-travail'!E:E)</f>
        <v>#N/A</v>
      </c>
      <c r="W85" s="670" t="e">
        <f>VLOOKUP(V85,جرقمإستدلالي,'f-travail'!$AD$4+1,FALSE)</f>
        <v>#N/A</v>
      </c>
      <c r="X85" s="671" t="e">
        <f t="shared" si="37"/>
        <v>#N/A</v>
      </c>
      <c r="Y85" s="671">
        <f>IF(G85="مدير ولائي",(HLOOKUP(I85,جدروظعليا,'f-travail'!$AT$3+1,FALSE)-3200),0)</f>
        <v>0</v>
      </c>
      <c r="Z85" s="672" t="str">
        <f t="shared" si="54"/>
        <v/>
      </c>
      <c r="AA85" s="671">
        <f t="shared" si="55"/>
        <v>0</v>
      </c>
      <c r="AB85" s="677" t="b">
        <f t="shared" si="38"/>
        <v>0</v>
      </c>
      <c r="AC85" s="678">
        <f t="shared" si="56"/>
        <v>0</v>
      </c>
      <c r="AD85" s="673"/>
      <c r="AE85" s="678">
        <f t="shared" si="40"/>
        <v>0</v>
      </c>
      <c r="AF85" s="678" t="e">
        <f t="shared" si="41"/>
        <v>#N/A</v>
      </c>
      <c r="AG85" s="678" t="e">
        <f t="shared" si="42"/>
        <v>#N/A</v>
      </c>
      <c r="AH85" s="673">
        <f t="shared" si="57"/>
        <v>0</v>
      </c>
      <c r="AI85" s="674" t="e">
        <f>IF(G85="مدير ولائي",(11000*35%),LOOKUP(D85,'f-travail'!A:A,'f-travail'!I:I))</f>
        <v>#N/A</v>
      </c>
      <c r="AJ85" s="673" t="e">
        <f>IF(G85="مدير ولائي",((W85+X85)*45)*80%,IF(V85&lt;8,0,IF(F85="إليزي",(LOOKUP(D85,'f-travail'!A:A,'f-travail'!O:O))*(AF85+AG85),LOOKUP(D85,'f-travail'!A:A,'f-travail'!P:P)*(AF85+AG85))))</f>
        <v>#N/A</v>
      </c>
      <c r="AK85" s="673" t="e">
        <f>IF(G85="مدير ولائي",0,LOOKUP(D85,'f-travail'!A:A,'f-travail'!Q:Q))</f>
        <v>#N/A</v>
      </c>
      <c r="AL85" s="673" t="e">
        <f>IF(G85="مدير ولائي",0,LOOKUP(D85,'f-travail'!A:A,'f-travail'!R:R)*(AF85+AG85))</f>
        <v>#N/A</v>
      </c>
      <c r="AM85" s="673" t="e">
        <f>IF(G85="مدير ولائي",0,LOOKUP(D85,'f-travail'!A:A,'f-travail'!S:S)*(AF85+AG85))</f>
        <v>#N/A</v>
      </c>
      <c r="AN85" s="673" t="e">
        <f>IF(G85="مدير ولائي",0,LOOKUP(D85,'f-travail'!A:A,'f-travail'!T:T)*(AF85+AG85))</f>
        <v>#N/A</v>
      </c>
      <c r="AO85" s="673" t="e">
        <f>IF(G85="مدير ولائي",0,LOOKUP(D85,'f-travail'!A:A,'f-travail'!U:U)*(AF85+AG85))</f>
        <v>#N/A</v>
      </c>
      <c r="AP85" s="673" t="e">
        <f>IF(G85="مدير ولائي",0,LOOKUP(D85,'f-travail'!A:A,'f-travail'!V:V)*(AF85+AG85))</f>
        <v>#N/A</v>
      </c>
      <c r="AQ85" s="673" t="e">
        <f>IF(G85="مدير ولائي",0,LOOKUP(D85,'f-travail'!A:A,'f-travail'!W:W)*(AF85+AG85))</f>
        <v>#N/A</v>
      </c>
      <c r="AR85" s="673">
        <f t="shared" si="58"/>
        <v>0</v>
      </c>
      <c r="AS85" s="673" t="e">
        <f>IF(G85="مدير ولائي",0,LOOKUP(D85,'f-travail'!A:A,'f-travail'!X:X)*(AF85+AG85))</f>
        <v>#N/A</v>
      </c>
      <c r="AT85" s="673" t="e">
        <f>IF(G85="مدير ولائي",0,LOOKUP(D85,'f-travail'!Y:Y,'f-travail'!R:R)*(AF85+AG85))</f>
        <v>#N/A</v>
      </c>
      <c r="AU85" s="673">
        <f t="shared" si="43"/>
        <v>0</v>
      </c>
      <c r="AV85" s="673">
        <f t="shared" si="44"/>
        <v>0</v>
      </c>
      <c r="AW85" s="673">
        <f t="shared" si="45"/>
        <v>0</v>
      </c>
      <c r="AX85" s="637" t="str">
        <f t="shared" si="33"/>
        <v/>
      </c>
      <c r="AY85" s="640" t="e">
        <f t="shared" si="59"/>
        <v>#N/A</v>
      </c>
      <c r="AZ85" s="673" t="e">
        <f t="shared" si="46"/>
        <v>#N/A</v>
      </c>
      <c r="BA85" s="639" t="e">
        <f t="shared" si="47"/>
        <v>#N/A</v>
      </c>
      <c r="BG85" s="639">
        <f t="shared" si="60"/>
        <v>0</v>
      </c>
      <c r="BH85" s="683">
        <f t="shared" si="61"/>
        <v>0</v>
      </c>
      <c r="BI85" s="683">
        <f t="shared" si="62"/>
        <v>0</v>
      </c>
      <c r="BJ85" s="641" t="e">
        <f t="shared" si="63"/>
        <v>#N/A</v>
      </c>
      <c r="BK85" s="641" t="e">
        <f t="shared" si="64"/>
        <v>#N/A</v>
      </c>
      <c r="BL85" s="641" t="e">
        <f t="shared" si="65"/>
        <v>#N/A</v>
      </c>
      <c r="BM85" s="684" t="e">
        <f t="shared" si="66"/>
        <v>#N/A</v>
      </c>
      <c r="BO85" s="682" t="e">
        <f>CONCATENATE(Z85," ",LOOKUP(D85,'f-travail'!A:A,'f-travail'!F:F))</f>
        <v>#N/A</v>
      </c>
      <c r="BP85" s="669" t="e">
        <f t="shared" si="53"/>
        <v>#N/A</v>
      </c>
    </row>
    <row r="86" spans="1:68">
      <c r="A86" s="636">
        <f t="shared" si="67"/>
        <v>85</v>
      </c>
      <c r="B86" s="637"/>
      <c r="C86" s="637"/>
      <c r="D86" s="652"/>
      <c r="E86" s="679" t="e">
        <f>LOOKUP(D86,'f-travail'!A:A,'f-travail'!B:B)</f>
        <v>#N/A</v>
      </c>
      <c r="F86" s="650"/>
      <c r="G86" s="650"/>
      <c r="H86" s="653"/>
      <c r="I86" s="653"/>
      <c r="J86" s="654"/>
      <c r="K86" s="650"/>
      <c r="L86" s="650"/>
      <c r="M86" s="650">
        <v>0</v>
      </c>
      <c r="N86" s="654"/>
      <c r="O86" s="654"/>
      <c r="P86" s="654"/>
      <c r="Q86" s="654"/>
      <c r="R86" s="676"/>
      <c r="S86" s="654"/>
      <c r="T86" s="675"/>
      <c r="U86" s="675"/>
      <c r="V86" s="670" t="e">
        <f>LOOKUP(D86,'f-travail'!A:A,'f-travail'!E:E)</f>
        <v>#N/A</v>
      </c>
      <c r="W86" s="670" t="e">
        <f>VLOOKUP(V86,جرقمإستدلالي,'f-travail'!$AD$4+1,FALSE)</f>
        <v>#N/A</v>
      </c>
      <c r="X86" s="671" t="e">
        <f t="shared" si="37"/>
        <v>#N/A</v>
      </c>
      <c r="Y86" s="671">
        <f>IF(G86="مدير ولائي",(HLOOKUP(I86,جدروظعليا,'f-travail'!$AT$3+1,FALSE)-3200),0)</f>
        <v>0</v>
      </c>
      <c r="Z86" s="672" t="str">
        <f t="shared" si="54"/>
        <v/>
      </c>
      <c r="AA86" s="671">
        <f t="shared" si="55"/>
        <v>0</v>
      </c>
      <c r="AB86" s="677" t="b">
        <f t="shared" si="38"/>
        <v>0</v>
      </c>
      <c r="AC86" s="678">
        <f t="shared" si="56"/>
        <v>0</v>
      </c>
      <c r="AD86" s="673"/>
      <c r="AE86" s="678">
        <f t="shared" si="40"/>
        <v>0</v>
      </c>
      <c r="AF86" s="678" t="e">
        <f t="shared" si="41"/>
        <v>#N/A</v>
      </c>
      <c r="AG86" s="678" t="e">
        <f t="shared" si="42"/>
        <v>#N/A</v>
      </c>
      <c r="AH86" s="673">
        <f t="shared" si="57"/>
        <v>0</v>
      </c>
      <c r="AI86" s="674" t="e">
        <f>IF(G86="مدير ولائي",(11000*35%),LOOKUP(D86,'f-travail'!A:A,'f-travail'!I:I))</f>
        <v>#N/A</v>
      </c>
      <c r="AJ86" s="673" t="e">
        <f>IF(G86="مدير ولائي",((W86+X86)*45)*80%,IF(V86&lt;8,0,IF(F86="إليزي",(LOOKUP(D86,'f-travail'!A:A,'f-travail'!O:O))*(AF86+AG86),LOOKUP(D86,'f-travail'!A:A,'f-travail'!P:P)*(AF86+AG86))))</f>
        <v>#N/A</v>
      </c>
      <c r="AK86" s="673" t="e">
        <f>IF(G86="مدير ولائي",0,LOOKUP(D86,'f-travail'!A:A,'f-travail'!Q:Q))</f>
        <v>#N/A</v>
      </c>
      <c r="AL86" s="673" t="e">
        <f>IF(G86="مدير ولائي",0,LOOKUP(D86,'f-travail'!A:A,'f-travail'!R:R)*(AF86+AG86))</f>
        <v>#N/A</v>
      </c>
      <c r="AM86" s="673" t="e">
        <f>IF(G86="مدير ولائي",0,LOOKUP(D86,'f-travail'!A:A,'f-travail'!S:S)*(AF86+AG86))</f>
        <v>#N/A</v>
      </c>
      <c r="AN86" s="673" t="e">
        <f>IF(G86="مدير ولائي",0,LOOKUP(D86,'f-travail'!A:A,'f-travail'!T:T)*(AF86+AG86))</f>
        <v>#N/A</v>
      </c>
      <c r="AO86" s="673" t="e">
        <f>IF(G86="مدير ولائي",0,LOOKUP(D86,'f-travail'!A:A,'f-travail'!U:U)*(AF86+AG86))</f>
        <v>#N/A</v>
      </c>
      <c r="AP86" s="673" t="e">
        <f>IF(G86="مدير ولائي",0,LOOKUP(D86,'f-travail'!A:A,'f-travail'!V:V)*(AF86+AG86))</f>
        <v>#N/A</v>
      </c>
      <c r="AQ86" s="673" t="e">
        <f>IF(G86="مدير ولائي",0,LOOKUP(D86,'f-travail'!A:A,'f-travail'!W:W)*(AF86+AG86))</f>
        <v>#N/A</v>
      </c>
      <c r="AR86" s="673">
        <f t="shared" si="58"/>
        <v>0</v>
      </c>
      <c r="AS86" s="673" t="e">
        <f>IF(G86="مدير ولائي",0,LOOKUP(D86,'f-travail'!A:A,'f-travail'!X:X)*(AF86+AG86))</f>
        <v>#N/A</v>
      </c>
      <c r="AT86" s="673" t="e">
        <f>IF(G86="مدير ولائي",0,LOOKUP(D86,'f-travail'!Y:Y,'f-travail'!R:R)*(AF86+AG86))</f>
        <v>#N/A</v>
      </c>
      <c r="AU86" s="673">
        <f t="shared" si="43"/>
        <v>0</v>
      </c>
      <c r="AV86" s="673">
        <f t="shared" si="44"/>
        <v>0</v>
      </c>
      <c r="AW86" s="673">
        <f t="shared" si="45"/>
        <v>0</v>
      </c>
      <c r="AX86" s="637" t="str">
        <f t="shared" si="33"/>
        <v/>
      </c>
      <c r="AY86" s="640" t="e">
        <f t="shared" si="59"/>
        <v>#N/A</v>
      </c>
      <c r="AZ86" s="673" t="e">
        <f t="shared" si="46"/>
        <v>#N/A</v>
      </c>
      <c r="BA86" s="639" t="e">
        <f t="shared" si="47"/>
        <v>#N/A</v>
      </c>
      <c r="BG86" s="639">
        <f t="shared" si="60"/>
        <v>0</v>
      </c>
      <c r="BH86" s="683">
        <f t="shared" si="61"/>
        <v>0</v>
      </c>
      <c r="BI86" s="683">
        <f t="shared" si="62"/>
        <v>0</v>
      </c>
      <c r="BJ86" s="641" t="e">
        <f t="shared" si="63"/>
        <v>#N/A</v>
      </c>
      <c r="BK86" s="641" t="e">
        <f t="shared" si="64"/>
        <v>#N/A</v>
      </c>
      <c r="BL86" s="641" t="e">
        <f t="shared" si="65"/>
        <v>#N/A</v>
      </c>
      <c r="BM86" s="684" t="e">
        <f t="shared" si="66"/>
        <v>#N/A</v>
      </c>
      <c r="BO86" s="682" t="e">
        <f>CONCATENATE(Z86," ",LOOKUP(D86,'f-travail'!A:A,'f-travail'!F:F))</f>
        <v>#N/A</v>
      </c>
      <c r="BP86" s="669" t="e">
        <f t="shared" si="53"/>
        <v>#N/A</v>
      </c>
    </row>
    <row r="87" spans="1:68">
      <c r="A87" s="636">
        <f t="shared" si="67"/>
        <v>86</v>
      </c>
      <c r="B87" s="637"/>
      <c r="C87" s="637"/>
      <c r="D87" s="652"/>
      <c r="E87" s="679" t="e">
        <f>LOOKUP(D87,'f-travail'!A:A,'f-travail'!B:B)</f>
        <v>#N/A</v>
      </c>
      <c r="F87" s="650"/>
      <c r="G87" s="650"/>
      <c r="H87" s="653"/>
      <c r="I87" s="653"/>
      <c r="J87" s="654"/>
      <c r="K87" s="650"/>
      <c r="L87" s="650"/>
      <c r="M87" s="650">
        <v>0</v>
      </c>
      <c r="N87" s="654"/>
      <c r="O87" s="654"/>
      <c r="P87" s="654"/>
      <c r="Q87" s="654"/>
      <c r="R87" s="676"/>
      <c r="S87" s="654"/>
      <c r="T87" s="675"/>
      <c r="U87" s="675"/>
      <c r="V87" s="670" t="e">
        <f>LOOKUP(D87,'f-travail'!A:A,'f-travail'!E:E)</f>
        <v>#N/A</v>
      </c>
      <c r="W87" s="670" t="e">
        <f>VLOOKUP(V87,جرقمإستدلالي,'f-travail'!$AD$4+1,FALSE)</f>
        <v>#N/A</v>
      </c>
      <c r="X87" s="671" t="e">
        <f t="shared" si="37"/>
        <v>#N/A</v>
      </c>
      <c r="Y87" s="671">
        <f>IF(G87="مدير ولائي",(HLOOKUP(I87,جدروظعليا,'f-travail'!$AT$3+1,FALSE)-3200),0)</f>
        <v>0</v>
      </c>
      <c r="Z87" s="672" t="str">
        <f t="shared" si="54"/>
        <v/>
      </c>
      <c r="AA87" s="671">
        <f t="shared" si="55"/>
        <v>0</v>
      </c>
      <c r="AB87" s="677" t="b">
        <f t="shared" si="38"/>
        <v>0</v>
      </c>
      <c r="AC87" s="678">
        <f t="shared" si="56"/>
        <v>0</v>
      </c>
      <c r="AD87" s="673"/>
      <c r="AE87" s="678">
        <f t="shared" si="40"/>
        <v>0</v>
      </c>
      <c r="AF87" s="678" t="e">
        <f t="shared" si="41"/>
        <v>#N/A</v>
      </c>
      <c r="AG87" s="678" t="e">
        <f t="shared" si="42"/>
        <v>#N/A</v>
      </c>
      <c r="AH87" s="673">
        <f t="shared" si="57"/>
        <v>0</v>
      </c>
      <c r="AI87" s="674" t="e">
        <f>IF(G87="مدير ولائي",(11000*35%),LOOKUP(D87,'f-travail'!A:A,'f-travail'!I:I))</f>
        <v>#N/A</v>
      </c>
      <c r="AJ87" s="673" t="e">
        <f>IF(G87="مدير ولائي",((W87+X87)*45)*80%,IF(V87&lt;8,0,IF(F87="إليزي",(LOOKUP(D87,'f-travail'!A:A,'f-travail'!O:O))*(AF87+AG87),LOOKUP(D87,'f-travail'!A:A,'f-travail'!P:P)*(AF87+AG87))))</f>
        <v>#N/A</v>
      </c>
      <c r="AK87" s="673" t="e">
        <f>IF(G87="مدير ولائي",0,LOOKUP(D87,'f-travail'!A:A,'f-travail'!Q:Q))</f>
        <v>#N/A</v>
      </c>
      <c r="AL87" s="673" t="e">
        <f>IF(G87="مدير ولائي",0,LOOKUP(D87,'f-travail'!A:A,'f-travail'!R:R)*(AF87+AG87))</f>
        <v>#N/A</v>
      </c>
      <c r="AM87" s="673" t="e">
        <f>IF(G87="مدير ولائي",0,LOOKUP(D87,'f-travail'!A:A,'f-travail'!S:S)*(AF87+AG87))</f>
        <v>#N/A</v>
      </c>
      <c r="AN87" s="673" t="e">
        <f>IF(G87="مدير ولائي",0,LOOKUP(D87,'f-travail'!A:A,'f-travail'!T:T)*(AF87+AG87))</f>
        <v>#N/A</v>
      </c>
      <c r="AO87" s="673" t="e">
        <f>IF(G87="مدير ولائي",0,LOOKUP(D87,'f-travail'!A:A,'f-travail'!U:U)*(AF87+AG87))</f>
        <v>#N/A</v>
      </c>
      <c r="AP87" s="673" t="e">
        <f>IF(G87="مدير ولائي",0,LOOKUP(D87,'f-travail'!A:A,'f-travail'!V:V)*(AF87+AG87))</f>
        <v>#N/A</v>
      </c>
      <c r="AQ87" s="673" t="e">
        <f>IF(G87="مدير ولائي",0,LOOKUP(D87,'f-travail'!A:A,'f-travail'!W:W)*(AF87+AG87))</f>
        <v>#N/A</v>
      </c>
      <c r="AR87" s="673">
        <f t="shared" si="58"/>
        <v>0</v>
      </c>
      <c r="AS87" s="673" t="e">
        <f>IF(G87="مدير ولائي",0,LOOKUP(D87,'f-travail'!A:A,'f-travail'!X:X)*(AF87+AG87))</f>
        <v>#N/A</v>
      </c>
      <c r="AT87" s="673" t="e">
        <f>IF(G87="مدير ولائي",0,LOOKUP(D87,'f-travail'!Y:Y,'f-travail'!R:R)*(AF87+AG87))</f>
        <v>#N/A</v>
      </c>
      <c r="AU87" s="673">
        <f t="shared" si="43"/>
        <v>0</v>
      </c>
      <c r="AV87" s="673">
        <f t="shared" si="44"/>
        <v>0</v>
      </c>
      <c r="AW87" s="673">
        <f t="shared" si="45"/>
        <v>0</v>
      </c>
      <c r="AX87" s="637" t="str">
        <f t="shared" si="33"/>
        <v/>
      </c>
      <c r="AY87" s="640" t="e">
        <f t="shared" si="59"/>
        <v>#N/A</v>
      </c>
      <c r="AZ87" s="673" t="e">
        <f t="shared" si="46"/>
        <v>#N/A</v>
      </c>
      <c r="BA87" s="639" t="e">
        <f t="shared" si="47"/>
        <v>#N/A</v>
      </c>
      <c r="BG87" s="639">
        <f t="shared" si="60"/>
        <v>0</v>
      </c>
      <c r="BH87" s="683">
        <f t="shared" si="61"/>
        <v>0</v>
      </c>
      <c r="BI87" s="683">
        <f t="shared" si="62"/>
        <v>0</v>
      </c>
      <c r="BJ87" s="641" t="e">
        <f t="shared" si="63"/>
        <v>#N/A</v>
      </c>
      <c r="BK87" s="641" t="e">
        <f t="shared" si="64"/>
        <v>#N/A</v>
      </c>
      <c r="BL87" s="641" t="e">
        <f t="shared" si="65"/>
        <v>#N/A</v>
      </c>
      <c r="BM87" s="684" t="e">
        <f t="shared" si="66"/>
        <v>#N/A</v>
      </c>
      <c r="BO87" s="682" t="e">
        <f>CONCATENATE(Z87," ",LOOKUP(D87,'f-travail'!A:A,'f-travail'!F:F))</f>
        <v>#N/A</v>
      </c>
      <c r="BP87" s="669" t="e">
        <f t="shared" si="53"/>
        <v>#N/A</v>
      </c>
    </row>
    <row r="88" spans="1:68">
      <c r="A88" s="636">
        <f t="shared" si="67"/>
        <v>87</v>
      </c>
      <c r="B88" s="637"/>
      <c r="C88" s="637"/>
      <c r="D88" s="652"/>
      <c r="E88" s="679" t="e">
        <f>LOOKUP(D88,'f-travail'!A:A,'f-travail'!B:B)</f>
        <v>#N/A</v>
      </c>
      <c r="F88" s="650"/>
      <c r="G88" s="650"/>
      <c r="H88" s="653"/>
      <c r="I88" s="653"/>
      <c r="J88" s="654"/>
      <c r="K88" s="650"/>
      <c r="L88" s="650"/>
      <c r="M88" s="650">
        <v>0</v>
      </c>
      <c r="N88" s="654"/>
      <c r="O88" s="654"/>
      <c r="P88" s="654"/>
      <c r="Q88" s="654"/>
      <c r="R88" s="676"/>
      <c r="S88" s="654"/>
      <c r="T88" s="675"/>
      <c r="U88" s="675"/>
      <c r="V88" s="670" t="e">
        <f>LOOKUP(D88,'f-travail'!A:A,'f-travail'!E:E)</f>
        <v>#N/A</v>
      </c>
      <c r="W88" s="670" t="e">
        <f>VLOOKUP(V88,جرقمإستدلالي,'f-travail'!$AD$4+1,FALSE)</f>
        <v>#N/A</v>
      </c>
      <c r="X88" s="671" t="e">
        <f t="shared" si="37"/>
        <v>#N/A</v>
      </c>
      <c r="Y88" s="671">
        <f>IF(G88="مدير ولائي",(HLOOKUP(I88,جدروظعليا,'f-travail'!$AT$3+1,FALSE)-3200),0)</f>
        <v>0</v>
      </c>
      <c r="Z88" s="672" t="str">
        <f t="shared" si="54"/>
        <v/>
      </c>
      <c r="AA88" s="671">
        <f t="shared" si="55"/>
        <v>0</v>
      </c>
      <c r="AB88" s="677" t="b">
        <f t="shared" si="38"/>
        <v>0</v>
      </c>
      <c r="AC88" s="678">
        <f t="shared" si="56"/>
        <v>0</v>
      </c>
      <c r="AD88" s="673"/>
      <c r="AE88" s="678">
        <f t="shared" si="40"/>
        <v>0</v>
      </c>
      <c r="AF88" s="678" t="e">
        <f t="shared" si="41"/>
        <v>#N/A</v>
      </c>
      <c r="AG88" s="678" t="e">
        <f t="shared" si="42"/>
        <v>#N/A</v>
      </c>
      <c r="AH88" s="673">
        <f t="shared" si="57"/>
        <v>0</v>
      </c>
      <c r="AI88" s="674" t="e">
        <f>IF(G88="مدير ولائي",(11000*35%),LOOKUP(D88,'f-travail'!A:A,'f-travail'!I:I))</f>
        <v>#N/A</v>
      </c>
      <c r="AJ88" s="673" t="e">
        <f>IF(G88="مدير ولائي",((W88+X88)*45)*80%,IF(V88&lt;8,0,IF(F88="إليزي",(LOOKUP(D88,'f-travail'!A:A,'f-travail'!O:O))*(AF88+AG88),LOOKUP(D88,'f-travail'!A:A,'f-travail'!P:P)*(AF88+AG88))))</f>
        <v>#N/A</v>
      </c>
      <c r="AK88" s="673" t="e">
        <f>IF(G88="مدير ولائي",0,LOOKUP(D88,'f-travail'!A:A,'f-travail'!Q:Q))</f>
        <v>#N/A</v>
      </c>
      <c r="AL88" s="673" t="e">
        <f>IF(G88="مدير ولائي",0,LOOKUP(D88,'f-travail'!A:A,'f-travail'!R:R)*(AF88+AG88))</f>
        <v>#N/A</v>
      </c>
      <c r="AM88" s="673" t="e">
        <f>IF(G88="مدير ولائي",0,LOOKUP(D88,'f-travail'!A:A,'f-travail'!S:S)*(AF88+AG88))</f>
        <v>#N/A</v>
      </c>
      <c r="AN88" s="673" t="e">
        <f>IF(G88="مدير ولائي",0,LOOKUP(D88,'f-travail'!A:A,'f-travail'!T:T)*(AF88+AG88))</f>
        <v>#N/A</v>
      </c>
      <c r="AO88" s="673" t="e">
        <f>IF(G88="مدير ولائي",0,LOOKUP(D88,'f-travail'!A:A,'f-travail'!U:U)*(AF88+AG88))</f>
        <v>#N/A</v>
      </c>
      <c r="AP88" s="673" t="e">
        <f>IF(G88="مدير ولائي",0,LOOKUP(D88,'f-travail'!A:A,'f-travail'!V:V)*(AF88+AG88))</f>
        <v>#N/A</v>
      </c>
      <c r="AQ88" s="673" t="e">
        <f>IF(G88="مدير ولائي",0,LOOKUP(D88,'f-travail'!A:A,'f-travail'!W:W)*(AF88+AG88))</f>
        <v>#N/A</v>
      </c>
      <c r="AR88" s="673">
        <f t="shared" si="58"/>
        <v>0</v>
      </c>
      <c r="AS88" s="673" t="e">
        <f>IF(G88="مدير ولائي",0,LOOKUP(D88,'f-travail'!A:A,'f-travail'!X:X)*(AF88+AG88))</f>
        <v>#N/A</v>
      </c>
      <c r="AT88" s="673" t="e">
        <f>IF(G88="مدير ولائي",0,LOOKUP(D88,'f-travail'!Y:Y,'f-travail'!R:R)*(AF88+AG88))</f>
        <v>#N/A</v>
      </c>
      <c r="AU88" s="673">
        <f t="shared" si="43"/>
        <v>0</v>
      </c>
      <c r="AV88" s="673">
        <f t="shared" si="44"/>
        <v>0</v>
      </c>
      <c r="AW88" s="673">
        <f t="shared" si="45"/>
        <v>0</v>
      </c>
      <c r="AX88" s="637" t="str">
        <f t="shared" si="33"/>
        <v/>
      </c>
      <c r="AY88" s="640" t="e">
        <f t="shared" si="59"/>
        <v>#N/A</v>
      </c>
      <c r="AZ88" s="673" t="e">
        <f t="shared" si="46"/>
        <v>#N/A</v>
      </c>
      <c r="BA88" s="639" t="e">
        <f t="shared" si="47"/>
        <v>#N/A</v>
      </c>
      <c r="BG88" s="639">
        <f t="shared" si="60"/>
        <v>0</v>
      </c>
      <c r="BH88" s="683">
        <f t="shared" si="61"/>
        <v>0</v>
      </c>
      <c r="BI88" s="683">
        <f t="shared" si="62"/>
        <v>0</v>
      </c>
      <c r="BJ88" s="641" t="e">
        <f t="shared" si="63"/>
        <v>#N/A</v>
      </c>
      <c r="BK88" s="641" t="e">
        <f t="shared" si="64"/>
        <v>#N/A</v>
      </c>
      <c r="BL88" s="641" t="e">
        <f t="shared" si="65"/>
        <v>#N/A</v>
      </c>
      <c r="BM88" s="684" t="e">
        <f t="shared" si="66"/>
        <v>#N/A</v>
      </c>
      <c r="BO88" s="682" t="e">
        <f>CONCATENATE(Z88," ",LOOKUP(D88,'f-travail'!A:A,'f-travail'!F:F))</f>
        <v>#N/A</v>
      </c>
      <c r="BP88" s="669" t="e">
        <f t="shared" si="53"/>
        <v>#N/A</v>
      </c>
    </row>
    <row r="89" spans="1:68">
      <c r="A89" s="636">
        <f t="shared" si="67"/>
        <v>88</v>
      </c>
      <c r="B89" s="637"/>
      <c r="C89" s="637"/>
      <c r="D89" s="652"/>
      <c r="E89" s="679" t="e">
        <f>LOOKUP(D89,'f-travail'!A:A,'f-travail'!B:B)</f>
        <v>#N/A</v>
      </c>
      <c r="F89" s="650"/>
      <c r="G89" s="650"/>
      <c r="H89" s="653"/>
      <c r="I89" s="653"/>
      <c r="J89" s="654"/>
      <c r="K89" s="650"/>
      <c r="L89" s="650"/>
      <c r="M89" s="650">
        <v>0</v>
      </c>
      <c r="N89" s="654"/>
      <c r="O89" s="654"/>
      <c r="P89" s="654"/>
      <c r="Q89" s="654"/>
      <c r="R89" s="676"/>
      <c r="S89" s="654"/>
      <c r="T89" s="675"/>
      <c r="U89" s="675"/>
      <c r="V89" s="670" t="e">
        <f>LOOKUP(D89,'f-travail'!A:A,'f-travail'!E:E)</f>
        <v>#N/A</v>
      </c>
      <c r="W89" s="670" t="e">
        <f>VLOOKUP(V89,جرقمإستدلالي,'f-travail'!$AD$4+1,FALSE)</f>
        <v>#N/A</v>
      </c>
      <c r="X89" s="671" t="e">
        <f t="shared" si="37"/>
        <v>#N/A</v>
      </c>
      <c r="Y89" s="671">
        <f>IF(G89="مدير ولائي",(HLOOKUP(I89,جدروظعليا,'f-travail'!$AT$3+1,FALSE)-3200),0)</f>
        <v>0</v>
      </c>
      <c r="Z89" s="672" t="str">
        <f t="shared" si="54"/>
        <v/>
      </c>
      <c r="AA89" s="671">
        <f t="shared" si="55"/>
        <v>0</v>
      </c>
      <c r="AB89" s="677" t="b">
        <f t="shared" si="38"/>
        <v>0</v>
      </c>
      <c r="AC89" s="678">
        <f t="shared" si="56"/>
        <v>0</v>
      </c>
      <c r="AD89" s="673"/>
      <c r="AE89" s="678">
        <f t="shared" si="40"/>
        <v>0</v>
      </c>
      <c r="AF89" s="678" t="e">
        <f t="shared" si="41"/>
        <v>#N/A</v>
      </c>
      <c r="AG89" s="678" t="e">
        <f t="shared" si="42"/>
        <v>#N/A</v>
      </c>
      <c r="AH89" s="673">
        <f t="shared" si="57"/>
        <v>0</v>
      </c>
      <c r="AI89" s="674" t="e">
        <f>IF(G89="مدير ولائي",(11000*35%),LOOKUP(D89,'f-travail'!A:A,'f-travail'!I:I))</f>
        <v>#N/A</v>
      </c>
      <c r="AJ89" s="673" t="e">
        <f>IF(G89="مدير ولائي",((W89+X89)*45)*80%,IF(V89&lt;8,0,IF(F89="إليزي",(LOOKUP(D89,'f-travail'!A:A,'f-travail'!O:O))*(AF89+AG89),LOOKUP(D89,'f-travail'!A:A,'f-travail'!P:P)*(AF89+AG89))))</f>
        <v>#N/A</v>
      </c>
      <c r="AK89" s="673" t="e">
        <f>IF(G89="مدير ولائي",0,LOOKUP(D89,'f-travail'!A:A,'f-travail'!Q:Q))</f>
        <v>#N/A</v>
      </c>
      <c r="AL89" s="673" t="e">
        <f>IF(G89="مدير ولائي",0,LOOKUP(D89,'f-travail'!A:A,'f-travail'!R:R)*(AF89+AG89))</f>
        <v>#N/A</v>
      </c>
      <c r="AM89" s="673" t="e">
        <f>IF(G89="مدير ولائي",0,LOOKUP(D89,'f-travail'!A:A,'f-travail'!S:S)*(AF89+AG89))</f>
        <v>#N/A</v>
      </c>
      <c r="AN89" s="673" t="e">
        <f>IF(G89="مدير ولائي",0,LOOKUP(D89,'f-travail'!A:A,'f-travail'!T:T)*(AF89+AG89))</f>
        <v>#N/A</v>
      </c>
      <c r="AO89" s="673" t="e">
        <f>IF(G89="مدير ولائي",0,LOOKUP(D89,'f-travail'!A:A,'f-travail'!U:U)*(AF89+AG89))</f>
        <v>#N/A</v>
      </c>
      <c r="AP89" s="673" t="e">
        <f>IF(G89="مدير ولائي",0,LOOKUP(D89,'f-travail'!A:A,'f-travail'!V:V)*(AF89+AG89))</f>
        <v>#N/A</v>
      </c>
      <c r="AQ89" s="673" t="e">
        <f>IF(G89="مدير ولائي",0,LOOKUP(D89,'f-travail'!A:A,'f-travail'!W:W)*(AF89+AG89))</f>
        <v>#N/A</v>
      </c>
      <c r="AR89" s="673">
        <f t="shared" si="58"/>
        <v>0</v>
      </c>
      <c r="AS89" s="673" t="e">
        <f>IF(G89="مدير ولائي",0,LOOKUP(D89,'f-travail'!A:A,'f-travail'!X:X)*(AF89+AG89))</f>
        <v>#N/A</v>
      </c>
      <c r="AT89" s="673" t="e">
        <f>IF(G89="مدير ولائي",0,LOOKUP(D89,'f-travail'!Y:Y,'f-travail'!R:R)*(AF89+AG89))</f>
        <v>#N/A</v>
      </c>
      <c r="AU89" s="673">
        <f t="shared" si="43"/>
        <v>0</v>
      </c>
      <c r="AV89" s="673">
        <f t="shared" si="44"/>
        <v>0</v>
      </c>
      <c r="AW89" s="673">
        <f t="shared" si="45"/>
        <v>0</v>
      </c>
      <c r="AX89" s="637" t="str">
        <f t="shared" si="33"/>
        <v/>
      </c>
      <c r="AY89" s="640" t="e">
        <f t="shared" si="59"/>
        <v>#N/A</v>
      </c>
      <c r="AZ89" s="673" t="e">
        <f t="shared" si="46"/>
        <v>#N/A</v>
      </c>
      <c r="BA89" s="639" t="e">
        <f t="shared" si="47"/>
        <v>#N/A</v>
      </c>
      <c r="BG89" s="639">
        <f t="shared" si="60"/>
        <v>0</v>
      </c>
      <c r="BH89" s="683">
        <f t="shared" si="61"/>
        <v>0</v>
      </c>
      <c r="BI89" s="683">
        <f t="shared" si="62"/>
        <v>0</v>
      </c>
      <c r="BJ89" s="641" t="e">
        <f t="shared" si="63"/>
        <v>#N/A</v>
      </c>
      <c r="BK89" s="641" t="e">
        <f t="shared" si="64"/>
        <v>#N/A</v>
      </c>
      <c r="BL89" s="641" t="e">
        <f t="shared" si="65"/>
        <v>#N/A</v>
      </c>
      <c r="BM89" s="684" t="e">
        <f t="shared" si="66"/>
        <v>#N/A</v>
      </c>
      <c r="BO89" s="682" t="e">
        <f>CONCATENATE(Z89," ",LOOKUP(D89,'f-travail'!A:A,'f-travail'!F:F))</f>
        <v>#N/A</v>
      </c>
      <c r="BP89" s="669" t="e">
        <f t="shared" si="53"/>
        <v>#N/A</v>
      </c>
    </row>
    <row r="90" spans="1:68">
      <c r="A90" s="636">
        <f t="shared" si="67"/>
        <v>89</v>
      </c>
      <c r="B90" s="637"/>
      <c r="C90" s="637"/>
      <c r="D90" s="652"/>
      <c r="E90" s="679" t="e">
        <f>LOOKUP(D90,'f-travail'!A:A,'f-travail'!B:B)</f>
        <v>#N/A</v>
      </c>
      <c r="F90" s="650"/>
      <c r="G90" s="650"/>
      <c r="H90" s="653"/>
      <c r="I90" s="653"/>
      <c r="J90" s="654"/>
      <c r="K90" s="650"/>
      <c r="L90" s="650"/>
      <c r="M90" s="650">
        <v>0</v>
      </c>
      <c r="N90" s="654"/>
      <c r="O90" s="654"/>
      <c r="P90" s="654"/>
      <c r="Q90" s="654"/>
      <c r="R90" s="676"/>
      <c r="S90" s="654"/>
      <c r="T90" s="675"/>
      <c r="U90" s="675"/>
      <c r="V90" s="670" t="e">
        <f>LOOKUP(D90,'f-travail'!A:A,'f-travail'!E:E)</f>
        <v>#N/A</v>
      </c>
      <c r="W90" s="670" t="e">
        <f>VLOOKUP(V90,جرقمإستدلالي,'f-travail'!$AD$4+1,FALSE)</f>
        <v>#N/A</v>
      </c>
      <c r="X90" s="671" t="e">
        <f t="shared" si="37"/>
        <v>#N/A</v>
      </c>
      <c r="Y90" s="671">
        <f>IF(G90="مدير ولائي",(HLOOKUP(I90,جدروظعليا,'f-travail'!$AT$3+1,FALSE)-3200),0)</f>
        <v>0</v>
      </c>
      <c r="Z90" s="672" t="str">
        <f t="shared" si="54"/>
        <v/>
      </c>
      <c r="AA90" s="671">
        <f t="shared" si="55"/>
        <v>0</v>
      </c>
      <c r="AB90" s="677" t="b">
        <f t="shared" si="38"/>
        <v>0</v>
      </c>
      <c r="AC90" s="678">
        <f t="shared" si="56"/>
        <v>0</v>
      </c>
      <c r="AD90" s="673"/>
      <c r="AE90" s="678">
        <f t="shared" si="40"/>
        <v>0</v>
      </c>
      <c r="AF90" s="678" t="e">
        <f t="shared" si="41"/>
        <v>#N/A</v>
      </c>
      <c r="AG90" s="678" t="e">
        <f t="shared" si="42"/>
        <v>#N/A</v>
      </c>
      <c r="AH90" s="673">
        <f t="shared" si="57"/>
        <v>0</v>
      </c>
      <c r="AI90" s="674" t="e">
        <f>IF(G90="مدير ولائي",(11000*35%),LOOKUP(D90,'f-travail'!A:A,'f-travail'!I:I))</f>
        <v>#N/A</v>
      </c>
      <c r="AJ90" s="673" t="e">
        <f>IF(G90="مدير ولائي",((W90+X90)*45)*80%,IF(V90&lt;8,0,IF(F90="إليزي",(LOOKUP(D90,'f-travail'!A:A,'f-travail'!O:O))*(AF90+AG90),LOOKUP(D90,'f-travail'!A:A,'f-travail'!P:P)*(AF90+AG90))))</f>
        <v>#N/A</v>
      </c>
      <c r="AK90" s="673" t="e">
        <f>IF(G90="مدير ولائي",0,LOOKUP(D90,'f-travail'!A:A,'f-travail'!Q:Q))</f>
        <v>#N/A</v>
      </c>
      <c r="AL90" s="673" t="e">
        <f>IF(G90="مدير ولائي",0,LOOKUP(D90,'f-travail'!A:A,'f-travail'!R:R)*(AF90+AG90))</f>
        <v>#N/A</v>
      </c>
      <c r="AM90" s="673" t="e">
        <f>IF(G90="مدير ولائي",0,LOOKUP(D90,'f-travail'!A:A,'f-travail'!S:S)*(AF90+AG90))</f>
        <v>#N/A</v>
      </c>
      <c r="AN90" s="673" t="e">
        <f>IF(G90="مدير ولائي",0,LOOKUP(D90,'f-travail'!A:A,'f-travail'!T:T)*(AF90+AG90))</f>
        <v>#N/A</v>
      </c>
      <c r="AO90" s="673" t="e">
        <f>IF(G90="مدير ولائي",0,LOOKUP(D90,'f-travail'!A:A,'f-travail'!U:U)*(AF90+AG90))</f>
        <v>#N/A</v>
      </c>
      <c r="AP90" s="673" t="e">
        <f>IF(G90="مدير ولائي",0,LOOKUP(D90,'f-travail'!A:A,'f-travail'!V:V)*(AF90+AG90))</f>
        <v>#N/A</v>
      </c>
      <c r="AQ90" s="673" t="e">
        <f>IF(G90="مدير ولائي",0,LOOKUP(D90,'f-travail'!A:A,'f-travail'!W:W)*(AF90+AG90))</f>
        <v>#N/A</v>
      </c>
      <c r="AR90" s="673">
        <f t="shared" si="58"/>
        <v>0</v>
      </c>
      <c r="AS90" s="673" t="e">
        <f>IF(G90="مدير ولائي",0,LOOKUP(D90,'f-travail'!A:A,'f-travail'!X:X)*(AF90+AG90))</f>
        <v>#N/A</v>
      </c>
      <c r="AT90" s="673" t="e">
        <f>IF(G90="مدير ولائي",0,LOOKUP(D90,'f-travail'!Y:Y,'f-travail'!R:R)*(AF90+AG90))</f>
        <v>#N/A</v>
      </c>
      <c r="AU90" s="673">
        <f t="shared" si="43"/>
        <v>0</v>
      </c>
      <c r="AV90" s="673">
        <f t="shared" si="44"/>
        <v>0</v>
      </c>
      <c r="AW90" s="673">
        <f t="shared" si="45"/>
        <v>0</v>
      </c>
      <c r="AX90" s="637" t="str">
        <f t="shared" si="33"/>
        <v/>
      </c>
      <c r="AY90" s="640" t="e">
        <f t="shared" si="59"/>
        <v>#N/A</v>
      </c>
      <c r="AZ90" s="673" t="e">
        <f t="shared" si="46"/>
        <v>#N/A</v>
      </c>
      <c r="BA90" s="639" t="e">
        <f t="shared" si="47"/>
        <v>#N/A</v>
      </c>
      <c r="BG90" s="639">
        <f t="shared" si="60"/>
        <v>0</v>
      </c>
      <c r="BH90" s="683">
        <f t="shared" si="61"/>
        <v>0</v>
      </c>
      <c r="BI90" s="683">
        <f t="shared" si="62"/>
        <v>0</v>
      </c>
      <c r="BJ90" s="641" t="e">
        <f t="shared" si="63"/>
        <v>#N/A</v>
      </c>
      <c r="BK90" s="641" t="e">
        <f t="shared" si="64"/>
        <v>#N/A</v>
      </c>
      <c r="BL90" s="641" t="e">
        <f t="shared" si="65"/>
        <v>#N/A</v>
      </c>
      <c r="BM90" s="684" t="e">
        <f t="shared" si="66"/>
        <v>#N/A</v>
      </c>
      <c r="BO90" s="682" t="e">
        <f>CONCATENATE(Z90," ",LOOKUP(D90,'f-travail'!A:A,'f-travail'!F:F))</f>
        <v>#N/A</v>
      </c>
      <c r="BP90" s="669" t="e">
        <f t="shared" si="53"/>
        <v>#N/A</v>
      </c>
    </row>
    <row r="91" spans="1:68">
      <c r="A91" s="636">
        <f t="shared" si="67"/>
        <v>90</v>
      </c>
      <c r="B91" s="637"/>
      <c r="C91" s="637"/>
      <c r="D91" s="652"/>
      <c r="E91" s="679" t="e">
        <f>LOOKUP(D91,'f-travail'!A:A,'f-travail'!B:B)</f>
        <v>#N/A</v>
      </c>
      <c r="F91" s="650"/>
      <c r="G91" s="650"/>
      <c r="H91" s="653"/>
      <c r="I91" s="653"/>
      <c r="J91" s="654"/>
      <c r="K91" s="650"/>
      <c r="L91" s="650"/>
      <c r="M91" s="650">
        <v>0</v>
      </c>
      <c r="N91" s="654"/>
      <c r="O91" s="654"/>
      <c r="P91" s="654"/>
      <c r="Q91" s="654"/>
      <c r="R91" s="676"/>
      <c r="S91" s="654"/>
      <c r="T91" s="675"/>
      <c r="U91" s="675"/>
      <c r="V91" s="670" t="e">
        <f>LOOKUP(D91,'f-travail'!A:A,'f-travail'!E:E)</f>
        <v>#N/A</v>
      </c>
      <c r="W91" s="670" t="e">
        <f>VLOOKUP(V91,جرقمإستدلالي,'f-travail'!$AD$4+1,FALSE)</f>
        <v>#N/A</v>
      </c>
      <c r="X91" s="671" t="e">
        <f t="shared" si="37"/>
        <v>#N/A</v>
      </c>
      <c r="Y91" s="671">
        <f>IF(G91="مدير ولائي",(HLOOKUP(I91,جدروظعليا,'f-travail'!$AT$3+1,FALSE)-3200),0)</f>
        <v>0</v>
      </c>
      <c r="Z91" s="672" t="str">
        <f t="shared" si="54"/>
        <v/>
      </c>
      <c r="AA91" s="671">
        <f t="shared" si="55"/>
        <v>0</v>
      </c>
      <c r="AB91" s="677" t="b">
        <f t="shared" si="38"/>
        <v>0</v>
      </c>
      <c r="AC91" s="678">
        <f t="shared" si="56"/>
        <v>0</v>
      </c>
      <c r="AD91" s="673"/>
      <c r="AE91" s="678">
        <f t="shared" si="40"/>
        <v>0</v>
      </c>
      <c r="AF91" s="678" t="e">
        <f t="shared" si="41"/>
        <v>#N/A</v>
      </c>
      <c r="AG91" s="678" t="e">
        <f t="shared" si="42"/>
        <v>#N/A</v>
      </c>
      <c r="AH91" s="673">
        <f t="shared" si="57"/>
        <v>0</v>
      </c>
      <c r="AI91" s="674" t="e">
        <f>IF(G91="مدير ولائي",(11000*35%),LOOKUP(D91,'f-travail'!A:A,'f-travail'!I:I))</f>
        <v>#N/A</v>
      </c>
      <c r="AJ91" s="673" t="e">
        <f>IF(G91="مدير ولائي",((W91+X91)*45)*80%,IF(V91&lt;8,0,IF(F91="إليزي",(LOOKUP(D91,'f-travail'!A:A,'f-travail'!O:O))*(AF91+AG91),LOOKUP(D91,'f-travail'!A:A,'f-travail'!P:P)*(AF91+AG91))))</f>
        <v>#N/A</v>
      </c>
      <c r="AK91" s="673" t="e">
        <f>IF(G91="مدير ولائي",0,LOOKUP(D91,'f-travail'!A:A,'f-travail'!Q:Q))</f>
        <v>#N/A</v>
      </c>
      <c r="AL91" s="673" t="e">
        <f>IF(G91="مدير ولائي",0,LOOKUP(D91,'f-travail'!A:A,'f-travail'!R:R)*(AF91+AG91))</f>
        <v>#N/A</v>
      </c>
      <c r="AM91" s="673" t="e">
        <f>IF(G91="مدير ولائي",0,LOOKUP(D91,'f-travail'!A:A,'f-travail'!S:S)*(AF91+AG91))</f>
        <v>#N/A</v>
      </c>
      <c r="AN91" s="673" t="e">
        <f>IF(G91="مدير ولائي",0,LOOKUP(D91,'f-travail'!A:A,'f-travail'!T:T)*(AF91+AG91))</f>
        <v>#N/A</v>
      </c>
      <c r="AO91" s="673" t="e">
        <f>IF(G91="مدير ولائي",0,LOOKUP(D91,'f-travail'!A:A,'f-travail'!U:U)*(AF91+AG91))</f>
        <v>#N/A</v>
      </c>
      <c r="AP91" s="673" t="e">
        <f>IF(G91="مدير ولائي",0,LOOKUP(D91,'f-travail'!A:A,'f-travail'!V:V)*(AF91+AG91))</f>
        <v>#N/A</v>
      </c>
      <c r="AQ91" s="673" t="e">
        <f>IF(G91="مدير ولائي",0,LOOKUP(D91,'f-travail'!A:A,'f-travail'!W:W)*(AF91+AG91))</f>
        <v>#N/A</v>
      </c>
      <c r="AR91" s="673">
        <f t="shared" si="58"/>
        <v>0</v>
      </c>
      <c r="AS91" s="673" t="e">
        <f>IF(G91="مدير ولائي",0,LOOKUP(D91,'f-travail'!A:A,'f-travail'!X:X)*(AF91+AG91))</f>
        <v>#N/A</v>
      </c>
      <c r="AT91" s="673" t="e">
        <f>IF(G91="مدير ولائي",0,LOOKUP(D91,'f-travail'!Y:Y,'f-travail'!R:R)*(AF91+AG91))</f>
        <v>#N/A</v>
      </c>
      <c r="AU91" s="673">
        <f t="shared" si="43"/>
        <v>0</v>
      </c>
      <c r="AV91" s="673">
        <f t="shared" si="44"/>
        <v>0</v>
      </c>
      <c r="AW91" s="673">
        <f t="shared" si="45"/>
        <v>0</v>
      </c>
      <c r="AX91" s="637" t="str">
        <f t="shared" si="33"/>
        <v/>
      </c>
      <c r="AY91" s="640" t="e">
        <f t="shared" si="59"/>
        <v>#N/A</v>
      </c>
      <c r="AZ91" s="673" t="e">
        <f t="shared" si="46"/>
        <v>#N/A</v>
      </c>
      <c r="BA91" s="639" t="e">
        <f t="shared" si="47"/>
        <v>#N/A</v>
      </c>
      <c r="BG91" s="639">
        <f t="shared" si="60"/>
        <v>0</v>
      </c>
      <c r="BH91" s="683">
        <f t="shared" si="61"/>
        <v>0</v>
      </c>
      <c r="BI91" s="683">
        <f t="shared" si="62"/>
        <v>0</v>
      </c>
      <c r="BJ91" s="641" t="e">
        <f t="shared" si="63"/>
        <v>#N/A</v>
      </c>
      <c r="BK91" s="641" t="e">
        <f t="shared" si="64"/>
        <v>#N/A</v>
      </c>
      <c r="BL91" s="641" t="e">
        <f t="shared" si="65"/>
        <v>#N/A</v>
      </c>
      <c r="BM91" s="684" t="e">
        <f t="shared" si="66"/>
        <v>#N/A</v>
      </c>
      <c r="BO91" s="682" t="e">
        <f>CONCATENATE(Z91," ",LOOKUP(D91,'f-travail'!A:A,'f-travail'!F:F))</f>
        <v>#N/A</v>
      </c>
      <c r="BP91" s="669" t="e">
        <f t="shared" si="53"/>
        <v>#N/A</v>
      </c>
    </row>
    <row r="92" spans="1:68">
      <c r="A92" s="636">
        <f t="shared" si="67"/>
        <v>91</v>
      </c>
      <c r="B92" s="637"/>
      <c r="C92" s="637"/>
      <c r="D92" s="652"/>
      <c r="E92" s="679" t="e">
        <f>LOOKUP(D92,'f-travail'!A:A,'f-travail'!B:B)</f>
        <v>#N/A</v>
      </c>
      <c r="F92" s="650"/>
      <c r="G92" s="650"/>
      <c r="H92" s="653"/>
      <c r="I92" s="653"/>
      <c r="J92" s="654"/>
      <c r="K92" s="650"/>
      <c r="L92" s="650"/>
      <c r="M92" s="650">
        <v>0</v>
      </c>
      <c r="N92" s="654"/>
      <c r="O92" s="654"/>
      <c r="P92" s="654"/>
      <c r="Q92" s="654"/>
      <c r="R92" s="676"/>
      <c r="S92" s="654"/>
      <c r="T92" s="675"/>
      <c r="U92" s="675"/>
      <c r="V92" s="670" t="e">
        <f>LOOKUP(D92,'f-travail'!A:A,'f-travail'!E:E)</f>
        <v>#N/A</v>
      </c>
      <c r="W92" s="670" t="e">
        <f>VLOOKUP(V92,جرقمإستدلالي,'f-travail'!$AD$4+1,FALSE)</f>
        <v>#N/A</v>
      </c>
      <c r="X92" s="671" t="e">
        <f t="shared" si="37"/>
        <v>#N/A</v>
      </c>
      <c r="Y92" s="671">
        <f>IF(G92="مدير ولائي",(HLOOKUP(I92,جدروظعليا,'f-travail'!$AT$3+1,FALSE)-3200),0)</f>
        <v>0</v>
      </c>
      <c r="Z92" s="672" t="str">
        <f t="shared" si="54"/>
        <v/>
      </c>
      <c r="AA92" s="671">
        <f t="shared" si="55"/>
        <v>0</v>
      </c>
      <c r="AB92" s="677" t="b">
        <f t="shared" si="38"/>
        <v>0</v>
      </c>
      <c r="AC92" s="678">
        <f t="shared" si="56"/>
        <v>0</v>
      </c>
      <c r="AD92" s="673"/>
      <c r="AE92" s="678">
        <f t="shared" si="40"/>
        <v>0</v>
      </c>
      <c r="AF92" s="678" t="e">
        <f t="shared" si="41"/>
        <v>#N/A</v>
      </c>
      <c r="AG92" s="678" t="e">
        <f t="shared" si="42"/>
        <v>#N/A</v>
      </c>
      <c r="AH92" s="673">
        <f t="shared" si="57"/>
        <v>0</v>
      </c>
      <c r="AI92" s="674" t="e">
        <f>IF(G92="مدير ولائي",(11000*35%),LOOKUP(D92,'f-travail'!A:A,'f-travail'!I:I))</f>
        <v>#N/A</v>
      </c>
      <c r="AJ92" s="673" t="e">
        <f>IF(G92="مدير ولائي",((W92+X92)*45)*80%,IF(V92&lt;8,0,IF(F92="إليزي",(LOOKUP(D92,'f-travail'!A:A,'f-travail'!O:O))*(AF92+AG92),LOOKUP(D92,'f-travail'!A:A,'f-travail'!P:P)*(AF92+AG92))))</f>
        <v>#N/A</v>
      </c>
      <c r="AK92" s="673" t="e">
        <f>IF(G92="مدير ولائي",0,LOOKUP(D92,'f-travail'!A:A,'f-travail'!Q:Q))</f>
        <v>#N/A</v>
      </c>
      <c r="AL92" s="673" t="e">
        <f>IF(G92="مدير ولائي",0,LOOKUP(D92,'f-travail'!A:A,'f-travail'!R:R)*(AF92+AG92))</f>
        <v>#N/A</v>
      </c>
      <c r="AM92" s="673" t="e">
        <f>IF(G92="مدير ولائي",0,LOOKUP(D92,'f-travail'!A:A,'f-travail'!S:S)*(AF92+AG92))</f>
        <v>#N/A</v>
      </c>
      <c r="AN92" s="673" t="e">
        <f>IF(G92="مدير ولائي",0,LOOKUP(D92,'f-travail'!A:A,'f-travail'!T:T)*(AF92+AG92))</f>
        <v>#N/A</v>
      </c>
      <c r="AO92" s="673" t="e">
        <f>IF(G92="مدير ولائي",0,LOOKUP(D92,'f-travail'!A:A,'f-travail'!U:U)*(AF92+AG92))</f>
        <v>#N/A</v>
      </c>
      <c r="AP92" s="673" t="e">
        <f>IF(G92="مدير ولائي",0,LOOKUP(D92,'f-travail'!A:A,'f-travail'!V:V)*(AF92+AG92))</f>
        <v>#N/A</v>
      </c>
      <c r="AQ92" s="673" t="e">
        <f>IF(G92="مدير ولائي",0,LOOKUP(D92,'f-travail'!A:A,'f-travail'!W:W)*(AF92+AG92))</f>
        <v>#N/A</v>
      </c>
      <c r="AR92" s="673">
        <f t="shared" si="58"/>
        <v>0</v>
      </c>
      <c r="AS92" s="673" t="e">
        <f>IF(G92="مدير ولائي",0,LOOKUP(D92,'f-travail'!A:A,'f-travail'!X:X)*(AF92+AG92))</f>
        <v>#N/A</v>
      </c>
      <c r="AT92" s="673" t="e">
        <f>IF(G92="مدير ولائي",0,LOOKUP(D92,'f-travail'!Y:Y,'f-travail'!R:R)*(AF92+AG92))</f>
        <v>#N/A</v>
      </c>
      <c r="AU92" s="673">
        <f t="shared" si="43"/>
        <v>0</v>
      </c>
      <c r="AV92" s="673">
        <f t="shared" si="44"/>
        <v>0</v>
      </c>
      <c r="AW92" s="673">
        <f t="shared" si="45"/>
        <v>0</v>
      </c>
      <c r="AX92" s="637" t="str">
        <f t="shared" si="33"/>
        <v/>
      </c>
      <c r="AY92" s="640" t="e">
        <f t="shared" si="59"/>
        <v>#N/A</v>
      </c>
      <c r="AZ92" s="673" t="e">
        <f t="shared" si="46"/>
        <v>#N/A</v>
      </c>
      <c r="BA92" s="639" t="e">
        <f t="shared" si="47"/>
        <v>#N/A</v>
      </c>
      <c r="BG92" s="639">
        <f t="shared" si="60"/>
        <v>0</v>
      </c>
      <c r="BH92" s="683">
        <f t="shared" si="61"/>
        <v>0</v>
      </c>
      <c r="BI92" s="683">
        <f t="shared" si="62"/>
        <v>0</v>
      </c>
      <c r="BJ92" s="641" t="e">
        <f t="shared" si="63"/>
        <v>#N/A</v>
      </c>
      <c r="BK92" s="641" t="e">
        <f t="shared" si="64"/>
        <v>#N/A</v>
      </c>
      <c r="BL92" s="641" t="e">
        <f t="shared" si="65"/>
        <v>#N/A</v>
      </c>
      <c r="BM92" s="684" t="e">
        <f t="shared" si="66"/>
        <v>#N/A</v>
      </c>
      <c r="BO92" s="682" t="e">
        <f>CONCATENATE(Z92," ",LOOKUP(D92,'f-travail'!A:A,'f-travail'!F:F))</f>
        <v>#N/A</v>
      </c>
      <c r="BP92" s="669" t="e">
        <f t="shared" si="53"/>
        <v>#N/A</v>
      </c>
    </row>
    <row r="93" spans="1:68">
      <c r="A93" s="636">
        <f t="shared" si="67"/>
        <v>92</v>
      </c>
      <c r="B93" s="637"/>
      <c r="C93" s="637"/>
      <c r="D93" s="652"/>
      <c r="E93" s="679" t="e">
        <f>LOOKUP(D93,'f-travail'!A:A,'f-travail'!B:B)</f>
        <v>#N/A</v>
      </c>
      <c r="F93" s="650"/>
      <c r="G93" s="650"/>
      <c r="H93" s="653"/>
      <c r="I93" s="653"/>
      <c r="J93" s="654"/>
      <c r="K93" s="650"/>
      <c r="L93" s="650"/>
      <c r="M93" s="650">
        <v>0</v>
      </c>
      <c r="N93" s="654"/>
      <c r="O93" s="654"/>
      <c r="P93" s="654"/>
      <c r="Q93" s="654"/>
      <c r="R93" s="676"/>
      <c r="S93" s="654"/>
      <c r="T93" s="675"/>
      <c r="U93" s="675"/>
      <c r="V93" s="670" t="e">
        <f>LOOKUP(D93,'f-travail'!A:A,'f-travail'!E:E)</f>
        <v>#N/A</v>
      </c>
      <c r="W93" s="670" t="e">
        <f>VLOOKUP(V93,جرقمإستدلالي,'f-travail'!$AD$4+1,FALSE)</f>
        <v>#N/A</v>
      </c>
      <c r="X93" s="671" t="e">
        <f t="shared" si="37"/>
        <v>#N/A</v>
      </c>
      <c r="Y93" s="671">
        <f>IF(G93="مدير ولائي",(HLOOKUP(I93,جدروظعليا,'f-travail'!$AT$3+1,FALSE)-3200),0)</f>
        <v>0</v>
      </c>
      <c r="Z93" s="672" t="str">
        <f t="shared" si="54"/>
        <v/>
      </c>
      <c r="AA93" s="671">
        <f t="shared" si="55"/>
        <v>0</v>
      </c>
      <c r="AB93" s="677" t="b">
        <f t="shared" si="38"/>
        <v>0</v>
      </c>
      <c r="AC93" s="678">
        <f t="shared" si="56"/>
        <v>0</v>
      </c>
      <c r="AD93" s="673"/>
      <c r="AE93" s="678">
        <f t="shared" si="40"/>
        <v>0</v>
      </c>
      <c r="AF93" s="678" t="e">
        <f t="shared" si="41"/>
        <v>#N/A</v>
      </c>
      <c r="AG93" s="678" t="e">
        <f t="shared" si="42"/>
        <v>#N/A</v>
      </c>
      <c r="AH93" s="673">
        <f t="shared" si="57"/>
        <v>0</v>
      </c>
      <c r="AI93" s="674" t="e">
        <f>IF(G93="مدير ولائي",(11000*35%),LOOKUP(D93,'f-travail'!A:A,'f-travail'!I:I))</f>
        <v>#N/A</v>
      </c>
      <c r="AJ93" s="673" t="e">
        <f>IF(G93="مدير ولائي",((W93+X93)*45)*80%,IF(V93&lt;8,0,IF(F93="إليزي",(LOOKUP(D93,'f-travail'!A:A,'f-travail'!O:O))*(AF93+AG93),LOOKUP(D93,'f-travail'!A:A,'f-travail'!P:P)*(AF93+AG93))))</f>
        <v>#N/A</v>
      </c>
      <c r="AK93" s="673" t="e">
        <f>IF(G93="مدير ولائي",0,LOOKUP(D93,'f-travail'!A:A,'f-travail'!Q:Q))</f>
        <v>#N/A</v>
      </c>
      <c r="AL93" s="673" t="e">
        <f>IF(G93="مدير ولائي",0,LOOKUP(D93,'f-travail'!A:A,'f-travail'!R:R)*(AF93+AG93))</f>
        <v>#N/A</v>
      </c>
      <c r="AM93" s="673" t="e">
        <f>IF(G93="مدير ولائي",0,LOOKUP(D93,'f-travail'!A:A,'f-travail'!S:S)*(AF93+AG93))</f>
        <v>#N/A</v>
      </c>
      <c r="AN93" s="673" t="e">
        <f>IF(G93="مدير ولائي",0,LOOKUP(D93,'f-travail'!A:A,'f-travail'!T:T)*(AF93+AG93))</f>
        <v>#N/A</v>
      </c>
      <c r="AO93" s="673" t="e">
        <f>IF(G93="مدير ولائي",0,LOOKUP(D93,'f-travail'!A:A,'f-travail'!U:U)*(AF93+AG93))</f>
        <v>#N/A</v>
      </c>
      <c r="AP93" s="673" t="e">
        <f>IF(G93="مدير ولائي",0,LOOKUP(D93,'f-travail'!A:A,'f-travail'!V:V)*(AF93+AG93))</f>
        <v>#N/A</v>
      </c>
      <c r="AQ93" s="673" t="e">
        <f>IF(G93="مدير ولائي",0,LOOKUP(D93,'f-travail'!A:A,'f-travail'!W:W)*(AF93+AG93))</f>
        <v>#N/A</v>
      </c>
      <c r="AR93" s="673">
        <f t="shared" si="58"/>
        <v>0</v>
      </c>
      <c r="AS93" s="673" t="e">
        <f>IF(G93="مدير ولائي",0,LOOKUP(D93,'f-travail'!A:A,'f-travail'!X:X)*(AF93+AG93))</f>
        <v>#N/A</v>
      </c>
      <c r="AT93" s="673" t="e">
        <f>IF(G93="مدير ولائي",0,LOOKUP(D93,'f-travail'!Y:Y,'f-travail'!R:R)*(AF93+AG93))</f>
        <v>#N/A</v>
      </c>
      <c r="AU93" s="673">
        <f t="shared" si="43"/>
        <v>0</v>
      </c>
      <c r="AV93" s="673">
        <f t="shared" si="44"/>
        <v>0</v>
      </c>
      <c r="AW93" s="673">
        <f t="shared" si="45"/>
        <v>0</v>
      </c>
      <c r="AX93" s="637" t="str">
        <f t="shared" si="33"/>
        <v/>
      </c>
      <c r="AY93" s="640" t="e">
        <f t="shared" si="59"/>
        <v>#N/A</v>
      </c>
      <c r="AZ93" s="673" t="e">
        <f t="shared" si="46"/>
        <v>#N/A</v>
      </c>
      <c r="BA93" s="639" t="e">
        <f t="shared" si="47"/>
        <v>#N/A</v>
      </c>
      <c r="BG93" s="639">
        <f t="shared" si="60"/>
        <v>0</v>
      </c>
      <c r="BH93" s="683">
        <f t="shared" si="61"/>
        <v>0</v>
      </c>
      <c r="BI93" s="683">
        <f t="shared" si="62"/>
        <v>0</v>
      </c>
      <c r="BJ93" s="641" t="e">
        <f t="shared" si="63"/>
        <v>#N/A</v>
      </c>
      <c r="BK93" s="641" t="e">
        <f t="shared" si="64"/>
        <v>#N/A</v>
      </c>
      <c r="BL93" s="641" t="e">
        <f t="shared" si="65"/>
        <v>#N/A</v>
      </c>
      <c r="BM93" s="684" t="e">
        <f t="shared" si="66"/>
        <v>#N/A</v>
      </c>
      <c r="BO93" s="682" t="e">
        <f>CONCATENATE(Z93," ",LOOKUP(D93,'f-travail'!A:A,'f-travail'!F:F))</f>
        <v>#N/A</v>
      </c>
      <c r="BP93" s="669" t="e">
        <f t="shared" si="53"/>
        <v>#N/A</v>
      </c>
    </row>
    <row r="94" spans="1:68">
      <c r="A94" s="636">
        <f t="shared" si="67"/>
        <v>93</v>
      </c>
      <c r="B94" s="637"/>
      <c r="C94" s="637"/>
      <c r="D94" s="652"/>
      <c r="E94" s="679" t="e">
        <f>LOOKUP(D94,'f-travail'!A:A,'f-travail'!B:B)</f>
        <v>#N/A</v>
      </c>
      <c r="F94" s="650"/>
      <c r="G94" s="650"/>
      <c r="H94" s="653"/>
      <c r="I94" s="653"/>
      <c r="J94" s="654"/>
      <c r="K94" s="650"/>
      <c r="L94" s="650"/>
      <c r="M94" s="650">
        <v>0</v>
      </c>
      <c r="N94" s="654"/>
      <c r="O94" s="654"/>
      <c r="P94" s="654"/>
      <c r="Q94" s="654"/>
      <c r="R94" s="676"/>
      <c r="S94" s="654"/>
      <c r="T94" s="675"/>
      <c r="U94" s="675"/>
      <c r="V94" s="670" t="e">
        <f>LOOKUP(D94,'f-travail'!A:A,'f-travail'!E:E)</f>
        <v>#N/A</v>
      </c>
      <c r="W94" s="670" t="e">
        <f>VLOOKUP(V94,جرقمإستدلالي,'f-travail'!$AD$4+1,FALSE)</f>
        <v>#N/A</v>
      </c>
      <c r="X94" s="671" t="e">
        <f t="shared" si="37"/>
        <v>#N/A</v>
      </c>
      <c r="Y94" s="671">
        <f>IF(G94="مدير ولائي",(HLOOKUP(I94,جدروظعليا,'f-travail'!$AT$3+1,FALSE)-3200),0)</f>
        <v>0</v>
      </c>
      <c r="Z94" s="672" t="str">
        <f t="shared" si="54"/>
        <v/>
      </c>
      <c r="AA94" s="671">
        <f t="shared" si="55"/>
        <v>0</v>
      </c>
      <c r="AB94" s="677" t="b">
        <f t="shared" si="38"/>
        <v>0</v>
      </c>
      <c r="AC94" s="678">
        <f t="shared" si="56"/>
        <v>0</v>
      </c>
      <c r="AD94" s="673"/>
      <c r="AE94" s="678">
        <f t="shared" si="40"/>
        <v>0</v>
      </c>
      <c r="AF94" s="678" t="e">
        <f t="shared" si="41"/>
        <v>#N/A</v>
      </c>
      <c r="AG94" s="678" t="e">
        <f t="shared" si="42"/>
        <v>#N/A</v>
      </c>
      <c r="AH94" s="673">
        <f t="shared" si="57"/>
        <v>0</v>
      </c>
      <c r="AI94" s="674" t="e">
        <f>IF(G94="مدير ولائي",(11000*35%),LOOKUP(D94,'f-travail'!A:A,'f-travail'!I:I))</f>
        <v>#N/A</v>
      </c>
      <c r="AJ94" s="673" t="e">
        <f>IF(G94="مدير ولائي",((W94+X94)*45)*80%,IF(V94&lt;8,0,IF(F94="إليزي",(LOOKUP(D94,'f-travail'!A:A,'f-travail'!O:O))*(AF94+AG94),LOOKUP(D94,'f-travail'!A:A,'f-travail'!P:P)*(AF94+AG94))))</f>
        <v>#N/A</v>
      </c>
      <c r="AK94" s="673" t="e">
        <f>IF(G94="مدير ولائي",0,LOOKUP(D94,'f-travail'!A:A,'f-travail'!Q:Q))</f>
        <v>#N/A</v>
      </c>
      <c r="AL94" s="673" t="e">
        <f>IF(G94="مدير ولائي",0,LOOKUP(D94,'f-travail'!A:A,'f-travail'!R:R)*(AF94+AG94))</f>
        <v>#N/A</v>
      </c>
      <c r="AM94" s="673" t="e">
        <f>IF(G94="مدير ولائي",0,LOOKUP(D94,'f-travail'!A:A,'f-travail'!S:S)*(AF94+AG94))</f>
        <v>#N/A</v>
      </c>
      <c r="AN94" s="673" t="e">
        <f>IF(G94="مدير ولائي",0,LOOKUP(D94,'f-travail'!A:A,'f-travail'!T:T)*(AF94+AG94))</f>
        <v>#N/A</v>
      </c>
      <c r="AO94" s="673" t="e">
        <f>IF(G94="مدير ولائي",0,LOOKUP(D94,'f-travail'!A:A,'f-travail'!U:U)*(AF94+AG94))</f>
        <v>#N/A</v>
      </c>
      <c r="AP94" s="673" t="e">
        <f>IF(G94="مدير ولائي",0,LOOKUP(D94,'f-travail'!A:A,'f-travail'!V:V)*(AF94+AG94))</f>
        <v>#N/A</v>
      </c>
      <c r="AQ94" s="673" t="e">
        <f>IF(G94="مدير ولائي",0,LOOKUP(D94,'f-travail'!A:A,'f-travail'!W:W)*(AF94+AG94))</f>
        <v>#N/A</v>
      </c>
      <c r="AR94" s="673">
        <f t="shared" si="58"/>
        <v>0</v>
      </c>
      <c r="AS94" s="673" t="e">
        <f>IF(G94="مدير ولائي",0,LOOKUP(D94,'f-travail'!A:A,'f-travail'!X:X)*(AF94+AG94))</f>
        <v>#N/A</v>
      </c>
      <c r="AT94" s="673" t="e">
        <f>IF(G94="مدير ولائي",0,LOOKUP(D94,'f-travail'!Y:Y,'f-travail'!R:R)*(AF94+AG94))</f>
        <v>#N/A</v>
      </c>
      <c r="AU94" s="673">
        <f t="shared" si="43"/>
        <v>0</v>
      </c>
      <c r="AV94" s="673">
        <f t="shared" si="44"/>
        <v>0</v>
      </c>
      <c r="AW94" s="673">
        <f t="shared" si="45"/>
        <v>0</v>
      </c>
      <c r="AX94" s="637" t="str">
        <f t="shared" si="33"/>
        <v/>
      </c>
      <c r="AY94" s="640" t="e">
        <f t="shared" si="59"/>
        <v>#N/A</v>
      </c>
      <c r="AZ94" s="673" t="e">
        <f t="shared" si="46"/>
        <v>#N/A</v>
      </c>
      <c r="BA94" s="639" t="e">
        <f t="shared" si="47"/>
        <v>#N/A</v>
      </c>
      <c r="BG94" s="639">
        <f t="shared" si="60"/>
        <v>0</v>
      </c>
      <c r="BH94" s="683">
        <f t="shared" si="61"/>
        <v>0</v>
      </c>
      <c r="BI94" s="683">
        <f t="shared" si="62"/>
        <v>0</v>
      </c>
      <c r="BJ94" s="641" t="e">
        <f t="shared" si="63"/>
        <v>#N/A</v>
      </c>
      <c r="BK94" s="641" t="e">
        <f t="shared" si="64"/>
        <v>#N/A</v>
      </c>
      <c r="BL94" s="641" t="e">
        <f t="shared" si="65"/>
        <v>#N/A</v>
      </c>
      <c r="BM94" s="684" t="e">
        <f t="shared" si="66"/>
        <v>#N/A</v>
      </c>
      <c r="BO94" s="682" t="e">
        <f>CONCATENATE(Z94," ",LOOKUP(D94,'f-travail'!A:A,'f-travail'!F:F))</f>
        <v>#N/A</v>
      </c>
      <c r="BP94" s="669" t="e">
        <f t="shared" si="53"/>
        <v>#N/A</v>
      </c>
    </row>
    <row r="95" spans="1:68">
      <c r="A95" s="636">
        <f t="shared" si="67"/>
        <v>94</v>
      </c>
      <c r="B95" s="637"/>
      <c r="C95" s="637"/>
      <c r="D95" s="652"/>
      <c r="E95" s="679" t="e">
        <f>LOOKUP(D95,'f-travail'!A:A,'f-travail'!B:B)</f>
        <v>#N/A</v>
      </c>
      <c r="F95" s="650"/>
      <c r="G95" s="650"/>
      <c r="H95" s="653"/>
      <c r="I95" s="653"/>
      <c r="J95" s="654"/>
      <c r="K95" s="650"/>
      <c r="L95" s="650"/>
      <c r="M95" s="650">
        <v>0</v>
      </c>
      <c r="N95" s="654"/>
      <c r="O95" s="654"/>
      <c r="P95" s="654"/>
      <c r="Q95" s="654"/>
      <c r="R95" s="676"/>
      <c r="S95" s="654"/>
      <c r="T95" s="675"/>
      <c r="U95" s="675"/>
      <c r="V95" s="670" t="e">
        <f>LOOKUP(D95,'f-travail'!A:A,'f-travail'!E:E)</f>
        <v>#N/A</v>
      </c>
      <c r="W95" s="670" t="e">
        <f>VLOOKUP(V95,جرقمإستدلالي,'f-travail'!$AD$4+1,FALSE)</f>
        <v>#N/A</v>
      </c>
      <c r="X95" s="671" t="e">
        <f t="shared" si="37"/>
        <v>#N/A</v>
      </c>
      <c r="Y95" s="671">
        <f>IF(G95="مدير ولائي",(HLOOKUP(I95,جدروظعليا,'f-travail'!$AT$3+1,FALSE)-3200),0)</f>
        <v>0</v>
      </c>
      <c r="Z95" s="672" t="str">
        <f t="shared" si="54"/>
        <v/>
      </c>
      <c r="AA95" s="671">
        <f t="shared" si="55"/>
        <v>0</v>
      </c>
      <c r="AB95" s="677" t="b">
        <f t="shared" si="38"/>
        <v>0</v>
      </c>
      <c r="AC95" s="678">
        <f t="shared" si="56"/>
        <v>0</v>
      </c>
      <c r="AD95" s="673"/>
      <c r="AE95" s="678">
        <f t="shared" si="40"/>
        <v>0</v>
      </c>
      <c r="AF95" s="678" t="e">
        <f t="shared" si="41"/>
        <v>#N/A</v>
      </c>
      <c r="AG95" s="678" t="e">
        <f t="shared" si="42"/>
        <v>#N/A</v>
      </c>
      <c r="AH95" s="673">
        <f t="shared" si="57"/>
        <v>0</v>
      </c>
      <c r="AI95" s="674" t="e">
        <f>IF(G95="مدير ولائي",(11000*35%),LOOKUP(D95,'f-travail'!A:A,'f-travail'!I:I))</f>
        <v>#N/A</v>
      </c>
      <c r="AJ95" s="673" t="e">
        <f>IF(G95="مدير ولائي",((W95+X95)*45)*80%,IF(V95&lt;8,0,IF(F95="إليزي",(LOOKUP(D95,'f-travail'!A:A,'f-travail'!O:O))*(AF95+AG95),LOOKUP(D95,'f-travail'!A:A,'f-travail'!P:P)*(AF95+AG95))))</f>
        <v>#N/A</v>
      </c>
      <c r="AK95" s="673" t="e">
        <f>IF(G95="مدير ولائي",0,LOOKUP(D95,'f-travail'!A:A,'f-travail'!Q:Q))</f>
        <v>#N/A</v>
      </c>
      <c r="AL95" s="673" t="e">
        <f>IF(G95="مدير ولائي",0,LOOKUP(D95,'f-travail'!A:A,'f-travail'!R:R)*(AF95+AG95))</f>
        <v>#N/A</v>
      </c>
      <c r="AM95" s="673" t="e">
        <f>IF(G95="مدير ولائي",0,LOOKUP(D95,'f-travail'!A:A,'f-travail'!S:S)*(AF95+AG95))</f>
        <v>#N/A</v>
      </c>
      <c r="AN95" s="673" t="e">
        <f>IF(G95="مدير ولائي",0,LOOKUP(D95,'f-travail'!A:A,'f-travail'!T:T)*(AF95+AG95))</f>
        <v>#N/A</v>
      </c>
      <c r="AO95" s="673" t="e">
        <f>IF(G95="مدير ولائي",0,LOOKUP(D95,'f-travail'!A:A,'f-travail'!U:U)*(AF95+AG95))</f>
        <v>#N/A</v>
      </c>
      <c r="AP95" s="673" t="e">
        <f>IF(G95="مدير ولائي",0,LOOKUP(D95,'f-travail'!A:A,'f-travail'!V:V)*(AF95+AG95))</f>
        <v>#N/A</v>
      </c>
      <c r="AQ95" s="673" t="e">
        <f>IF(G95="مدير ولائي",0,LOOKUP(D95,'f-travail'!A:A,'f-travail'!W:W)*(AF95+AG95))</f>
        <v>#N/A</v>
      </c>
      <c r="AR95" s="673">
        <f t="shared" si="58"/>
        <v>0</v>
      </c>
      <c r="AS95" s="673" t="e">
        <f>IF(G95="مدير ولائي",0,LOOKUP(D95,'f-travail'!A:A,'f-travail'!X:X)*(AF95+AG95))</f>
        <v>#N/A</v>
      </c>
      <c r="AT95" s="673" t="e">
        <f>IF(G95="مدير ولائي",0,LOOKUP(D95,'f-travail'!Y:Y,'f-travail'!R:R)*(AF95+AG95))</f>
        <v>#N/A</v>
      </c>
      <c r="AU95" s="673">
        <f t="shared" si="43"/>
        <v>0</v>
      </c>
      <c r="AV95" s="673">
        <f t="shared" si="44"/>
        <v>0</v>
      </c>
      <c r="AW95" s="673">
        <f t="shared" si="45"/>
        <v>0</v>
      </c>
      <c r="AX95" s="637" t="str">
        <f t="shared" si="33"/>
        <v/>
      </c>
      <c r="AY95" s="640" t="e">
        <f t="shared" si="59"/>
        <v>#N/A</v>
      </c>
      <c r="AZ95" s="673" t="e">
        <f t="shared" si="46"/>
        <v>#N/A</v>
      </c>
      <c r="BA95" s="639" t="e">
        <f t="shared" si="47"/>
        <v>#N/A</v>
      </c>
      <c r="BG95" s="639">
        <f t="shared" si="60"/>
        <v>0</v>
      </c>
      <c r="BH95" s="683">
        <f t="shared" si="61"/>
        <v>0</v>
      </c>
      <c r="BI95" s="683">
        <f t="shared" si="62"/>
        <v>0</v>
      </c>
      <c r="BJ95" s="641" t="e">
        <f t="shared" si="63"/>
        <v>#N/A</v>
      </c>
      <c r="BK95" s="641" t="e">
        <f t="shared" si="64"/>
        <v>#N/A</v>
      </c>
      <c r="BL95" s="641" t="e">
        <f t="shared" si="65"/>
        <v>#N/A</v>
      </c>
      <c r="BM95" s="684" t="e">
        <f t="shared" si="66"/>
        <v>#N/A</v>
      </c>
      <c r="BO95" s="682" t="e">
        <f>CONCATENATE(Z95," ",LOOKUP(D95,'f-travail'!A:A,'f-travail'!F:F))</f>
        <v>#N/A</v>
      </c>
      <c r="BP95" s="669" t="e">
        <f t="shared" si="53"/>
        <v>#N/A</v>
      </c>
    </row>
    <row r="96" spans="1:68">
      <c r="A96" s="636">
        <f t="shared" si="67"/>
        <v>95</v>
      </c>
      <c r="B96" s="637"/>
      <c r="C96" s="637"/>
      <c r="D96" s="652"/>
      <c r="E96" s="679" t="e">
        <f>LOOKUP(D96,'f-travail'!A:A,'f-travail'!B:B)</f>
        <v>#N/A</v>
      </c>
      <c r="F96" s="650"/>
      <c r="G96" s="650"/>
      <c r="H96" s="653"/>
      <c r="I96" s="653"/>
      <c r="J96" s="654"/>
      <c r="K96" s="650"/>
      <c r="L96" s="650"/>
      <c r="M96" s="650">
        <v>0</v>
      </c>
      <c r="N96" s="654"/>
      <c r="O96" s="654"/>
      <c r="P96" s="654"/>
      <c r="Q96" s="654"/>
      <c r="R96" s="676"/>
      <c r="S96" s="654"/>
      <c r="T96" s="675"/>
      <c r="U96" s="675"/>
      <c r="V96" s="670" t="e">
        <f>LOOKUP(D96,'f-travail'!A:A,'f-travail'!E:E)</f>
        <v>#N/A</v>
      </c>
      <c r="W96" s="670" t="e">
        <f>VLOOKUP(V96,جرقمإستدلالي,'f-travail'!$AD$4+1,FALSE)</f>
        <v>#N/A</v>
      </c>
      <c r="X96" s="671" t="e">
        <f t="shared" si="37"/>
        <v>#N/A</v>
      </c>
      <c r="Y96" s="671">
        <f>IF(G96="مدير ولائي",(HLOOKUP(I96,جدروظعليا,'f-travail'!$AT$3+1,FALSE)-3200),0)</f>
        <v>0</v>
      </c>
      <c r="Z96" s="672" t="str">
        <f t="shared" si="54"/>
        <v/>
      </c>
      <c r="AA96" s="671">
        <f t="shared" si="55"/>
        <v>0</v>
      </c>
      <c r="AB96" s="677" t="b">
        <f t="shared" si="38"/>
        <v>0</v>
      </c>
      <c r="AC96" s="678">
        <f t="shared" si="56"/>
        <v>0</v>
      </c>
      <c r="AD96" s="673"/>
      <c r="AE96" s="678">
        <f t="shared" si="40"/>
        <v>0</v>
      </c>
      <c r="AF96" s="678" t="e">
        <f t="shared" si="41"/>
        <v>#N/A</v>
      </c>
      <c r="AG96" s="678" t="e">
        <f t="shared" si="42"/>
        <v>#N/A</v>
      </c>
      <c r="AH96" s="673">
        <f t="shared" si="57"/>
        <v>0</v>
      </c>
      <c r="AI96" s="674" t="e">
        <f>IF(G96="مدير ولائي",(11000*35%),LOOKUP(D96,'f-travail'!A:A,'f-travail'!I:I))</f>
        <v>#N/A</v>
      </c>
      <c r="AJ96" s="673" t="e">
        <f>IF(G96="مدير ولائي",((W96+X96)*45)*80%,IF(V96&lt;8,0,IF(F96="إليزي",(LOOKUP(D96,'f-travail'!A:A,'f-travail'!O:O))*(AF96+AG96),LOOKUP(D96,'f-travail'!A:A,'f-travail'!P:P)*(AF96+AG96))))</f>
        <v>#N/A</v>
      </c>
      <c r="AK96" s="673" t="e">
        <f>IF(G96="مدير ولائي",0,LOOKUP(D96,'f-travail'!A:A,'f-travail'!Q:Q))</f>
        <v>#N/A</v>
      </c>
      <c r="AL96" s="673" t="e">
        <f>IF(G96="مدير ولائي",0,LOOKUP(D96,'f-travail'!A:A,'f-travail'!R:R)*(AF96+AG96))</f>
        <v>#N/A</v>
      </c>
      <c r="AM96" s="673" t="e">
        <f>IF(G96="مدير ولائي",0,LOOKUP(D96,'f-travail'!A:A,'f-travail'!S:S)*(AF96+AG96))</f>
        <v>#N/A</v>
      </c>
      <c r="AN96" s="673" t="e">
        <f>IF(G96="مدير ولائي",0,LOOKUP(D96,'f-travail'!A:A,'f-travail'!T:T)*(AF96+AG96))</f>
        <v>#N/A</v>
      </c>
      <c r="AO96" s="673" t="e">
        <f>IF(G96="مدير ولائي",0,LOOKUP(D96,'f-travail'!A:A,'f-travail'!U:U)*(AF96+AG96))</f>
        <v>#N/A</v>
      </c>
      <c r="AP96" s="673" t="e">
        <f>IF(G96="مدير ولائي",0,LOOKUP(D96,'f-travail'!A:A,'f-travail'!V:V)*(AF96+AG96))</f>
        <v>#N/A</v>
      </c>
      <c r="AQ96" s="673" t="e">
        <f>IF(G96="مدير ولائي",0,LOOKUP(D96,'f-travail'!A:A,'f-travail'!W:W)*(AF96+AG96))</f>
        <v>#N/A</v>
      </c>
      <c r="AR96" s="673">
        <f t="shared" si="58"/>
        <v>0</v>
      </c>
      <c r="AS96" s="673" t="e">
        <f>IF(G96="مدير ولائي",0,LOOKUP(D96,'f-travail'!A:A,'f-travail'!X:X)*(AF96+AG96))</f>
        <v>#N/A</v>
      </c>
      <c r="AT96" s="673" t="e">
        <f>IF(G96="مدير ولائي",0,LOOKUP(D96,'f-travail'!Y:Y,'f-travail'!R:R)*(AF96+AG96))</f>
        <v>#N/A</v>
      </c>
      <c r="AU96" s="673">
        <f t="shared" si="43"/>
        <v>0</v>
      </c>
      <c r="AV96" s="673">
        <f t="shared" si="44"/>
        <v>0</v>
      </c>
      <c r="AW96" s="673">
        <f t="shared" si="45"/>
        <v>0</v>
      </c>
      <c r="AX96" s="637" t="str">
        <f t="shared" si="33"/>
        <v/>
      </c>
      <c r="AY96" s="640" t="e">
        <f t="shared" si="59"/>
        <v>#N/A</v>
      </c>
      <c r="AZ96" s="673" t="e">
        <f t="shared" si="46"/>
        <v>#N/A</v>
      </c>
      <c r="BA96" s="639" t="e">
        <f t="shared" si="47"/>
        <v>#N/A</v>
      </c>
      <c r="BG96" s="639">
        <f t="shared" si="60"/>
        <v>0</v>
      </c>
      <c r="BH96" s="683">
        <f t="shared" si="61"/>
        <v>0</v>
      </c>
      <c r="BI96" s="683">
        <f t="shared" si="62"/>
        <v>0</v>
      </c>
      <c r="BJ96" s="641" t="e">
        <f t="shared" si="63"/>
        <v>#N/A</v>
      </c>
      <c r="BK96" s="641" t="e">
        <f t="shared" si="64"/>
        <v>#N/A</v>
      </c>
      <c r="BL96" s="641" t="e">
        <f t="shared" si="65"/>
        <v>#N/A</v>
      </c>
      <c r="BM96" s="684" t="e">
        <f t="shared" si="66"/>
        <v>#N/A</v>
      </c>
      <c r="BO96" s="682" t="e">
        <f>CONCATENATE(Z96," ",LOOKUP(D96,'f-travail'!A:A,'f-travail'!F:F))</f>
        <v>#N/A</v>
      </c>
      <c r="BP96" s="669" t="e">
        <f t="shared" si="53"/>
        <v>#N/A</v>
      </c>
    </row>
    <row r="97" spans="1:68">
      <c r="A97" s="636">
        <f t="shared" si="67"/>
        <v>96</v>
      </c>
      <c r="B97" s="637"/>
      <c r="C97" s="637"/>
      <c r="D97" s="652"/>
      <c r="E97" s="679" t="e">
        <f>LOOKUP(D97,'f-travail'!A:A,'f-travail'!B:B)</f>
        <v>#N/A</v>
      </c>
      <c r="F97" s="650"/>
      <c r="G97" s="650"/>
      <c r="H97" s="653"/>
      <c r="I97" s="653"/>
      <c r="J97" s="654"/>
      <c r="K97" s="650"/>
      <c r="L97" s="650"/>
      <c r="M97" s="650">
        <v>0</v>
      </c>
      <c r="N97" s="654"/>
      <c r="O97" s="654"/>
      <c r="P97" s="654"/>
      <c r="Q97" s="654"/>
      <c r="R97" s="676"/>
      <c r="S97" s="654"/>
      <c r="T97" s="675"/>
      <c r="U97" s="675"/>
      <c r="V97" s="670" t="e">
        <f>LOOKUP(D97,'f-travail'!A:A,'f-travail'!E:E)</f>
        <v>#N/A</v>
      </c>
      <c r="W97" s="670" t="e">
        <f>VLOOKUP(V97,جرقمإستدلالي,'f-travail'!$AD$4+1,FALSE)</f>
        <v>#N/A</v>
      </c>
      <c r="X97" s="671" t="e">
        <f t="shared" si="37"/>
        <v>#N/A</v>
      </c>
      <c r="Y97" s="671">
        <f>IF(G97="مدير ولائي",(HLOOKUP(I97,جدروظعليا,'f-travail'!$AT$3+1,FALSE)-3200),0)</f>
        <v>0</v>
      </c>
      <c r="Z97" s="672" t="str">
        <f t="shared" si="54"/>
        <v/>
      </c>
      <c r="AA97" s="671">
        <f t="shared" si="55"/>
        <v>0</v>
      </c>
      <c r="AB97" s="677" t="b">
        <f t="shared" si="38"/>
        <v>0</v>
      </c>
      <c r="AC97" s="678">
        <f t="shared" si="56"/>
        <v>0</v>
      </c>
      <c r="AD97" s="673"/>
      <c r="AE97" s="678">
        <f t="shared" si="40"/>
        <v>0</v>
      </c>
      <c r="AF97" s="678" t="e">
        <f t="shared" si="41"/>
        <v>#N/A</v>
      </c>
      <c r="AG97" s="678" t="e">
        <f t="shared" si="42"/>
        <v>#N/A</v>
      </c>
      <c r="AH97" s="673">
        <f t="shared" si="57"/>
        <v>0</v>
      </c>
      <c r="AI97" s="674" t="e">
        <f>IF(G97="مدير ولائي",(11000*35%),LOOKUP(D97,'f-travail'!A:A,'f-travail'!I:I))</f>
        <v>#N/A</v>
      </c>
      <c r="AJ97" s="673" t="e">
        <f>IF(G97="مدير ولائي",((W97+X97)*45)*80%,IF(V97&lt;8,0,IF(F97="إليزي",(LOOKUP(D97,'f-travail'!A:A,'f-travail'!O:O))*(AF97+AG97),LOOKUP(D97,'f-travail'!A:A,'f-travail'!P:P)*(AF97+AG97))))</f>
        <v>#N/A</v>
      </c>
      <c r="AK97" s="673" t="e">
        <f>IF(G97="مدير ولائي",0,LOOKUP(D97,'f-travail'!A:A,'f-travail'!Q:Q))</f>
        <v>#N/A</v>
      </c>
      <c r="AL97" s="673" t="e">
        <f>IF(G97="مدير ولائي",0,LOOKUP(D97,'f-travail'!A:A,'f-travail'!R:R)*(AF97+AG97))</f>
        <v>#N/A</v>
      </c>
      <c r="AM97" s="673" t="e">
        <f>IF(G97="مدير ولائي",0,LOOKUP(D97,'f-travail'!A:A,'f-travail'!S:S)*(AF97+AG97))</f>
        <v>#N/A</v>
      </c>
      <c r="AN97" s="673" t="e">
        <f>IF(G97="مدير ولائي",0,LOOKUP(D97,'f-travail'!A:A,'f-travail'!T:T)*(AF97+AG97))</f>
        <v>#N/A</v>
      </c>
      <c r="AO97" s="673" t="e">
        <f>IF(G97="مدير ولائي",0,LOOKUP(D97,'f-travail'!A:A,'f-travail'!U:U)*(AF97+AG97))</f>
        <v>#N/A</v>
      </c>
      <c r="AP97" s="673" t="e">
        <f>IF(G97="مدير ولائي",0,LOOKUP(D97,'f-travail'!A:A,'f-travail'!V:V)*(AF97+AG97))</f>
        <v>#N/A</v>
      </c>
      <c r="AQ97" s="673" t="e">
        <f>IF(G97="مدير ولائي",0,LOOKUP(D97,'f-travail'!A:A,'f-travail'!W:W)*(AF97+AG97))</f>
        <v>#N/A</v>
      </c>
      <c r="AR97" s="673">
        <f t="shared" si="58"/>
        <v>0</v>
      </c>
      <c r="AS97" s="673" t="e">
        <f>IF(G97="مدير ولائي",0,LOOKUP(D97,'f-travail'!A:A,'f-travail'!X:X)*(AF97+AG97))</f>
        <v>#N/A</v>
      </c>
      <c r="AT97" s="673" t="e">
        <f>IF(G97="مدير ولائي",0,LOOKUP(D97,'f-travail'!Y:Y,'f-travail'!R:R)*(AF97+AG97))</f>
        <v>#N/A</v>
      </c>
      <c r="AU97" s="673">
        <f t="shared" si="43"/>
        <v>0</v>
      </c>
      <c r="AV97" s="673">
        <f t="shared" si="44"/>
        <v>0</v>
      </c>
      <c r="AW97" s="673">
        <f t="shared" si="45"/>
        <v>0</v>
      </c>
      <c r="AX97" s="637" t="str">
        <f t="shared" ref="AX97:AX100" si="68">C97&amp;B97</f>
        <v/>
      </c>
      <c r="AY97" s="640" t="e">
        <f t="shared" si="59"/>
        <v>#N/A</v>
      </c>
      <c r="AZ97" s="673" t="e">
        <f t="shared" si="46"/>
        <v>#N/A</v>
      </c>
      <c r="BA97" s="639" t="e">
        <f t="shared" si="47"/>
        <v>#N/A</v>
      </c>
      <c r="BG97" s="639">
        <f t="shared" si="60"/>
        <v>0</v>
      </c>
      <c r="BH97" s="683">
        <f t="shared" si="61"/>
        <v>0</v>
      </c>
      <c r="BI97" s="683">
        <f t="shared" si="62"/>
        <v>0</v>
      </c>
      <c r="BJ97" s="641" t="e">
        <f t="shared" si="63"/>
        <v>#N/A</v>
      </c>
      <c r="BK97" s="641" t="e">
        <f t="shared" si="64"/>
        <v>#N/A</v>
      </c>
      <c r="BL97" s="641" t="e">
        <f t="shared" si="65"/>
        <v>#N/A</v>
      </c>
      <c r="BM97" s="684" t="e">
        <f t="shared" si="66"/>
        <v>#N/A</v>
      </c>
      <c r="BO97" s="682" t="e">
        <f>CONCATENATE(Z97," ",LOOKUP(D97,'f-travail'!A:A,'f-travail'!F:F))</f>
        <v>#N/A</v>
      </c>
      <c r="BP97" s="669" t="e">
        <f t="shared" si="53"/>
        <v>#N/A</v>
      </c>
    </row>
    <row r="98" spans="1:68">
      <c r="A98" s="636">
        <f t="shared" si="67"/>
        <v>97</v>
      </c>
      <c r="B98" s="637"/>
      <c r="C98" s="637"/>
      <c r="D98" s="652"/>
      <c r="E98" s="679" t="e">
        <f>LOOKUP(D98,'f-travail'!A:A,'f-travail'!B:B)</f>
        <v>#N/A</v>
      </c>
      <c r="F98" s="650"/>
      <c r="G98" s="650"/>
      <c r="H98" s="653"/>
      <c r="I98" s="653"/>
      <c r="J98" s="654"/>
      <c r="K98" s="650"/>
      <c r="L98" s="650"/>
      <c r="M98" s="650">
        <v>0</v>
      </c>
      <c r="N98" s="654"/>
      <c r="O98" s="654"/>
      <c r="P98" s="654"/>
      <c r="Q98" s="654"/>
      <c r="R98" s="676"/>
      <c r="S98" s="654"/>
      <c r="T98" s="675"/>
      <c r="U98" s="675"/>
      <c r="V98" s="670" t="e">
        <f>LOOKUP(D98,'f-travail'!A:A,'f-travail'!E:E)</f>
        <v>#N/A</v>
      </c>
      <c r="W98" s="670" t="e">
        <f>VLOOKUP(V98,جرقمإستدلالي,'f-travail'!$AD$4+1,FALSE)</f>
        <v>#N/A</v>
      </c>
      <c r="X98" s="671" t="e">
        <f t="shared" si="37"/>
        <v>#N/A</v>
      </c>
      <c r="Y98" s="671">
        <f>IF(G98="مدير ولائي",(HLOOKUP(I98,جدروظعليا,'f-travail'!$AT$3+1,FALSE)-3200),0)</f>
        <v>0</v>
      </c>
      <c r="Z98" s="672" t="str">
        <f t="shared" si="54"/>
        <v/>
      </c>
      <c r="AA98" s="671">
        <f t="shared" si="55"/>
        <v>0</v>
      </c>
      <c r="AB98" s="677" t="b">
        <f t="shared" si="38"/>
        <v>0</v>
      </c>
      <c r="AC98" s="678">
        <f t="shared" si="56"/>
        <v>0</v>
      </c>
      <c r="AD98" s="673"/>
      <c r="AE98" s="678">
        <f t="shared" si="40"/>
        <v>0</v>
      </c>
      <c r="AF98" s="678" t="e">
        <f t="shared" si="41"/>
        <v>#N/A</v>
      </c>
      <c r="AG98" s="678" t="e">
        <f t="shared" si="42"/>
        <v>#N/A</v>
      </c>
      <c r="AH98" s="673">
        <f t="shared" si="57"/>
        <v>0</v>
      </c>
      <c r="AI98" s="674" t="e">
        <f>IF(G98="مدير ولائي",(11000*35%),LOOKUP(D98,'f-travail'!A:A,'f-travail'!I:I))</f>
        <v>#N/A</v>
      </c>
      <c r="AJ98" s="673" t="e">
        <f>IF(G98="مدير ولائي",((W98+X98)*45)*80%,IF(V98&lt;8,0,IF(F98="إليزي",(LOOKUP(D98,'f-travail'!A:A,'f-travail'!O:O))*(AF98+AG98),LOOKUP(D98,'f-travail'!A:A,'f-travail'!P:P)*(AF98+AG98))))</f>
        <v>#N/A</v>
      </c>
      <c r="AK98" s="673" t="e">
        <f>IF(G98="مدير ولائي",0,LOOKUP(D98,'f-travail'!A:A,'f-travail'!Q:Q))</f>
        <v>#N/A</v>
      </c>
      <c r="AL98" s="673" t="e">
        <f>IF(G98="مدير ولائي",0,LOOKUP(D98,'f-travail'!A:A,'f-travail'!R:R)*(AF98+AG98))</f>
        <v>#N/A</v>
      </c>
      <c r="AM98" s="673" t="e">
        <f>IF(G98="مدير ولائي",0,LOOKUP(D98,'f-travail'!A:A,'f-travail'!S:S)*(AF98+AG98))</f>
        <v>#N/A</v>
      </c>
      <c r="AN98" s="673" t="e">
        <f>IF(G98="مدير ولائي",0,LOOKUP(D98,'f-travail'!A:A,'f-travail'!T:T)*(AF98+AG98))</f>
        <v>#N/A</v>
      </c>
      <c r="AO98" s="673" t="e">
        <f>IF(G98="مدير ولائي",0,LOOKUP(D98,'f-travail'!A:A,'f-travail'!U:U)*(AF98+AG98))</f>
        <v>#N/A</v>
      </c>
      <c r="AP98" s="673" t="e">
        <f>IF(G98="مدير ولائي",0,LOOKUP(D98,'f-travail'!A:A,'f-travail'!V:V)*(AF98+AG98))</f>
        <v>#N/A</v>
      </c>
      <c r="AQ98" s="673" t="e">
        <f>IF(G98="مدير ولائي",0,LOOKUP(D98,'f-travail'!A:A,'f-travail'!W:W)*(AF98+AG98))</f>
        <v>#N/A</v>
      </c>
      <c r="AR98" s="673">
        <f t="shared" si="58"/>
        <v>0</v>
      </c>
      <c r="AS98" s="673" t="e">
        <f>IF(G98="مدير ولائي",0,LOOKUP(D98,'f-travail'!A:A,'f-travail'!X:X)*(AF98+AG98))</f>
        <v>#N/A</v>
      </c>
      <c r="AT98" s="673" t="e">
        <f>IF(G98="مدير ولائي",0,LOOKUP(D98,'f-travail'!Y:Y,'f-travail'!R:R)*(AF98+AG98))</f>
        <v>#N/A</v>
      </c>
      <c r="AU98" s="673">
        <f t="shared" si="43"/>
        <v>0</v>
      </c>
      <c r="AV98" s="673">
        <f t="shared" si="44"/>
        <v>0</v>
      </c>
      <c r="AW98" s="673">
        <f t="shared" si="45"/>
        <v>0</v>
      </c>
      <c r="AX98" s="637" t="str">
        <f t="shared" si="68"/>
        <v/>
      </c>
      <c r="AY98" s="640" t="e">
        <f t="shared" si="59"/>
        <v>#N/A</v>
      </c>
      <c r="AZ98" s="673" t="e">
        <f t="shared" si="46"/>
        <v>#N/A</v>
      </c>
      <c r="BA98" s="639" t="e">
        <f t="shared" si="47"/>
        <v>#N/A</v>
      </c>
      <c r="BG98" s="639">
        <f t="shared" si="60"/>
        <v>0</v>
      </c>
      <c r="BH98" s="683">
        <f t="shared" si="61"/>
        <v>0</v>
      </c>
      <c r="BI98" s="683">
        <f t="shared" si="62"/>
        <v>0</v>
      </c>
      <c r="BJ98" s="641" t="e">
        <f t="shared" si="63"/>
        <v>#N/A</v>
      </c>
      <c r="BK98" s="641" t="e">
        <f t="shared" si="64"/>
        <v>#N/A</v>
      </c>
      <c r="BL98" s="641" t="e">
        <f t="shared" si="65"/>
        <v>#N/A</v>
      </c>
      <c r="BM98" s="684" t="e">
        <f t="shared" si="66"/>
        <v>#N/A</v>
      </c>
      <c r="BO98" s="682" t="e">
        <f>CONCATENATE(Z98," ",LOOKUP(D98,'f-travail'!A:A,'f-travail'!F:F))</f>
        <v>#N/A</v>
      </c>
      <c r="BP98" s="669" t="e">
        <f t="shared" si="53"/>
        <v>#N/A</v>
      </c>
    </row>
    <row r="99" spans="1:68">
      <c r="A99" s="636">
        <f t="shared" si="67"/>
        <v>98</v>
      </c>
      <c r="B99" s="637"/>
      <c r="C99" s="637"/>
      <c r="D99" s="652"/>
      <c r="E99" s="679" t="e">
        <f>LOOKUP(D99,'f-travail'!A:A,'f-travail'!B:B)</f>
        <v>#N/A</v>
      </c>
      <c r="F99" s="650"/>
      <c r="G99" s="650"/>
      <c r="H99" s="653"/>
      <c r="I99" s="653"/>
      <c r="J99" s="654"/>
      <c r="K99" s="650"/>
      <c r="L99" s="650"/>
      <c r="M99" s="650">
        <v>0</v>
      </c>
      <c r="N99" s="654"/>
      <c r="O99" s="654"/>
      <c r="P99" s="654"/>
      <c r="Q99" s="654"/>
      <c r="R99" s="676"/>
      <c r="S99" s="654"/>
      <c r="T99" s="675"/>
      <c r="U99" s="675"/>
      <c r="V99" s="670" t="e">
        <f>LOOKUP(D99,'f-travail'!A:A,'f-travail'!E:E)</f>
        <v>#N/A</v>
      </c>
      <c r="W99" s="670" t="e">
        <f>VLOOKUP(V99,جرقمإستدلالي,'f-travail'!$AD$4+1,FALSE)</f>
        <v>#N/A</v>
      </c>
      <c r="X99" s="671" t="e">
        <f t="shared" si="37"/>
        <v>#N/A</v>
      </c>
      <c r="Y99" s="671">
        <f>IF(G99="مدير ولائي",(HLOOKUP(I99,جدروظعليا,'f-travail'!$AT$3+1,FALSE)-3200),0)</f>
        <v>0</v>
      </c>
      <c r="Z99" s="672" t="str">
        <f t="shared" si="54"/>
        <v/>
      </c>
      <c r="AA99" s="671">
        <f t="shared" si="55"/>
        <v>0</v>
      </c>
      <c r="AB99" s="677" t="b">
        <f t="shared" si="38"/>
        <v>0</v>
      </c>
      <c r="AC99" s="678">
        <f t="shared" si="56"/>
        <v>0</v>
      </c>
      <c r="AD99" s="673"/>
      <c r="AE99" s="678">
        <f t="shared" si="40"/>
        <v>0</v>
      </c>
      <c r="AF99" s="678" t="e">
        <f t="shared" si="41"/>
        <v>#N/A</v>
      </c>
      <c r="AG99" s="678" t="e">
        <f t="shared" si="42"/>
        <v>#N/A</v>
      </c>
      <c r="AH99" s="673">
        <f t="shared" si="57"/>
        <v>0</v>
      </c>
      <c r="AI99" s="674" t="e">
        <f>IF(G99="مدير ولائي",(11000*35%),LOOKUP(D99,'f-travail'!A:A,'f-travail'!I:I))</f>
        <v>#N/A</v>
      </c>
      <c r="AJ99" s="673" t="e">
        <f>IF(G99="مدير ولائي",((W99+X99)*45)*80%,IF(V99&lt;8,0,IF(F99="إليزي",(LOOKUP(D99,'f-travail'!A:A,'f-travail'!O:O))*(AF99+AG99),LOOKUP(D99,'f-travail'!A:A,'f-travail'!P:P)*(AF99+AG99))))</f>
        <v>#N/A</v>
      </c>
      <c r="AK99" s="673" t="e">
        <f>IF(G99="مدير ولائي",0,LOOKUP(D99,'f-travail'!A:A,'f-travail'!Q:Q))</f>
        <v>#N/A</v>
      </c>
      <c r="AL99" s="673" t="e">
        <f>IF(G99="مدير ولائي",0,LOOKUP(D99,'f-travail'!A:A,'f-travail'!R:R)*(AF99+AG99))</f>
        <v>#N/A</v>
      </c>
      <c r="AM99" s="673" t="e">
        <f>IF(G99="مدير ولائي",0,LOOKUP(D99,'f-travail'!A:A,'f-travail'!S:S)*(AF99+AG99))</f>
        <v>#N/A</v>
      </c>
      <c r="AN99" s="673" t="e">
        <f>IF(G99="مدير ولائي",0,LOOKUP(D99,'f-travail'!A:A,'f-travail'!T:T)*(AF99+AG99))</f>
        <v>#N/A</v>
      </c>
      <c r="AO99" s="673" t="e">
        <f>IF(G99="مدير ولائي",0,LOOKUP(D99,'f-travail'!A:A,'f-travail'!U:U)*(AF99+AG99))</f>
        <v>#N/A</v>
      </c>
      <c r="AP99" s="673" t="e">
        <f>IF(G99="مدير ولائي",0,LOOKUP(D99,'f-travail'!A:A,'f-travail'!V:V)*(AF99+AG99))</f>
        <v>#N/A</v>
      </c>
      <c r="AQ99" s="673" t="e">
        <f>IF(G99="مدير ولائي",0,LOOKUP(D99,'f-travail'!A:A,'f-travail'!W:W)*(AF99+AG99))</f>
        <v>#N/A</v>
      </c>
      <c r="AR99" s="673">
        <f t="shared" si="58"/>
        <v>0</v>
      </c>
      <c r="AS99" s="673" t="e">
        <f>IF(G99="مدير ولائي",0,LOOKUP(D99,'f-travail'!A:A,'f-travail'!X:X)*(AF99+AG99))</f>
        <v>#N/A</v>
      </c>
      <c r="AT99" s="673" t="e">
        <f>IF(G99="مدير ولائي",0,LOOKUP(D99,'f-travail'!Y:Y,'f-travail'!R:R)*(AF99+AG99))</f>
        <v>#N/A</v>
      </c>
      <c r="AU99" s="673">
        <f t="shared" si="43"/>
        <v>0</v>
      </c>
      <c r="AV99" s="673">
        <f t="shared" si="44"/>
        <v>0</v>
      </c>
      <c r="AW99" s="673">
        <f t="shared" si="45"/>
        <v>0</v>
      </c>
      <c r="AX99" s="637" t="str">
        <f t="shared" si="68"/>
        <v/>
      </c>
      <c r="AY99" s="640" t="e">
        <f t="shared" si="59"/>
        <v>#N/A</v>
      </c>
      <c r="AZ99" s="673" t="e">
        <f t="shared" si="46"/>
        <v>#N/A</v>
      </c>
      <c r="BA99" s="639" t="e">
        <f t="shared" si="47"/>
        <v>#N/A</v>
      </c>
      <c r="BG99" s="639">
        <f t="shared" si="60"/>
        <v>0</v>
      </c>
      <c r="BH99" s="683">
        <f t="shared" si="61"/>
        <v>0</v>
      </c>
      <c r="BI99" s="683">
        <f t="shared" si="62"/>
        <v>0</v>
      </c>
      <c r="BJ99" s="641" t="e">
        <f t="shared" si="63"/>
        <v>#N/A</v>
      </c>
      <c r="BK99" s="641" t="e">
        <f t="shared" si="64"/>
        <v>#N/A</v>
      </c>
      <c r="BL99" s="641" t="e">
        <f t="shared" si="65"/>
        <v>#N/A</v>
      </c>
      <c r="BM99" s="684" t="e">
        <f t="shared" si="66"/>
        <v>#N/A</v>
      </c>
      <c r="BO99" s="682" t="e">
        <f>CONCATENATE(Z99," ",LOOKUP(D99,'f-travail'!A:A,'f-travail'!F:F))</f>
        <v>#N/A</v>
      </c>
      <c r="BP99" s="669" t="e">
        <f t="shared" si="53"/>
        <v>#N/A</v>
      </c>
    </row>
    <row r="100" spans="1:68">
      <c r="A100" s="636">
        <f t="shared" si="67"/>
        <v>99</v>
      </c>
      <c r="B100" s="637"/>
      <c r="C100" s="637"/>
      <c r="D100" s="652"/>
      <c r="E100" s="679" t="e">
        <f>LOOKUP(D100,'f-travail'!A:A,'f-travail'!B:B)</f>
        <v>#N/A</v>
      </c>
      <c r="F100" s="650"/>
      <c r="G100" s="650"/>
      <c r="H100" s="653"/>
      <c r="I100" s="653"/>
      <c r="J100" s="654"/>
      <c r="K100" s="650"/>
      <c r="L100" s="650"/>
      <c r="M100" s="650">
        <v>0</v>
      </c>
      <c r="N100" s="654"/>
      <c r="O100" s="654"/>
      <c r="P100" s="654"/>
      <c r="Q100" s="654"/>
      <c r="R100" s="676"/>
      <c r="S100" s="654"/>
      <c r="T100" s="675"/>
      <c r="U100" s="675"/>
      <c r="V100" s="670" t="e">
        <f>LOOKUP(D100,'f-travail'!A:A,'f-travail'!E:E)</f>
        <v>#N/A</v>
      </c>
      <c r="W100" s="670" t="e">
        <f>VLOOKUP(V100,جرقمإستدلالي,'f-travail'!$AD$4+1,FALSE)</f>
        <v>#N/A</v>
      </c>
      <c r="X100" s="671" t="e">
        <f t="shared" si="37"/>
        <v>#N/A</v>
      </c>
      <c r="Y100" s="671">
        <f>IF(G100="مدير ولائي",(HLOOKUP(I100,جدروظعليا,'f-travail'!$AT$3+1,FALSE)-3200),0)</f>
        <v>0</v>
      </c>
      <c r="Z100" s="672" t="str">
        <f t="shared" si="54"/>
        <v/>
      </c>
      <c r="AA100" s="671">
        <f t="shared" si="55"/>
        <v>0</v>
      </c>
      <c r="AB100" s="677" t="b">
        <f t="shared" si="38"/>
        <v>0</v>
      </c>
      <c r="AC100" s="678">
        <f t="shared" si="56"/>
        <v>0</v>
      </c>
      <c r="AD100" s="673"/>
      <c r="AE100" s="678">
        <f t="shared" si="40"/>
        <v>0</v>
      </c>
      <c r="AF100" s="678" t="e">
        <f t="shared" si="41"/>
        <v>#N/A</v>
      </c>
      <c r="AG100" s="678" t="e">
        <f t="shared" si="42"/>
        <v>#N/A</v>
      </c>
      <c r="AH100" s="673">
        <f t="shared" si="57"/>
        <v>0</v>
      </c>
      <c r="AI100" s="674" t="e">
        <f>IF(G100="مدير ولائي",(11000*35%),LOOKUP(D100,'f-travail'!A:A,'f-travail'!I:I))</f>
        <v>#N/A</v>
      </c>
      <c r="AJ100" s="673" t="e">
        <f>IF(G100="مدير ولائي",((W100+X100)*45)*80%,IF(V100&lt;8,0,IF(F100="إليزي",(LOOKUP(D100,'f-travail'!A:A,'f-travail'!O:O))*(AF100+AG100),LOOKUP(D100,'f-travail'!A:A,'f-travail'!P:P)*(AF100+AG100))))</f>
        <v>#N/A</v>
      </c>
      <c r="AK100" s="673" t="e">
        <f>IF(G100="مدير ولائي",0,LOOKUP(D100,'f-travail'!A:A,'f-travail'!Q:Q))</f>
        <v>#N/A</v>
      </c>
      <c r="AL100" s="673" t="e">
        <f>IF(G100="مدير ولائي",0,LOOKUP(D100,'f-travail'!A:A,'f-travail'!R:R)*(AF100+AG100))</f>
        <v>#N/A</v>
      </c>
      <c r="AM100" s="673" t="e">
        <f>IF(G100="مدير ولائي",0,LOOKUP(D100,'f-travail'!A:A,'f-travail'!S:S)*(AF100+AG100))</f>
        <v>#N/A</v>
      </c>
      <c r="AN100" s="673" t="e">
        <f>IF(G100="مدير ولائي",0,LOOKUP(D100,'f-travail'!A:A,'f-travail'!T:T)*(AF100+AG100))</f>
        <v>#N/A</v>
      </c>
      <c r="AO100" s="673" t="e">
        <f>IF(G100="مدير ولائي",0,LOOKUP(D100,'f-travail'!A:A,'f-travail'!U:U)*(AF100+AG100))</f>
        <v>#N/A</v>
      </c>
      <c r="AP100" s="673" t="e">
        <f>IF(G100="مدير ولائي",0,LOOKUP(D100,'f-travail'!A:A,'f-travail'!V:V)*(AF100+AG100))</f>
        <v>#N/A</v>
      </c>
      <c r="AQ100" s="673" t="e">
        <f>IF(G100="مدير ولائي",0,LOOKUP(D100,'f-travail'!A:A,'f-travail'!W:W)*(AF100+AG100))</f>
        <v>#N/A</v>
      </c>
      <c r="AR100" s="673">
        <f t="shared" si="58"/>
        <v>0</v>
      </c>
      <c r="AS100" s="673" t="e">
        <f>IF(G100="مدير ولائي",0,LOOKUP(D100,'f-travail'!A:A,'f-travail'!X:X)*(AF100+AG100))</f>
        <v>#N/A</v>
      </c>
      <c r="AT100" s="673" t="e">
        <f>IF(G100="مدير ولائي",0,LOOKUP(D100,'f-travail'!Y:Y,'f-travail'!R:R)*(AF100+AG100))</f>
        <v>#N/A</v>
      </c>
      <c r="AU100" s="673">
        <f t="shared" si="43"/>
        <v>0</v>
      </c>
      <c r="AV100" s="673">
        <f t="shared" si="44"/>
        <v>0</v>
      </c>
      <c r="AW100" s="673">
        <f t="shared" si="45"/>
        <v>0</v>
      </c>
      <c r="AX100" s="637" t="str">
        <f t="shared" si="68"/>
        <v/>
      </c>
      <c r="AY100" s="640" t="e">
        <f t="shared" si="59"/>
        <v>#N/A</v>
      </c>
      <c r="AZ100" s="673" t="e">
        <f t="shared" si="46"/>
        <v>#N/A</v>
      </c>
      <c r="BA100" s="639" t="e">
        <f t="shared" si="47"/>
        <v>#N/A</v>
      </c>
      <c r="BG100" s="639">
        <f t="shared" si="60"/>
        <v>0</v>
      </c>
      <c r="BH100" s="683">
        <f t="shared" si="61"/>
        <v>0</v>
      </c>
      <c r="BI100" s="683">
        <f t="shared" si="62"/>
        <v>0</v>
      </c>
      <c r="BJ100" s="641" t="e">
        <f t="shared" si="63"/>
        <v>#N/A</v>
      </c>
      <c r="BK100" s="641" t="e">
        <f t="shared" si="64"/>
        <v>#N/A</v>
      </c>
      <c r="BL100" s="641" t="e">
        <f t="shared" si="65"/>
        <v>#N/A</v>
      </c>
      <c r="BM100" s="684" t="e">
        <f t="shared" si="66"/>
        <v>#N/A</v>
      </c>
      <c r="BO100" s="682" t="e">
        <f>CONCATENATE(Z100," ",LOOKUP(D100,'f-travail'!A:A,'f-travail'!F:F))</f>
        <v>#N/A</v>
      </c>
      <c r="BP100" s="669" t="e">
        <f t="shared" si="53"/>
        <v>#N/A</v>
      </c>
    </row>
    <row r="101" spans="1:68">
      <c r="A101" s="636">
        <f t="shared" si="67"/>
        <v>100</v>
      </c>
      <c r="B101" s="637"/>
      <c r="C101" s="637"/>
      <c r="D101" s="652"/>
      <c r="E101" s="679" t="e">
        <f>LOOKUP(D101,'f-travail'!A:A,'f-travail'!B:B)</f>
        <v>#N/A</v>
      </c>
      <c r="F101" s="650"/>
      <c r="G101" s="650"/>
      <c r="H101" s="653"/>
      <c r="I101" s="653"/>
      <c r="J101" s="654"/>
      <c r="K101" s="650"/>
      <c r="L101" s="650"/>
      <c r="M101" s="650">
        <v>0</v>
      </c>
      <c r="N101" s="654"/>
      <c r="O101" s="654"/>
      <c r="P101" s="654"/>
      <c r="Q101" s="654"/>
      <c r="R101" s="676"/>
      <c r="S101" s="654"/>
      <c r="T101" s="675"/>
      <c r="U101" s="675"/>
      <c r="V101" s="670" t="e">
        <f>LOOKUP(D101,'f-travail'!A:A,'f-travail'!E:E)</f>
        <v>#N/A</v>
      </c>
      <c r="W101" s="670" t="e">
        <f>VLOOKUP(V101,جرقمإستدلالي,'f-travail'!$AD$4+1,FALSE)</f>
        <v>#N/A</v>
      </c>
      <c r="X101" s="671" t="e">
        <f t="shared" si="37"/>
        <v>#N/A</v>
      </c>
      <c r="Y101" s="671">
        <f>IF(G101="مدير ولائي",(HLOOKUP(I101,جدروظعليا,'f-travail'!$AT$3+1,FALSE)-3200),0)</f>
        <v>0</v>
      </c>
      <c r="Z101" s="672" t="str">
        <f t="shared" si="54"/>
        <v/>
      </c>
      <c r="AA101" s="671">
        <f t="shared" si="55"/>
        <v>0</v>
      </c>
      <c r="AB101" s="677" t="b">
        <f t="shared" si="38"/>
        <v>0</v>
      </c>
      <c r="AC101" s="678">
        <f t="shared" si="56"/>
        <v>0</v>
      </c>
      <c r="AD101" s="673"/>
      <c r="AE101" s="678">
        <f t="shared" si="40"/>
        <v>0</v>
      </c>
      <c r="AF101" s="678" t="e">
        <f t="shared" si="41"/>
        <v>#N/A</v>
      </c>
      <c r="AG101" s="678" t="e">
        <f t="shared" si="42"/>
        <v>#N/A</v>
      </c>
      <c r="AH101" s="673">
        <f t="shared" si="57"/>
        <v>0</v>
      </c>
      <c r="AI101" s="674" t="e">
        <f>IF(G101="مدير ولائي",(11000*35%),LOOKUP(D101,'f-travail'!A:A,'f-travail'!I:I))</f>
        <v>#N/A</v>
      </c>
      <c r="AJ101" s="673" t="e">
        <f>IF(G101="مدير ولائي",((W101+X101)*45)*80%,IF(V101&lt;8,0,IF(F101="إليزي",(LOOKUP(D101,'f-travail'!A:A,'f-travail'!O:O))*(AF101+AG101),LOOKUP(D101,'f-travail'!A:A,'f-travail'!P:P)*(AF101+AG101))))</f>
        <v>#N/A</v>
      </c>
      <c r="AK101" s="673" t="e">
        <f>IF(G101="مدير ولائي",0,LOOKUP(D101,'f-travail'!A:A,'f-travail'!Q:Q))</f>
        <v>#N/A</v>
      </c>
      <c r="AL101" s="673" t="e">
        <f>IF(G101="مدير ولائي",0,LOOKUP(D101,'f-travail'!A:A,'f-travail'!R:R)*(AF101+AG101))</f>
        <v>#N/A</v>
      </c>
      <c r="AM101" s="673" t="e">
        <f>IF(G101="مدير ولائي",0,LOOKUP(D101,'f-travail'!A:A,'f-travail'!S:S)*(AF101+AG101))</f>
        <v>#N/A</v>
      </c>
      <c r="AN101" s="673" t="e">
        <f>IF(G101="مدير ولائي",0,LOOKUP(D101,'f-travail'!A:A,'f-travail'!T:T)*(AF101+AG101))</f>
        <v>#N/A</v>
      </c>
      <c r="AO101" s="673" t="e">
        <f>IF(G101="مدير ولائي",0,LOOKUP(D101,'f-travail'!A:A,'f-travail'!U:U)*(AF101+AG101))</f>
        <v>#N/A</v>
      </c>
      <c r="AP101" s="673" t="e">
        <f>IF(G101="مدير ولائي",0,LOOKUP(D101,'f-travail'!A:A,'f-travail'!V:V)*(AF101+AG101))</f>
        <v>#N/A</v>
      </c>
      <c r="AQ101" s="673" t="e">
        <f>IF(G101="مدير ولائي",0,LOOKUP(D101,'f-travail'!A:A,'f-travail'!W:W)*(AF101+AG101))</f>
        <v>#N/A</v>
      </c>
      <c r="AR101" s="673">
        <f t="shared" si="58"/>
        <v>0</v>
      </c>
      <c r="AS101" s="673" t="e">
        <f>IF(G101="مدير ولائي",0,LOOKUP(D101,'f-travail'!A:A,'f-travail'!X:X)*(AF101+AG101))</f>
        <v>#N/A</v>
      </c>
      <c r="AT101" s="673" t="e">
        <f>IF(G101="مدير ولائي",0,LOOKUP(D101,'f-travail'!Y:Y,'f-travail'!R:R)*(AF101+AG101))</f>
        <v>#N/A</v>
      </c>
      <c r="AU101" s="673">
        <f t="shared" si="43"/>
        <v>0</v>
      </c>
      <c r="AV101" s="673">
        <f t="shared" si="44"/>
        <v>0</v>
      </c>
      <c r="AW101" s="673">
        <f t="shared" si="45"/>
        <v>0</v>
      </c>
      <c r="AY101" s="640" t="e">
        <f t="shared" si="59"/>
        <v>#N/A</v>
      </c>
      <c r="AZ101" s="673" t="e">
        <f t="shared" si="46"/>
        <v>#N/A</v>
      </c>
      <c r="BA101" s="639" t="e">
        <f t="shared" si="47"/>
        <v>#N/A</v>
      </c>
      <c r="BG101" s="639">
        <f t="shared" si="60"/>
        <v>0</v>
      </c>
      <c r="BH101" s="683">
        <f t="shared" si="61"/>
        <v>0</v>
      </c>
      <c r="BI101" s="683">
        <f t="shared" si="62"/>
        <v>0</v>
      </c>
      <c r="BJ101" s="641" t="e">
        <f t="shared" si="63"/>
        <v>#N/A</v>
      </c>
      <c r="BK101" s="641" t="e">
        <f t="shared" si="64"/>
        <v>#N/A</v>
      </c>
      <c r="BL101" s="641" t="e">
        <f t="shared" si="65"/>
        <v>#N/A</v>
      </c>
      <c r="BM101" s="684" t="e">
        <f t="shared" si="66"/>
        <v>#N/A</v>
      </c>
      <c r="BO101" s="682" t="e">
        <f>CONCATENATE(Z101," ",LOOKUP(D101,'f-travail'!A:A,'f-travail'!F:F))</f>
        <v>#N/A</v>
      </c>
      <c r="BP101" s="669" t="e">
        <f t="shared" si="53"/>
        <v>#N/A</v>
      </c>
    </row>
    <row r="102" spans="1:68">
      <c r="A102" s="636">
        <f t="shared" si="67"/>
        <v>101</v>
      </c>
      <c r="B102" s="637"/>
      <c r="C102" s="637"/>
      <c r="D102" s="652"/>
      <c r="E102" s="679" t="e">
        <f>LOOKUP(D102,'f-travail'!A:A,'f-travail'!B:B)</f>
        <v>#N/A</v>
      </c>
      <c r="F102" s="650"/>
      <c r="G102" s="650"/>
      <c r="H102" s="653"/>
      <c r="I102" s="653"/>
      <c r="J102" s="654"/>
      <c r="K102" s="650"/>
      <c r="L102" s="650"/>
      <c r="M102" s="650">
        <v>0</v>
      </c>
      <c r="N102" s="654"/>
      <c r="O102" s="654"/>
      <c r="P102" s="654"/>
      <c r="Q102" s="654"/>
      <c r="R102" s="676"/>
      <c r="S102" s="654"/>
      <c r="T102" s="675"/>
      <c r="U102" s="675"/>
      <c r="V102" s="670" t="e">
        <f>LOOKUP(D102,'f-travail'!A:A,'f-travail'!E:E)</f>
        <v>#N/A</v>
      </c>
      <c r="W102" s="670" t="e">
        <f>VLOOKUP(V102,جرقمإستدلالي,'f-travail'!$AD$4+1,FALSE)</f>
        <v>#N/A</v>
      </c>
      <c r="X102" s="671" t="e">
        <f t="shared" si="37"/>
        <v>#N/A</v>
      </c>
      <c r="Y102" s="671">
        <f>IF(G102="مدير ولائي",(HLOOKUP(I102,جدروظعليا,'f-travail'!$AT$3+1,FALSE)-3200),0)</f>
        <v>0</v>
      </c>
      <c r="Z102" s="672" t="str">
        <f t="shared" si="54"/>
        <v/>
      </c>
      <c r="AA102" s="671">
        <f t="shared" si="55"/>
        <v>0</v>
      </c>
      <c r="AB102" s="677" t="b">
        <f t="shared" si="38"/>
        <v>0</v>
      </c>
      <c r="AC102" s="678">
        <f t="shared" si="56"/>
        <v>0</v>
      </c>
      <c r="AD102" s="673"/>
      <c r="AE102" s="678">
        <f t="shared" si="40"/>
        <v>0</v>
      </c>
      <c r="AF102" s="678" t="e">
        <f t="shared" si="41"/>
        <v>#N/A</v>
      </c>
      <c r="AG102" s="678" t="e">
        <f t="shared" si="42"/>
        <v>#N/A</v>
      </c>
      <c r="AH102" s="673">
        <f t="shared" si="57"/>
        <v>0</v>
      </c>
      <c r="AI102" s="674" t="e">
        <f>IF(G102="مدير ولائي",(11000*35%),LOOKUP(D102,'f-travail'!A:A,'f-travail'!I:I))</f>
        <v>#N/A</v>
      </c>
      <c r="AJ102" s="673" t="e">
        <f>IF(G102="مدير ولائي",((W102+X102)*45)*80%,IF(V102&lt;8,0,IF(F102="إليزي",(LOOKUP(D102,'f-travail'!A:A,'f-travail'!O:O))*(AF102+AG102),LOOKUP(D102,'f-travail'!A:A,'f-travail'!P:P)*(AF102+AG102))))</f>
        <v>#N/A</v>
      </c>
      <c r="AK102" s="673" t="e">
        <f>IF(G102="مدير ولائي",0,LOOKUP(D102,'f-travail'!A:A,'f-travail'!Q:Q))</f>
        <v>#N/A</v>
      </c>
      <c r="AL102" s="673" t="e">
        <f>IF(G102="مدير ولائي",0,LOOKUP(D102,'f-travail'!A:A,'f-travail'!R:R)*(AF102+AG102))</f>
        <v>#N/A</v>
      </c>
      <c r="AM102" s="673" t="e">
        <f>IF(G102="مدير ولائي",0,LOOKUP(D102,'f-travail'!A:A,'f-travail'!S:S)*(AF102+AG102))</f>
        <v>#N/A</v>
      </c>
      <c r="AN102" s="673" t="e">
        <f>IF(G102="مدير ولائي",0,LOOKUP(D102,'f-travail'!A:A,'f-travail'!T:T)*(AF102+AG102))</f>
        <v>#N/A</v>
      </c>
      <c r="AO102" s="673" t="e">
        <f>IF(G102="مدير ولائي",0,LOOKUP(D102,'f-travail'!A:A,'f-travail'!U:U)*(AF102+AG102))</f>
        <v>#N/A</v>
      </c>
      <c r="AP102" s="673" t="e">
        <f>IF(G102="مدير ولائي",0,LOOKUP(D102,'f-travail'!A:A,'f-travail'!V:V)*(AF102+AG102))</f>
        <v>#N/A</v>
      </c>
      <c r="AQ102" s="673" t="e">
        <f>IF(G102="مدير ولائي",0,LOOKUP(D102,'f-travail'!A:A,'f-travail'!W:W)*(AF102+AG102))</f>
        <v>#N/A</v>
      </c>
      <c r="AR102" s="673">
        <f t="shared" si="58"/>
        <v>0</v>
      </c>
      <c r="AS102" s="673" t="e">
        <f>IF(G102="مدير ولائي",0,LOOKUP(D102,'f-travail'!A:A,'f-travail'!X:X)*(AF102+AG102))</f>
        <v>#N/A</v>
      </c>
      <c r="AT102" s="673" t="e">
        <f>IF(G102="مدير ولائي",0,LOOKUP(D102,'f-travail'!Y:Y,'f-travail'!R:R)*(AF102+AG102))</f>
        <v>#N/A</v>
      </c>
      <c r="AU102" s="673">
        <f t="shared" si="43"/>
        <v>0</v>
      </c>
      <c r="AV102" s="673">
        <f t="shared" si="44"/>
        <v>0</v>
      </c>
      <c r="AW102" s="673">
        <f t="shared" si="45"/>
        <v>0</v>
      </c>
      <c r="AY102" s="640" t="e">
        <f t="shared" si="59"/>
        <v>#N/A</v>
      </c>
      <c r="AZ102" s="673" t="e">
        <f t="shared" si="46"/>
        <v>#N/A</v>
      </c>
      <c r="BA102" s="639" t="e">
        <f t="shared" si="47"/>
        <v>#N/A</v>
      </c>
      <c r="BG102" s="639">
        <f t="shared" si="60"/>
        <v>0</v>
      </c>
      <c r="BH102" s="683">
        <f t="shared" si="61"/>
        <v>0</v>
      </c>
      <c r="BI102" s="683">
        <f t="shared" si="62"/>
        <v>0</v>
      </c>
      <c r="BJ102" s="641" t="e">
        <f t="shared" si="63"/>
        <v>#N/A</v>
      </c>
      <c r="BK102" s="641" t="e">
        <f t="shared" si="64"/>
        <v>#N/A</v>
      </c>
      <c r="BL102" s="641" t="e">
        <f t="shared" si="65"/>
        <v>#N/A</v>
      </c>
      <c r="BM102" s="684" t="e">
        <f t="shared" si="66"/>
        <v>#N/A</v>
      </c>
      <c r="BO102" s="682" t="e">
        <f>CONCATENATE(Z102," ",LOOKUP(D102,'f-travail'!A:A,'f-travail'!F:F))</f>
        <v>#N/A</v>
      </c>
      <c r="BP102" s="669" t="e">
        <f t="shared" si="53"/>
        <v>#N/A</v>
      </c>
    </row>
    <row r="103" spans="1:68">
      <c r="A103" s="636">
        <f t="shared" si="67"/>
        <v>102</v>
      </c>
      <c r="B103" s="637"/>
      <c r="C103" s="637"/>
      <c r="D103" s="652"/>
      <c r="E103" s="679" t="e">
        <f>LOOKUP(D103,'f-travail'!A:A,'f-travail'!B:B)</f>
        <v>#N/A</v>
      </c>
      <c r="F103" s="650"/>
      <c r="G103" s="650"/>
      <c r="H103" s="653"/>
      <c r="I103" s="653"/>
      <c r="J103" s="654"/>
      <c r="K103" s="650"/>
      <c r="L103" s="650"/>
      <c r="M103" s="650">
        <v>0</v>
      </c>
      <c r="N103" s="654"/>
      <c r="O103" s="654"/>
      <c r="P103" s="654"/>
      <c r="Q103" s="654"/>
      <c r="R103" s="676"/>
      <c r="S103" s="654"/>
      <c r="T103" s="675"/>
      <c r="U103" s="675"/>
      <c r="V103" s="670" t="e">
        <f>LOOKUP(D103,'f-travail'!A:A,'f-travail'!E:E)</f>
        <v>#N/A</v>
      </c>
      <c r="W103" s="670" t="e">
        <f>VLOOKUP(V103,جرقمإستدلالي,'f-travail'!$AD$4+1,FALSE)</f>
        <v>#N/A</v>
      </c>
      <c r="X103" s="671" t="e">
        <f t="shared" si="37"/>
        <v>#N/A</v>
      </c>
      <c r="Y103" s="671">
        <f>IF(G103="مدير ولائي",(HLOOKUP(I103,جدروظعليا,'f-travail'!$AT$3+1,FALSE)-3200),0)</f>
        <v>0</v>
      </c>
      <c r="Z103" s="672" t="str">
        <f t="shared" si="54"/>
        <v/>
      </c>
      <c r="AA103" s="671">
        <f t="shared" si="55"/>
        <v>0</v>
      </c>
      <c r="AB103" s="677" t="b">
        <f t="shared" si="38"/>
        <v>0</v>
      </c>
      <c r="AC103" s="678">
        <f t="shared" si="56"/>
        <v>0</v>
      </c>
      <c r="AD103" s="673"/>
      <c r="AE103" s="678">
        <f t="shared" si="40"/>
        <v>0</v>
      </c>
      <c r="AF103" s="678" t="e">
        <f t="shared" si="41"/>
        <v>#N/A</v>
      </c>
      <c r="AG103" s="678" t="e">
        <f t="shared" si="42"/>
        <v>#N/A</v>
      </c>
      <c r="AH103" s="673">
        <f t="shared" si="57"/>
        <v>0</v>
      </c>
      <c r="AI103" s="674" t="e">
        <f>IF(G103="مدير ولائي",(11000*35%),LOOKUP(D103,'f-travail'!A:A,'f-travail'!I:I))</f>
        <v>#N/A</v>
      </c>
      <c r="AJ103" s="673" t="e">
        <f>IF(G103="مدير ولائي",((W103+X103)*45)*80%,IF(V103&lt;8,0,IF(F103="إليزي",(LOOKUP(D103,'f-travail'!A:A,'f-travail'!O:O))*(AF103+AG103),LOOKUP(D103,'f-travail'!A:A,'f-travail'!P:P)*(AF103+AG103))))</f>
        <v>#N/A</v>
      </c>
      <c r="AK103" s="673" t="e">
        <f>IF(G103="مدير ولائي",0,LOOKUP(D103,'f-travail'!A:A,'f-travail'!Q:Q))</f>
        <v>#N/A</v>
      </c>
      <c r="AL103" s="673" t="e">
        <f>IF(G103="مدير ولائي",0,LOOKUP(D103,'f-travail'!A:A,'f-travail'!R:R)*(AF103+AG103))</f>
        <v>#N/A</v>
      </c>
      <c r="AM103" s="673" t="e">
        <f>IF(G103="مدير ولائي",0,LOOKUP(D103,'f-travail'!A:A,'f-travail'!S:S)*(AF103+AG103))</f>
        <v>#N/A</v>
      </c>
      <c r="AN103" s="673" t="e">
        <f>IF(G103="مدير ولائي",0,LOOKUP(D103,'f-travail'!A:A,'f-travail'!T:T)*(AF103+AG103))</f>
        <v>#N/A</v>
      </c>
      <c r="AO103" s="673" t="e">
        <f>IF(G103="مدير ولائي",0,LOOKUP(D103,'f-travail'!A:A,'f-travail'!U:U)*(AF103+AG103))</f>
        <v>#N/A</v>
      </c>
      <c r="AP103" s="673" t="e">
        <f>IF(G103="مدير ولائي",0,LOOKUP(D103,'f-travail'!A:A,'f-travail'!V:V)*(AF103+AG103))</f>
        <v>#N/A</v>
      </c>
      <c r="AQ103" s="673" t="e">
        <f>IF(G103="مدير ولائي",0,LOOKUP(D103,'f-travail'!A:A,'f-travail'!W:W)*(AF103+AG103))</f>
        <v>#N/A</v>
      </c>
      <c r="AR103" s="673">
        <f t="shared" si="58"/>
        <v>0</v>
      </c>
      <c r="AS103" s="673" t="e">
        <f>IF(G103="مدير ولائي",0,LOOKUP(D103,'f-travail'!A:A,'f-travail'!X:X)*(AF103+AG103))</f>
        <v>#N/A</v>
      </c>
      <c r="AT103" s="673" t="e">
        <f>IF(G103="مدير ولائي",0,LOOKUP(D103,'f-travail'!Y:Y,'f-travail'!R:R)*(AF103+AG103))</f>
        <v>#N/A</v>
      </c>
      <c r="AU103" s="673">
        <f t="shared" si="43"/>
        <v>0</v>
      </c>
      <c r="AV103" s="673">
        <f t="shared" si="44"/>
        <v>0</v>
      </c>
      <c r="AW103" s="673">
        <f t="shared" si="45"/>
        <v>0</v>
      </c>
      <c r="AY103" s="640" t="e">
        <f t="shared" si="59"/>
        <v>#N/A</v>
      </c>
      <c r="AZ103" s="673" t="e">
        <f t="shared" si="46"/>
        <v>#N/A</v>
      </c>
      <c r="BA103" s="639" t="e">
        <f t="shared" si="47"/>
        <v>#N/A</v>
      </c>
      <c r="BG103" s="639">
        <f t="shared" si="60"/>
        <v>0</v>
      </c>
      <c r="BH103" s="683">
        <f t="shared" si="61"/>
        <v>0</v>
      </c>
      <c r="BI103" s="683">
        <f t="shared" si="62"/>
        <v>0</v>
      </c>
      <c r="BJ103" s="641" t="e">
        <f t="shared" si="63"/>
        <v>#N/A</v>
      </c>
      <c r="BK103" s="641" t="e">
        <f t="shared" si="64"/>
        <v>#N/A</v>
      </c>
      <c r="BL103" s="641" t="e">
        <f t="shared" si="65"/>
        <v>#N/A</v>
      </c>
      <c r="BM103" s="684" t="e">
        <f t="shared" si="66"/>
        <v>#N/A</v>
      </c>
      <c r="BO103" s="682" t="e">
        <f>CONCATENATE(Z103," ",LOOKUP(D103,'f-travail'!A:A,'f-travail'!F:F))</f>
        <v>#N/A</v>
      </c>
      <c r="BP103" s="669" t="e">
        <f t="shared" si="53"/>
        <v>#N/A</v>
      </c>
    </row>
    <row r="104" spans="1:68">
      <c r="A104" s="636">
        <f t="shared" si="67"/>
        <v>103</v>
      </c>
      <c r="B104" s="637"/>
      <c r="C104" s="637"/>
      <c r="D104" s="652"/>
      <c r="E104" s="679" t="e">
        <f>LOOKUP(D104,'f-travail'!A:A,'f-travail'!B:B)</f>
        <v>#N/A</v>
      </c>
      <c r="F104" s="650"/>
      <c r="G104" s="650"/>
      <c r="H104" s="653"/>
      <c r="I104" s="653"/>
      <c r="J104" s="654"/>
      <c r="K104" s="650"/>
      <c r="L104" s="650"/>
      <c r="M104" s="650">
        <v>0</v>
      </c>
      <c r="N104" s="654"/>
      <c r="O104" s="654"/>
      <c r="P104" s="654"/>
      <c r="Q104" s="654"/>
      <c r="R104" s="676"/>
      <c r="S104" s="654"/>
      <c r="T104" s="675"/>
      <c r="U104" s="675"/>
      <c r="V104" s="670" t="e">
        <f>LOOKUP(D104,'f-travail'!A:A,'f-travail'!E:E)</f>
        <v>#N/A</v>
      </c>
      <c r="W104" s="670" t="e">
        <f>VLOOKUP(V104,جرقمإستدلالي,'f-travail'!$AD$4+1,FALSE)</f>
        <v>#N/A</v>
      </c>
      <c r="X104" s="671" t="e">
        <f t="shared" si="37"/>
        <v>#N/A</v>
      </c>
      <c r="Y104" s="671">
        <f>IF(G104="مدير ولائي",(HLOOKUP(I104,جدروظعليا,'f-travail'!$AT$3+1,FALSE)-3200),0)</f>
        <v>0</v>
      </c>
      <c r="Z104" s="672" t="str">
        <f t="shared" si="54"/>
        <v/>
      </c>
      <c r="AA104" s="671">
        <f t="shared" si="55"/>
        <v>0</v>
      </c>
      <c r="AB104" s="677" t="b">
        <f t="shared" si="38"/>
        <v>0</v>
      </c>
      <c r="AC104" s="678">
        <f t="shared" si="56"/>
        <v>0</v>
      </c>
      <c r="AD104" s="673"/>
      <c r="AE104" s="678">
        <f t="shared" si="40"/>
        <v>0</v>
      </c>
      <c r="AF104" s="678" t="e">
        <f t="shared" si="41"/>
        <v>#N/A</v>
      </c>
      <c r="AG104" s="678" t="e">
        <f t="shared" si="42"/>
        <v>#N/A</v>
      </c>
      <c r="AH104" s="673">
        <f t="shared" si="57"/>
        <v>0</v>
      </c>
      <c r="AI104" s="674" t="e">
        <f>IF(G104="مدير ولائي",(11000*35%),LOOKUP(D104,'f-travail'!A:A,'f-travail'!I:I))</f>
        <v>#N/A</v>
      </c>
      <c r="AJ104" s="673" t="e">
        <f>IF(G104="مدير ولائي",((W104+X104)*45)*80%,IF(V104&lt;8,0,IF(F104="إليزي",(LOOKUP(D104,'f-travail'!A:A,'f-travail'!O:O))*(AF104+AG104),LOOKUP(D104,'f-travail'!A:A,'f-travail'!P:P)*(AF104+AG104))))</f>
        <v>#N/A</v>
      </c>
      <c r="AK104" s="673" t="e">
        <f>IF(G104="مدير ولائي",0,LOOKUP(D104,'f-travail'!A:A,'f-travail'!Q:Q))</f>
        <v>#N/A</v>
      </c>
      <c r="AL104" s="673" t="e">
        <f>IF(G104="مدير ولائي",0,LOOKUP(D104,'f-travail'!A:A,'f-travail'!R:R)*(AF104+AG104))</f>
        <v>#N/A</v>
      </c>
      <c r="AM104" s="673" t="e">
        <f>IF(G104="مدير ولائي",0,LOOKUP(D104,'f-travail'!A:A,'f-travail'!S:S)*(AF104+AG104))</f>
        <v>#N/A</v>
      </c>
      <c r="AN104" s="673" t="e">
        <f>IF(G104="مدير ولائي",0,LOOKUP(D104,'f-travail'!A:A,'f-travail'!T:T)*(AF104+AG104))</f>
        <v>#N/A</v>
      </c>
      <c r="AO104" s="673" t="e">
        <f>IF(G104="مدير ولائي",0,LOOKUP(D104,'f-travail'!A:A,'f-travail'!U:U)*(AF104+AG104))</f>
        <v>#N/A</v>
      </c>
      <c r="AP104" s="673" t="e">
        <f>IF(G104="مدير ولائي",0,LOOKUP(D104,'f-travail'!A:A,'f-travail'!V:V)*(AF104+AG104))</f>
        <v>#N/A</v>
      </c>
      <c r="AQ104" s="673" t="e">
        <f>IF(G104="مدير ولائي",0,LOOKUP(D104,'f-travail'!A:A,'f-travail'!W:W)*(AF104+AG104))</f>
        <v>#N/A</v>
      </c>
      <c r="AR104" s="673">
        <f t="shared" si="58"/>
        <v>0</v>
      </c>
      <c r="AS104" s="673" t="e">
        <f>IF(G104="مدير ولائي",0,LOOKUP(D104,'f-travail'!A:A,'f-travail'!X:X)*(AF104+AG104))</f>
        <v>#N/A</v>
      </c>
      <c r="AT104" s="673" t="e">
        <f>IF(G104="مدير ولائي",0,LOOKUP(D104,'f-travail'!Y:Y,'f-travail'!R:R)*(AF104+AG104))</f>
        <v>#N/A</v>
      </c>
      <c r="AU104" s="673">
        <f t="shared" si="43"/>
        <v>0</v>
      </c>
      <c r="AV104" s="673">
        <f t="shared" si="44"/>
        <v>0</v>
      </c>
      <c r="AW104" s="673">
        <f t="shared" si="45"/>
        <v>0</v>
      </c>
      <c r="AY104" s="640" t="e">
        <f t="shared" si="59"/>
        <v>#N/A</v>
      </c>
      <c r="AZ104" s="673" t="e">
        <f t="shared" si="46"/>
        <v>#N/A</v>
      </c>
      <c r="BA104" s="639" t="e">
        <f t="shared" si="47"/>
        <v>#N/A</v>
      </c>
      <c r="BG104" s="639">
        <f t="shared" si="60"/>
        <v>0</v>
      </c>
      <c r="BH104" s="683">
        <f t="shared" si="61"/>
        <v>0</v>
      </c>
      <c r="BI104" s="683">
        <f t="shared" si="62"/>
        <v>0</v>
      </c>
      <c r="BJ104" s="641" t="e">
        <f t="shared" si="63"/>
        <v>#N/A</v>
      </c>
      <c r="BK104" s="641" t="e">
        <f t="shared" si="64"/>
        <v>#N/A</v>
      </c>
      <c r="BL104" s="641" t="e">
        <f t="shared" si="65"/>
        <v>#N/A</v>
      </c>
      <c r="BM104" s="684" t="e">
        <f t="shared" si="66"/>
        <v>#N/A</v>
      </c>
      <c r="BO104" s="682" t="e">
        <f>CONCATENATE(Z104," ",LOOKUP(D104,'f-travail'!A:A,'f-travail'!F:F))</f>
        <v>#N/A</v>
      </c>
      <c r="BP104" s="669" t="e">
        <f t="shared" si="53"/>
        <v>#N/A</v>
      </c>
    </row>
    <row r="105" spans="1:68">
      <c r="A105" s="636">
        <f t="shared" si="67"/>
        <v>104</v>
      </c>
      <c r="B105" s="637"/>
      <c r="C105" s="637"/>
      <c r="D105" s="652"/>
      <c r="E105" s="679" t="e">
        <f>LOOKUP(D105,'f-travail'!A:A,'f-travail'!B:B)</f>
        <v>#N/A</v>
      </c>
      <c r="F105" s="650"/>
      <c r="G105" s="650"/>
      <c r="H105" s="653"/>
      <c r="I105" s="653"/>
      <c r="J105" s="654"/>
      <c r="K105" s="650"/>
      <c r="L105" s="650"/>
      <c r="M105" s="650">
        <v>0</v>
      </c>
      <c r="N105" s="654"/>
      <c r="O105" s="654"/>
      <c r="P105" s="654"/>
      <c r="Q105" s="654"/>
      <c r="R105" s="676"/>
      <c r="S105" s="654"/>
      <c r="T105" s="675"/>
      <c r="U105" s="675"/>
      <c r="V105" s="670" t="e">
        <f>LOOKUP(D105,'f-travail'!A:A,'f-travail'!E:E)</f>
        <v>#N/A</v>
      </c>
      <c r="W105" s="670" t="e">
        <f>VLOOKUP(V105,جرقمإستدلالي,'f-travail'!$AD$4+1,FALSE)</f>
        <v>#N/A</v>
      </c>
      <c r="X105" s="671" t="e">
        <f t="shared" si="37"/>
        <v>#N/A</v>
      </c>
      <c r="Y105" s="671">
        <f>IF(G105="مدير ولائي",(HLOOKUP(I105,جدروظعليا,'f-travail'!$AT$3+1,FALSE)-3200),0)</f>
        <v>0</v>
      </c>
      <c r="Z105" s="672" t="str">
        <f t="shared" si="54"/>
        <v/>
      </c>
      <c r="AA105" s="671">
        <f t="shared" si="55"/>
        <v>0</v>
      </c>
      <c r="AB105" s="677" t="b">
        <f t="shared" si="38"/>
        <v>0</v>
      </c>
      <c r="AC105" s="678">
        <f t="shared" si="56"/>
        <v>0</v>
      </c>
      <c r="AD105" s="673"/>
      <c r="AE105" s="678">
        <f t="shared" si="40"/>
        <v>0</v>
      </c>
      <c r="AF105" s="678" t="e">
        <f t="shared" si="41"/>
        <v>#N/A</v>
      </c>
      <c r="AG105" s="678" t="e">
        <f t="shared" si="42"/>
        <v>#N/A</v>
      </c>
      <c r="AH105" s="673">
        <f t="shared" si="57"/>
        <v>0</v>
      </c>
      <c r="AI105" s="674" t="e">
        <f>IF(G105="مدير ولائي",(11000*35%),LOOKUP(D105,'f-travail'!A:A,'f-travail'!I:I))</f>
        <v>#N/A</v>
      </c>
      <c r="AJ105" s="673" t="e">
        <f>IF(G105="مدير ولائي",((W105+X105)*45)*80%,IF(V105&lt;8,0,IF(F105="إليزي",(LOOKUP(D105,'f-travail'!A:A,'f-travail'!O:O))*(AF105+AG105),LOOKUP(D105,'f-travail'!A:A,'f-travail'!P:P)*(AF105+AG105))))</f>
        <v>#N/A</v>
      </c>
      <c r="AK105" s="673" t="e">
        <f>IF(G105="مدير ولائي",0,LOOKUP(D105,'f-travail'!A:A,'f-travail'!Q:Q))</f>
        <v>#N/A</v>
      </c>
      <c r="AL105" s="673" t="e">
        <f>IF(G105="مدير ولائي",0,LOOKUP(D105,'f-travail'!A:A,'f-travail'!R:R)*(AF105+AG105))</f>
        <v>#N/A</v>
      </c>
      <c r="AM105" s="673" t="e">
        <f>IF(G105="مدير ولائي",0,LOOKUP(D105,'f-travail'!A:A,'f-travail'!S:S)*(AF105+AG105))</f>
        <v>#N/A</v>
      </c>
      <c r="AN105" s="673" t="e">
        <f>IF(G105="مدير ولائي",0,LOOKUP(D105,'f-travail'!A:A,'f-travail'!T:T)*(AF105+AG105))</f>
        <v>#N/A</v>
      </c>
      <c r="AO105" s="673" t="e">
        <f>IF(G105="مدير ولائي",0,LOOKUP(D105,'f-travail'!A:A,'f-travail'!U:U)*(AF105+AG105))</f>
        <v>#N/A</v>
      </c>
      <c r="AP105" s="673" t="e">
        <f>IF(G105="مدير ولائي",0,LOOKUP(D105,'f-travail'!A:A,'f-travail'!V:V)*(AF105+AG105))</f>
        <v>#N/A</v>
      </c>
      <c r="AQ105" s="673" t="e">
        <f>IF(G105="مدير ولائي",0,LOOKUP(D105,'f-travail'!A:A,'f-travail'!W:W)*(AF105+AG105))</f>
        <v>#N/A</v>
      </c>
      <c r="AR105" s="673">
        <f t="shared" si="58"/>
        <v>0</v>
      </c>
      <c r="AS105" s="673" t="e">
        <f>IF(G105="مدير ولائي",0,LOOKUP(D105,'f-travail'!A:A,'f-travail'!X:X)*(AF105+AG105))</f>
        <v>#N/A</v>
      </c>
      <c r="AT105" s="673" t="e">
        <f>IF(G105="مدير ولائي",0,LOOKUP(D105,'f-travail'!Y:Y,'f-travail'!R:R)*(AF105+AG105))</f>
        <v>#N/A</v>
      </c>
      <c r="AU105" s="673">
        <f t="shared" si="43"/>
        <v>0</v>
      </c>
      <c r="AV105" s="673">
        <f t="shared" si="44"/>
        <v>0</v>
      </c>
      <c r="AW105" s="673">
        <f t="shared" si="45"/>
        <v>0</v>
      </c>
      <c r="AY105" s="640" t="e">
        <f t="shared" si="59"/>
        <v>#N/A</v>
      </c>
      <c r="AZ105" s="673" t="e">
        <f t="shared" si="46"/>
        <v>#N/A</v>
      </c>
      <c r="BA105" s="639" t="e">
        <f t="shared" si="47"/>
        <v>#N/A</v>
      </c>
      <c r="BG105" s="639">
        <f t="shared" si="60"/>
        <v>0</v>
      </c>
      <c r="BH105" s="683">
        <f t="shared" si="61"/>
        <v>0</v>
      </c>
      <c r="BI105" s="683">
        <f t="shared" si="62"/>
        <v>0</v>
      </c>
      <c r="BJ105" s="641" t="e">
        <f t="shared" si="63"/>
        <v>#N/A</v>
      </c>
      <c r="BK105" s="641" t="e">
        <f t="shared" si="64"/>
        <v>#N/A</v>
      </c>
      <c r="BL105" s="641" t="e">
        <f t="shared" si="65"/>
        <v>#N/A</v>
      </c>
      <c r="BM105" s="684" t="e">
        <f t="shared" si="66"/>
        <v>#N/A</v>
      </c>
      <c r="BO105" s="682" t="e">
        <f>CONCATENATE(Z105," ",LOOKUP(D105,'f-travail'!A:A,'f-travail'!F:F))</f>
        <v>#N/A</v>
      </c>
      <c r="BP105" s="669" t="e">
        <f t="shared" si="53"/>
        <v>#N/A</v>
      </c>
    </row>
    <row r="106" spans="1:68">
      <c r="A106" s="636">
        <f t="shared" si="67"/>
        <v>105</v>
      </c>
      <c r="B106" s="637"/>
      <c r="C106" s="637"/>
      <c r="D106" s="652"/>
      <c r="E106" s="679" t="e">
        <f>LOOKUP(D106,'f-travail'!A:A,'f-travail'!B:B)</f>
        <v>#N/A</v>
      </c>
      <c r="F106" s="650"/>
      <c r="G106" s="650"/>
      <c r="H106" s="653"/>
      <c r="I106" s="653"/>
      <c r="J106" s="654"/>
      <c r="K106" s="650"/>
      <c r="L106" s="650"/>
      <c r="M106" s="650">
        <v>0</v>
      </c>
      <c r="N106" s="654"/>
      <c r="O106" s="654"/>
      <c r="P106" s="654"/>
      <c r="Q106" s="654"/>
      <c r="R106" s="676"/>
      <c r="S106" s="654"/>
      <c r="T106" s="675"/>
      <c r="U106" s="675"/>
      <c r="V106" s="670" t="e">
        <f>LOOKUP(D106,'f-travail'!A:A,'f-travail'!E:E)</f>
        <v>#N/A</v>
      </c>
      <c r="W106" s="670" t="e">
        <f>VLOOKUP(V106,جرقمإستدلالي,'f-travail'!$AD$4+1,FALSE)</f>
        <v>#N/A</v>
      </c>
      <c r="X106" s="671" t="e">
        <f t="shared" si="37"/>
        <v>#N/A</v>
      </c>
      <c r="Y106" s="671">
        <f>IF(G106="مدير ولائي",(HLOOKUP(I106,جدروظعليا,'f-travail'!$AT$3+1,FALSE)-3200),0)</f>
        <v>0</v>
      </c>
      <c r="Z106" s="672" t="str">
        <f t="shared" si="54"/>
        <v/>
      </c>
      <c r="AA106" s="671">
        <f t="shared" si="55"/>
        <v>0</v>
      </c>
      <c r="AB106" s="677" t="b">
        <f t="shared" si="38"/>
        <v>0</v>
      </c>
      <c r="AC106" s="678">
        <f t="shared" si="56"/>
        <v>0</v>
      </c>
      <c r="AD106" s="673"/>
      <c r="AE106" s="678">
        <f t="shared" si="40"/>
        <v>0</v>
      </c>
      <c r="AF106" s="678" t="e">
        <f t="shared" si="41"/>
        <v>#N/A</v>
      </c>
      <c r="AG106" s="678" t="e">
        <f t="shared" si="42"/>
        <v>#N/A</v>
      </c>
      <c r="AH106" s="673">
        <f t="shared" si="57"/>
        <v>0</v>
      </c>
      <c r="AI106" s="674" t="e">
        <f>IF(G106="مدير ولائي",(11000*35%),LOOKUP(D106,'f-travail'!A:A,'f-travail'!I:I))</f>
        <v>#N/A</v>
      </c>
      <c r="AJ106" s="673" t="e">
        <f>IF(G106="مدير ولائي",((W106+X106)*45)*80%,IF(V106&lt;8,0,IF(F106="إليزي",(LOOKUP(D106,'f-travail'!A:A,'f-travail'!O:O))*(AF106+AG106),LOOKUP(D106,'f-travail'!A:A,'f-travail'!P:P)*(AF106+AG106))))</f>
        <v>#N/A</v>
      </c>
      <c r="AK106" s="673" t="e">
        <f>IF(G106="مدير ولائي",0,LOOKUP(D106,'f-travail'!A:A,'f-travail'!Q:Q))</f>
        <v>#N/A</v>
      </c>
      <c r="AL106" s="673" t="e">
        <f>IF(G106="مدير ولائي",0,LOOKUP(D106,'f-travail'!A:A,'f-travail'!R:R)*(AF106+AG106))</f>
        <v>#N/A</v>
      </c>
      <c r="AM106" s="673" t="e">
        <f>IF(G106="مدير ولائي",0,LOOKUP(D106,'f-travail'!A:A,'f-travail'!S:S)*(AF106+AG106))</f>
        <v>#N/A</v>
      </c>
      <c r="AN106" s="673" t="e">
        <f>IF(G106="مدير ولائي",0,LOOKUP(D106,'f-travail'!A:A,'f-travail'!T:T)*(AF106+AG106))</f>
        <v>#N/A</v>
      </c>
      <c r="AO106" s="673" t="e">
        <f>IF(G106="مدير ولائي",0,LOOKUP(D106,'f-travail'!A:A,'f-travail'!U:U)*(AF106+AG106))</f>
        <v>#N/A</v>
      </c>
      <c r="AP106" s="673" t="e">
        <f>IF(G106="مدير ولائي",0,LOOKUP(D106,'f-travail'!A:A,'f-travail'!V:V)*(AF106+AG106))</f>
        <v>#N/A</v>
      </c>
      <c r="AQ106" s="673" t="e">
        <f>IF(G106="مدير ولائي",0,LOOKUP(D106,'f-travail'!A:A,'f-travail'!W:W)*(AF106+AG106))</f>
        <v>#N/A</v>
      </c>
      <c r="AR106" s="673">
        <f t="shared" si="58"/>
        <v>0</v>
      </c>
      <c r="AS106" s="673" t="e">
        <f>IF(G106="مدير ولائي",0,LOOKUP(D106,'f-travail'!A:A,'f-travail'!X:X)*(AF106+AG106))</f>
        <v>#N/A</v>
      </c>
      <c r="AT106" s="673" t="e">
        <f>IF(G106="مدير ولائي",0,LOOKUP(D106,'f-travail'!Y:Y,'f-travail'!R:R)*(AF106+AG106))</f>
        <v>#N/A</v>
      </c>
      <c r="AU106" s="673">
        <f t="shared" si="43"/>
        <v>0</v>
      </c>
      <c r="AV106" s="673">
        <f t="shared" si="44"/>
        <v>0</v>
      </c>
      <c r="AW106" s="673">
        <f t="shared" si="45"/>
        <v>0</v>
      </c>
      <c r="AY106" s="640" t="e">
        <f t="shared" si="59"/>
        <v>#N/A</v>
      </c>
      <c r="AZ106" s="673" t="e">
        <f t="shared" si="46"/>
        <v>#N/A</v>
      </c>
      <c r="BA106" s="639" t="e">
        <f t="shared" si="47"/>
        <v>#N/A</v>
      </c>
      <c r="BG106" s="639">
        <f t="shared" si="60"/>
        <v>0</v>
      </c>
      <c r="BH106" s="683">
        <f t="shared" si="61"/>
        <v>0</v>
      </c>
      <c r="BI106" s="683">
        <f t="shared" si="62"/>
        <v>0</v>
      </c>
      <c r="BJ106" s="641" t="e">
        <f t="shared" si="63"/>
        <v>#N/A</v>
      </c>
      <c r="BK106" s="641" t="e">
        <f t="shared" si="64"/>
        <v>#N/A</v>
      </c>
      <c r="BL106" s="641" t="e">
        <f t="shared" si="65"/>
        <v>#N/A</v>
      </c>
      <c r="BM106" s="684" t="e">
        <f t="shared" si="66"/>
        <v>#N/A</v>
      </c>
      <c r="BO106" s="682" t="e">
        <f>CONCATENATE(Z106," ",LOOKUP(D106,'f-travail'!A:A,'f-travail'!F:F))</f>
        <v>#N/A</v>
      </c>
      <c r="BP106" s="669" t="e">
        <f t="shared" si="53"/>
        <v>#N/A</v>
      </c>
    </row>
    <row r="107" spans="1:68">
      <c r="A107" s="636">
        <f t="shared" si="67"/>
        <v>106</v>
      </c>
      <c r="B107" s="637"/>
      <c r="C107" s="637"/>
      <c r="D107" s="652"/>
      <c r="E107" s="679" t="e">
        <f>LOOKUP(D107,'f-travail'!A:A,'f-travail'!B:B)</f>
        <v>#N/A</v>
      </c>
      <c r="F107" s="650"/>
      <c r="G107" s="650"/>
      <c r="H107" s="653"/>
      <c r="I107" s="653"/>
      <c r="J107" s="654"/>
      <c r="K107" s="650"/>
      <c r="L107" s="650"/>
      <c r="M107" s="650">
        <v>0</v>
      </c>
      <c r="N107" s="654"/>
      <c r="O107" s="654"/>
      <c r="P107" s="654"/>
      <c r="Q107" s="654"/>
      <c r="R107" s="676"/>
      <c r="S107" s="654"/>
      <c r="T107" s="675"/>
      <c r="U107" s="675"/>
      <c r="V107" s="670" t="e">
        <f>LOOKUP(D107,'f-travail'!A:A,'f-travail'!E:E)</f>
        <v>#N/A</v>
      </c>
      <c r="W107" s="670" t="e">
        <f>VLOOKUP(V107,جرقمإستدلالي,'f-travail'!$AD$4+1,FALSE)</f>
        <v>#N/A</v>
      </c>
      <c r="X107" s="671" t="e">
        <f t="shared" si="37"/>
        <v>#N/A</v>
      </c>
      <c r="Y107" s="671">
        <f>IF(G107="مدير ولائي",(HLOOKUP(I107,جدروظعليا,'f-travail'!$AT$3+1,FALSE)-3200),0)</f>
        <v>0</v>
      </c>
      <c r="Z107" s="672" t="str">
        <f t="shared" si="54"/>
        <v/>
      </c>
      <c r="AA107" s="671">
        <f t="shared" si="55"/>
        <v>0</v>
      </c>
      <c r="AB107" s="677" t="b">
        <f t="shared" si="38"/>
        <v>0</v>
      </c>
      <c r="AC107" s="678">
        <f t="shared" si="56"/>
        <v>0</v>
      </c>
      <c r="AD107" s="673"/>
      <c r="AE107" s="678">
        <f t="shared" si="40"/>
        <v>0</v>
      </c>
      <c r="AF107" s="678" t="e">
        <f t="shared" si="41"/>
        <v>#N/A</v>
      </c>
      <c r="AG107" s="678" t="e">
        <f t="shared" si="42"/>
        <v>#N/A</v>
      </c>
      <c r="AH107" s="673">
        <f t="shared" si="57"/>
        <v>0</v>
      </c>
      <c r="AI107" s="674" t="e">
        <f>IF(G107="مدير ولائي",(11000*35%),LOOKUP(D107,'f-travail'!A:A,'f-travail'!I:I))</f>
        <v>#N/A</v>
      </c>
      <c r="AJ107" s="673" t="e">
        <f>IF(G107="مدير ولائي",((W107+X107)*45)*80%,IF(V107&lt;8,0,IF(F107="إليزي",(LOOKUP(D107,'f-travail'!A:A,'f-travail'!O:O))*(AF107+AG107),LOOKUP(D107,'f-travail'!A:A,'f-travail'!P:P)*(AF107+AG107))))</f>
        <v>#N/A</v>
      </c>
      <c r="AK107" s="673" t="e">
        <f>IF(G107="مدير ولائي",0,LOOKUP(D107,'f-travail'!A:A,'f-travail'!Q:Q))</f>
        <v>#N/A</v>
      </c>
      <c r="AL107" s="673" t="e">
        <f>IF(G107="مدير ولائي",0,LOOKUP(D107,'f-travail'!A:A,'f-travail'!R:R)*(AF107+AG107))</f>
        <v>#N/A</v>
      </c>
      <c r="AM107" s="673" t="e">
        <f>IF(G107="مدير ولائي",0,LOOKUP(D107,'f-travail'!A:A,'f-travail'!S:S)*(AF107+AG107))</f>
        <v>#N/A</v>
      </c>
      <c r="AN107" s="673" t="e">
        <f>IF(G107="مدير ولائي",0,LOOKUP(D107,'f-travail'!A:A,'f-travail'!T:T)*(AF107+AG107))</f>
        <v>#N/A</v>
      </c>
      <c r="AO107" s="673" t="e">
        <f>IF(G107="مدير ولائي",0,LOOKUP(D107,'f-travail'!A:A,'f-travail'!U:U)*(AF107+AG107))</f>
        <v>#N/A</v>
      </c>
      <c r="AP107" s="673" t="e">
        <f>IF(G107="مدير ولائي",0,LOOKUP(D107,'f-travail'!A:A,'f-travail'!V:V)*(AF107+AG107))</f>
        <v>#N/A</v>
      </c>
      <c r="AQ107" s="673" t="e">
        <f>IF(G107="مدير ولائي",0,LOOKUP(D107,'f-travail'!A:A,'f-travail'!W:W)*(AF107+AG107))</f>
        <v>#N/A</v>
      </c>
      <c r="AR107" s="673">
        <f t="shared" si="58"/>
        <v>0</v>
      </c>
      <c r="AS107" s="673" t="e">
        <f>IF(G107="مدير ولائي",0,LOOKUP(D107,'f-travail'!A:A,'f-travail'!X:X)*(AF107+AG107))</f>
        <v>#N/A</v>
      </c>
      <c r="AT107" s="673" t="e">
        <f>IF(G107="مدير ولائي",0,LOOKUP(D107,'f-travail'!Y:Y,'f-travail'!R:R)*(AF107+AG107))</f>
        <v>#N/A</v>
      </c>
      <c r="AU107" s="673">
        <f t="shared" si="43"/>
        <v>0</v>
      </c>
      <c r="AV107" s="673">
        <f t="shared" si="44"/>
        <v>0</v>
      </c>
      <c r="AW107" s="673">
        <f t="shared" si="45"/>
        <v>0</v>
      </c>
      <c r="AY107" s="640" t="e">
        <f t="shared" si="59"/>
        <v>#N/A</v>
      </c>
      <c r="AZ107" s="673" t="e">
        <f t="shared" si="46"/>
        <v>#N/A</v>
      </c>
      <c r="BA107" s="639" t="e">
        <f t="shared" si="47"/>
        <v>#N/A</v>
      </c>
      <c r="BG107" s="639">
        <f t="shared" si="60"/>
        <v>0</v>
      </c>
      <c r="BH107" s="683">
        <f t="shared" si="61"/>
        <v>0</v>
      </c>
      <c r="BI107" s="683">
        <f t="shared" si="62"/>
        <v>0</v>
      </c>
      <c r="BJ107" s="641" t="e">
        <f t="shared" si="63"/>
        <v>#N/A</v>
      </c>
      <c r="BK107" s="641" t="e">
        <f t="shared" si="64"/>
        <v>#N/A</v>
      </c>
      <c r="BL107" s="641" t="e">
        <f t="shared" si="65"/>
        <v>#N/A</v>
      </c>
      <c r="BM107" s="684" t="e">
        <f t="shared" si="66"/>
        <v>#N/A</v>
      </c>
      <c r="BO107" s="682" t="e">
        <f>CONCATENATE(Z107," ",LOOKUP(D107,'f-travail'!A:A,'f-travail'!F:F))</f>
        <v>#N/A</v>
      </c>
      <c r="BP107" s="669" t="e">
        <f t="shared" si="53"/>
        <v>#N/A</v>
      </c>
    </row>
    <row r="108" spans="1:68">
      <c r="A108" s="636">
        <f t="shared" si="67"/>
        <v>107</v>
      </c>
      <c r="B108" s="637"/>
      <c r="C108" s="637"/>
      <c r="D108" s="652"/>
      <c r="E108" s="679" t="e">
        <f>LOOKUP(D108,'f-travail'!A:A,'f-travail'!B:B)</f>
        <v>#N/A</v>
      </c>
      <c r="F108" s="650"/>
      <c r="G108" s="650"/>
      <c r="H108" s="653"/>
      <c r="I108" s="653"/>
      <c r="J108" s="654"/>
      <c r="K108" s="650"/>
      <c r="L108" s="650"/>
      <c r="M108" s="650">
        <v>0</v>
      </c>
      <c r="N108" s="654"/>
      <c r="O108" s="654"/>
      <c r="P108" s="654"/>
      <c r="Q108" s="654"/>
      <c r="R108" s="676"/>
      <c r="S108" s="654"/>
      <c r="T108" s="675"/>
      <c r="U108" s="675"/>
      <c r="V108" s="670" t="e">
        <f>LOOKUP(D108,'f-travail'!A:A,'f-travail'!E:E)</f>
        <v>#N/A</v>
      </c>
      <c r="W108" s="670" t="e">
        <f>VLOOKUP(V108,جرقمإستدلالي,'f-travail'!$AD$4+1,FALSE)</f>
        <v>#N/A</v>
      </c>
      <c r="X108" s="671" t="e">
        <f t="shared" si="37"/>
        <v>#N/A</v>
      </c>
      <c r="Y108" s="671">
        <f>IF(G108="مدير ولائي",(HLOOKUP(I108,جدروظعليا,'f-travail'!$AT$3+1,FALSE)-3200),0)</f>
        <v>0</v>
      </c>
      <c r="Z108" s="672" t="str">
        <f t="shared" si="54"/>
        <v/>
      </c>
      <c r="AA108" s="671">
        <f t="shared" si="55"/>
        <v>0</v>
      </c>
      <c r="AB108" s="677" t="b">
        <f t="shared" si="38"/>
        <v>0</v>
      </c>
      <c r="AC108" s="678">
        <f t="shared" si="56"/>
        <v>0</v>
      </c>
      <c r="AD108" s="673"/>
      <c r="AE108" s="678">
        <f t="shared" si="40"/>
        <v>0</v>
      </c>
      <c r="AF108" s="678" t="e">
        <f t="shared" si="41"/>
        <v>#N/A</v>
      </c>
      <c r="AG108" s="678" t="e">
        <f t="shared" si="42"/>
        <v>#N/A</v>
      </c>
      <c r="AH108" s="673">
        <f t="shared" si="57"/>
        <v>0</v>
      </c>
      <c r="AI108" s="674" t="e">
        <f>IF(G108="مدير ولائي",(11000*35%),LOOKUP(D108,'f-travail'!A:A,'f-travail'!I:I))</f>
        <v>#N/A</v>
      </c>
      <c r="AJ108" s="673" t="e">
        <f>IF(G108="مدير ولائي",((W108+X108)*45)*80%,IF(V108&lt;8,0,IF(F108="إليزي",(LOOKUP(D108,'f-travail'!A:A,'f-travail'!O:O))*(AF108+AG108),LOOKUP(D108,'f-travail'!A:A,'f-travail'!P:P)*(AF108+AG108))))</f>
        <v>#N/A</v>
      </c>
      <c r="AK108" s="673" t="e">
        <f>IF(G108="مدير ولائي",0,LOOKUP(D108,'f-travail'!A:A,'f-travail'!Q:Q))</f>
        <v>#N/A</v>
      </c>
      <c r="AL108" s="673" t="e">
        <f>IF(G108="مدير ولائي",0,LOOKUP(D108,'f-travail'!A:A,'f-travail'!R:R)*(AF108+AG108))</f>
        <v>#N/A</v>
      </c>
      <c r="AM108" s="673" t="e">
        <f>IF(G108="مدير ولائي",0,LOOKUP(D108,'f-travail'!A:A,'f-travail'!S:S)*(AF108+AG108))</f>
        <v>#N/A</v>
      </c>
      <c r="AN108" s="673" t="e">
        <f>IF(G108="مدير ولائي",0,LOOKUP(D108,'f-travail'!A:A,'f-travail'!T:T)*(AF108+AG108))</f>
        <v>#N/A</v>
      </c>
      <c r="AO108" s="673" t="e">
        <f>IF(G108="مدير ولائي",0,LOOKUP(D108,'f-travail'!A:A,'f-travail'!U:U)*(AF108+AG108))</f>
        <v>#N/A</v>
      </c>
      <c r="AP108" s="673" t="e">
        <f>IF(G108="مدير ولائي",0,LOOKUP(D108,'f-travail'!A:A,'f-travail'!V:V)*(AF108+AG108))</f>
        <v>#N/A</v>
      </c>
      <c r="AQ108" s="673" t="e">
        <f>IF(G108="مدير ولائي",0,LOOKUP(D108,'f-travail'!A:A,'f-travail'!W:W)*(AF108+AG108))</f>
        <v>#N/A</v>
      </c>
      <c r="AR108" s="673">
        <f t="shared" si="58"/>
        <v>0</v>
      </c>
      <c r="AS108" s="673" t="e">
        <f>IF(G108="مدير ولائي",0,LOOKUP(D108,'f-travail'!A:A,'f-travail'!X:X)*(AF108+AG108))</f>
        <v>#N/A</v>
      </c>
      <c r="AT108" s="673" t="e">
        <f>IF(G108="مدير ولائي",0,LOOKUP(D108,'f-travail'!Y:Y,'f-travail'!R:R)*(AF108+AG108))</f>
        <v>#N/A</v>
      </c>
      <c r="AU108" s="673">
        <f t="shared" si="43"/>
        <v>0</v>
      </c>
      <c r="AV108" s="673">
        <f t="shared" si="44"/>
        <v>0</v>
      </c>
      <c r="AW108" s="673">
        <f t="shared" si="45"/>
        <v>0</v>
      </c>
      <c r="AY108" s="640" t="e">
        <f t="shared" si="59"/>
        <v>#N/A</v>
      </c>
      <c r="AZ108" s="673" t="e">
        <f t="shared" si="46"/>
        <v>#N/A</v>
      </c>
      <c r="BA108" s="639" t="e">
        <f t="shared" si="47"/>
        <v>#N/A</v>
      </c>
      <c r="BG108" s="639">
        <f t="shared" si="60"/>
        <v>0</v>
      </c>
      <c r="BH108" s="683">
        <f t="shared" si="61"/>
        <v>0</v>
      </c>
      <c r="BI108" s="683">
        <f t="shared" si="62"/>
        <v>0</v>
      </c>
      <c r="BJ108" s="641" t="e">
        <f t="shared" si="63"/>
        <v>#N/A</v>
      </c>
      <c r="BK108" s="641" t="e">
        <f t="shared" si="64"/>
        <v>#N/A</v>
      </c>
      <c r="BL108" s="641" t="e">
        <f t="shared" si="65"/>
        <v>#N/A</v>
      </c>
      <c r="BM108" s="684" t="e">
        <f t="shared" si="66"/>
        <v>#N/A</v>
      </c>
      <c r="BO108" s="682" t="e">
        <f>CONCATENATE(Z108," ",LOOKUP(D108,'f-travail'!A:A,'f-travail'!F:F))</f>
        <v>#N/A</v>
      </c>
      <c r="BP108" s="669" t="e">
        <f t="shared" si="53"/>
        <v>#N/A</v>
      </c>
    </row>
    <row r="109" spans="1:68">
      <c r="A109" s="636">
        <f t="shared" si="67"/>
        <v>108</v>
      </c>
      <c r="B109" s="637"/>
      <c r="C109" s="637"/>
      <c r="D109" s="652"/>
      <c r="E109" s="679" t="e">
        <f>LOOKUP(D109,'f-travail'!A:A,'f-travail'!B:B)</f>
        <v>#N/A</v>
      </c>
      <c r="F109" s="650"/>
      <c r="G109" s="650"/>
      <c r="H109" s="653"/>
      <c r="I109" s="653"/>
      <c r="J109" s="654"/>
      <c r="K109" s="650"/>
      <c r="L109" s="650"/>
      <c r="M109" s="650">
        <v>0</v>
      </c>
      <c r="N109" s="654"/>
      <c r="O109" s="654"/>
      <c r="P109" s="654"/>
      <c r="Q109" s="654"/>
      <c r="R109" s="676"/>
      <c r="S109" s="654"/>
      <c r="T109" s="675"/>
      <c r="U109" s="675"/>
      <c r="V109" s="670" t="e">
        <f>LOOKUP(D109,'f-travail'!A:A,'f-travail'!E:E)</f>
        <v>#N/A</v>
      </c>
      <c r="W109" s="670" t="e">
        <f>VLOOKUP(V109,جرقمإستدلالي,'f-travail'!$AD$4+1,FALSE)</f>
        <v>#N/A</v>
      </c>
      <c r="X109" s="671" t="e">
        <f t="shared" si="37"/>
        <v>#N/A</v>
      </c>
      <c r="Y109" s="671">
        <f>IF(G109="مدير ولائي",(HLOOKUP(I109,جدروظعليا,'f-travail'!$AT$3+1,FALSE)-3200),0)</f>
        <v>0</v>
      </c>
      <c r="Z109" s="672" t="str">
        <f t="shared" si="54"/>
        <v/>
      </c>
      <c r="AA109" s="671">
        <f t="shared" si="55"/>
        <v>0</v>
      </c>
      <c r="AB109" s="677" t="b">
        <f t="shared" si="38"/>
        <v>0</v>
      </c>
      <c r="AC109" s="678">
        <f t="shared" si="56"/>
        <v>0</v>
      </c>
      <c r="AD109" s="673"/>
      <c r="AE109" s="678">
        <f t="shared" si="40"/>
        <v>0</v>
      </c>
      <c r="AF109" s="678" t="e">
        <f t="shared" si="41"/>
        <v>#N/A</v>
      </c>
      <c r="AG109" s="678" t="e">
        <f t="shared" si="42"/>
        <v>#N/A</v>
      </c>
      <c r="AH109" s="673">
        <f t="shared" si="57"/>
        <v>0</v>
      </c>
      <c r="AI109" s="674" t="e">
        <f>IF(G109="مدير ولائي",(11000*35%),LOOKUP(D109,'f-travail'!A:A,'f-travail'!I:I))</f>
        <v>#N/A</v>
      </c>
      <c r="AJ109" s="673" t="e">
        <f>IF(G109="مدير ولائي",((W109+X109)*45)*80%,IF(V109&lt;8,0,IF(F109="إليزي",(LOOKUP(D109,'f-travail'!A:A,'f-travail'!O:O))*(AF109+AG109),LOOKUP(D109,'f-travail'!A:A,'f-travail'!P:P)*(AF109+AG109))))</f>
        <v>#N/A</v>
      </c>
      <c r="AK109" s="673" t="e">
        <f>IF(G109="مدير ولائي",0,LOOKUP(D109,'f-travail'!A:A,'f-travail'!Q:Q))</f>
        <v>#N/A</v>
      </c>
      <c r="AL109" s="673" t="e">
        <f>IF(G109="مدير ولائي",0,LOOKUP(D109,'f-travail'!A:A,'f-travail'!R:R)*(AF109+AG109))</f>
        <v>#N/A</v>
      </c>
      <c r="AM109" s="673" t="e">
        <f>IF(G109="مدير ولائي",0,LOOKUP(D109,'f-travail'!A:A,'f-travail'!S:S)*(AF109+AG109))</f>
        <v>#N/A</v>
      </c>
      <c r="AN109" s="673" t="e">
        <f>IF(G109="مدير ولائي",0,LOOKUP(D109,'f-travail'!A:A,'f-travail'!T:T)*(AF109+AG109))</f>
        <v>#N/A</v>
      </c>
      <c r="AO109" s="673" t="e">
        <f>IF(G109="مدير ولائي",0,LOOKUP(D109,'f-travail'!A:A,'f-travail'!U:U)*(AF109+AG109))</f>
        <v>#N/A</v>
      </c>
      <c r="AP109" s="673" t="e">
        <f>IF(G109="مدير ولائي",0,LOOKUP(D109,'f-travail'!A:A,'f-travail'!V:V)*(AF109+AG109))</f>
        <v>#N/A</v>
      </c>
      <c r="AQ109" s="673" t="e">
        <f>IF(G109="مدير ولائي",0,LOOKUP(D109,'f-travail'!A:A,'f-travail'!W:W)*(AF109+AG109))</f>
        <v>#N/A</v>
      </c>
      <c r="AR109" s="673">
        <f t="shared" si="58"/>
        <v>0</v>
      </c>
      <c r="AS109" s="673" t="e">
        <f>IF(G109="مدير ولائي",0,LOOKUP(D109,'f-travail'!A:A,'f-travail'!X:X)*(AF109+AG109))</f>
        <v>#N/A</v>
      </c>
      <c r="AT109" s="673" t="e">
        <f>IF(G109="مدير ولائي",0,LOOKUP(D109,'f-travail'!Y:Y,'f-travail'!R:R)*(AF109+AG109))</f>
        <v>#N/A</v>
      </c>
      <c r="AU109" s="673">
        <f t="shared" si="43"/>
        <v>0</v>
      </c>
      <c r="AV109" s="673">
        <f t="shared" si="44"/>
        <v>0</v>
      </c>
      <c r="AW109" s="673">
        <f t="shared" si="45"/>
        <v>0</v>
      </c>
      <c r="AY109" s="640" t="e">
        <f t="shared" si="59"/>
        <v>#N/A</v>
      </c>
      <c r="AZ109" s="673" t="e">
        <f t="shared" si="46"/>
        <v>#N/A</v>
      </c>
      <c r="BA109" s="639" t="e">
        <f t="shared" si="47"/>
        <v>#N/A</v>
      </c>
      <c r="BG109" s="639">
        <f t="shared" si="60"/>
        <v>0</v>
      </c>
      <c r="BH109" s="683">
        <f t="shared" si="61"/>
        <v>0</v>
      </c>
      <c r="BI109" s="683">
        <f t="shared" si="62"/>
        <v>0</v>
      </c>
      <c r="BJ109" s="641" t="e">
        <f t="shared" si="63"/>
        <v>#N/A</v>
      </c>
      <c r="BK109" s="641" t="e">
        <f t="shared" si="64"/>
        <v>#N/A</v>
      </c>
      <c r="BL109" s="641" t="e">
        <f t="shared" si="65"/>
        <v>#N/A</v>
      </c>
      <c r="BM109" s="684" t="e">
        <f t="shared" si="66"/>
        <v>#N/A</v>
      </c>
      <c r="BO109" s="682" t="e">
        <f>CONCATENATE(Z109," ",LOOKUP(D109,'f-travail'!A:A,'f-travail'!F:F))</f>
        <v>#N/A</v>
      </c>
      <c r="BP109" s="669" t="e">
        <f t="shared" si="53"/>
        <v>#N/A</v>
      </c>
    </row>
    <row r="110" spans="1:68">
      <c r="A110" s="636">
        <f t="shared" si="67"/>
        <v>109</v>
      </c>
      <c r="B110" s="637"/>
      <c r="C110" s="637"/>
      <c r="D110" s="652"/>
      <c r="E110" s="679" t="e">
        <f>LOOKUP(D110,'f-travail'!A:A,'f-travail'!B:B)</f>
        <v>#N/A</v>
      </c>
      <c r="F110" s="650"/>
      <c r="G110" s="650"/>
      <c r="H110" s="653"/>
      <c r="I110" s="653"/>
      <c r="J110" s="654"/>
      <c r="K110" s="650"/>
      <c r="L110" s="650"/>
      <c r="M110" s="650">
        <v>0</v>
      </c>
      <c r="N110" s="654"/>
      <c r="O110" s="654"/>
      <c r="P110" s="654"/>
      <c r="Q110" s="654"/>
      <c r="R110" s="676"/>
      <c r="S110" s="654"/>
      <c r="T110" s="675"/>
      <c r="U110" s="675"/>
      <c r="V110" s="670" t="e">
        <f>LOOKUP(D110,'f-travail'!A:A,'f-travail'!E:E)</f>
        <v>#N/A</v>
      </c>
      <c r="W110" s="670" t="e">
        <f>VLOOKUP(V110,جرقمإستدلالي,'f-travail'!$AD$4+1,FALSE)</f>
        <v>#N/A</v>
      </c>
      <c r="X110" s="671" t="e">
        <f t="shared" si="37"/>
        <v>#N/A</v>
      </c>
      <c r="Y110" s="671">
        <f>IF(G110="مدير ولائي",(HLOOKUP(I110,جدروظعليا,'f-travail'!$AT$3+1,FALSE)-3200),0)</f>
        <v>0</v>
      </c>
      <c r="Z110" s="672" t="str">
        <f t="shared" si="54"/>
        <v/>
      </c>
      <c r="AA110" s="671">
        <f t="shared" si="55"/>
        <v>0</v>
      </c>
      <c r="AB110" s="677" t="b">
        <f t="shared" si="38"/>
        <v>0</v>
      </c>
      <c r="AC110" s="678">
        <f t="shared" si="56"/>
        <v>0</v>
      </c>
      <c r="AD110" s="673"/>
      <c r="AE110" s="678">
        <f t="shared" si="40"/>
        <v>0</v>
      </c>
      <c r="AF110" s="678" t="e">
        <f t="shared" si="41"/>
        <v>#N/A</v>
      </c>
      <c r="AG110" s="678" t="e">
        <f t="shared" si="42"/>
        <v>#N/A</v>
      </c>
      <c r="AH110" s="673">
        <f t="shared" si="57"/>
        <v>0</v>
      </c>
      <c r="AI110" s="674" t="e">
        <f>IF(G110="مدير ولائي",(11000*35%),LOOKUP(D110,'f-travail'!A:A,'f-travail'!I:I))</f>
        <v>#N/A</v>
      </c>
      <c r="AJ110" s="673" t="e">
        <f>IF(G110="مدير ولائي",((W110+X110)*45)*80%,IF(V110&lt;8,0,IF(F110="إليزي",(LOOKUP(D110,'f-travail'!A:A,'f-travail'!O:O))*(AF110+AG110),LOOKUP(D110,'f-travail'!A:A,'f-travail'!P:P)*(AF110+AG110))))</f>
        <v>#N/A</v>
      </c>
      <c r="AK110" s="673" t="e">
        <f>IF(G110="مدير ولائي",0,LOOKUP(D110,'f-travail'!A:A,'f-travail'!Q:Q))</f>
        <v>#N/A</v>
      </c>
      <c r="AL110" s="673" t="e">
        <f>IF(G110="مدير ولائي",0,LOOKUP(D110,'f-travail'!A:A,'f-travail'!R:R)*(AF110+AG110))</f>
        <v>#N/A</v>
      </c>
      <c r="AM110" s="673" t="e">
        <f>IF(G110="مدير ولائي",0,LOOKUP(D110,'f-travail'!A:A,'f-travail'!S:S)*(AF110+AG110))</f>
        <v>#N/A</v>
      </c>
      <c r="AN110" s="673" t="e">
        <f>IF(G110="مدير ولائي",0,LOOKUP(D110,'f-travail'!A:A,'f-travail'!T:T)*(AF110+AG110))</f>
        <v>#N/A</v>
      </c>
      <c r="AO110" s="673" t="e">
        <f>IF(G110="مدير ولائي",0,LOOKUP(D110,'f-travail'!A:A,'f-travail'!U:U)*(AF110+AG110))</f>
        <v>#N/A</v>
      </c>
      <c r="AP110" s="673" t="e">
        <f>IF(G110="مدير ولائي",0,LOOKUP(D110,'f-travail'!A:A,'f-travail'!V:V)*(AF110+AG110))</f>
        <v>#N/A</v>
      </c>
      <c r="AQ110" s="673" t="e">
        <f>IF(G110="مدير ولائي",0,LOOKUP(D110,'f-travail'!A:A,'f-travail'!W:W)*(AF110+AG110))</f>
        <v>#N/A</v>
      </c>
      <c r="AR110" s="673">
        <f t="shared" si="58"/>
        <v>0</v>
      </c>
      <c r="AS110" s="673" t="e">
        <f>IF(G110="مدير ولائي",0,LOOKUP(D110,'f-travail'!A:A,'f-travail'!X:X)*(AF110+AG110))</f>
        <v>#N/A</v>
      </c>
      <c r="AT110" s="673" t="e">
        <f>IF(G110="مدير ولائي",0,LOOKUP(D110,'f-travail'!Y:Y,'f-travail'!R:R)*(AF110+AG110))</f>
        <v>#N/A</v>
      </c>
      <c r="AU110" s="673">
        <f t="shared" si="43"/>
        <v>0</v>
      </c>
      <c r="AV110" s="673">
        <f t="shared" si="44"/>
        <v>0</v>
      </c>
      <c r="AW110" s="673">
        <f t="shared" si="45"/>
        <v>0</v>
      </c>
      <c r="AY110" s="640" t="e">
        <f t="shared" si="59"/>
        <v>#N/A</v>
      </c>
      <c r="AZ110" s="673" t="e">
        <f t="shared" si="46"/>
        <v>#N/A</v>
      </c>
      <c r="BA110" s="639" t="e">
        <f t="shared" si="47"/>
        <v>#N/A</v>
      </c>
      <c r="BG110" s="639">
        <f t="shared" si="60"/>
        <v>0</v>
      </c>
      <c r="BH110" s="683">
        <f t="shared" si="61"/>
        <v>0</v>
      </c>
      <c r="BI110" s="683">
        <f t="shared" si="62"/>
        <v>0</v>
      </c>
      <c r="BJ110" s="641" t="e">
        <f t="shared" si="63"/>
        <v>#N/A</v>
      </c>
      <c r="BK110" s="641" t="e">
        <f t="shared" si="64"/>
        <v>#N/A</v>
      </c>
      <c r="BL110" s="641" t="e">
        <f t="shared" si="65"/>
        <v>#N/A</v>
      </c>
      <c r="BM110" s="684" t="e">
        <f t="shared" si="66"/>
        <v>#N/A</v>
      </c>
      <c r="BO110" s="682" t="e">
        <f>CONCATENATE(Z110," ",LOOKUP(D110,'f-travail'!A:A,'f-travail'!F:F))</f>
        <v>#N/A</v>
      </c>
      <c r="BP110" s="669" t="e">
        <f t="shared" si="53"/>
        <v>#N/A</v>
      </c>
    </row>
    <row r="111" spans="1:68">
      <c r="A111" s="636">
        <f t="shared" si="67"/>
        <v>110</v>
      </c>
      <c r="B111" s="637"/>
      <c r="C111" s="637"/>
      <c r="D111" s="652"/>
      <c r="E111" s="679" t="e">
        <f>LOOKUP(D111,'f-travail'!A:A,'f-travail'!B:B)</f>
        <v>#N/A</v>
      </c>
      <c r="F111" s="650"/>
      <c r="G111" s="650"/>
      <c r="H111" s="653"/>
      <c r="I111" s="653"/>
      <c r="J111" s="654"/>
      <c r="K111" s="650"/>
      <c r="L111" s="650"/>
      <c r="M111" s="650">
        <v>0</v>
      </c>
      <c r="N111" s="654"/>
      <c r="O111" s="654"/>
      <c r="P111" s="654"/>
      <c r="Q111" s="654"/>
      <c r="R111" s="676"/>
      <c r="S111" s="654"/>
      <c r="T111" s="675"/>
      <c r="U111" s="675"/>
      <c r="V111" s="670" t="e">
        <f>LOOKUP(D111,'f-travail'!A:A,'f-travail'!E:E)</f>
        <v>#N/A</v>
      </c>
      <c r="W111" s="670" t="e">
        <f>VLOOKUP(V111,جرقمإستدلالي,'f-travail'!$AD$4+1,FALSE)</f>
        <v>#N/A</v>
      </c>
      <c r="X111" s="671" t="e">
        <f t="shared" si="37"/>
        <v>#N/A</v>
      </c>
      <c r="Y111" s="671">
        <f>IF(G111="مدير ولائي",(HLOOKUP(I111,جدروظعليا,'f-travail'!$AT$3+1,FALSE)-3200),0)</f>
        <v>0</v>
      </c>
      <c r="Z111" s="672" t="str">
        <f t="shared" si="54"/>
        <v/>
      </c>
      <c r="AA111" s="671">
        <f t="shared" si="55"/>
        <v>0</v>
      </c>
      <c r="AB111" s="677" t="b">
        <f t="shared" si="38"/>
        <v>0</v>
      </c>
      <c r="AC111" s="678">
        <f t="shared" si="56"/>
        <v>0</v>
      </c>
      <c r="AD111" s="673"/>
      <c r="AE111" s="678">
        <f t="shared" si="40"/>
        <v>0</v>
      </c>
      <c r="AF111" s="678" t="e">
        <f t="shared" si="41"/>
        <v>#N/A</v>
      </c>
      <c r="AG111" s="678" t="e">
        <f t="shared" si="42"/>
        <v>#N/A</v>
      </c>
      <c r="AH111" s="673">
        <f t="shared" si="57"/>
        <v>0</v>
      </c>
      <c r="AI111" s="674" t="e">
        <f>IF(G111="مدير ولائي",(11000*35%),LOOKUP(D111,'f-travail'!A:A,'f-travail'!I:I))</f>
        <v>#N/A</v>
      </c>
      <c r="AJ111" s="673" t="e">
        <f>IF(G111="مدير ولائي",((W111+X111)*45)*80%,IF(V111&lt;8,0,IF(F111="إليزي",(LOOKUP(D111,'f-travail'!A:A,'f-travail'!O:O))*(AF111+AG111),LOOKUP(D111,'f-travail'!A:A,'f-travail'!P:P)*(AF111+AG111))))</f>
        <v>#N/A</v>
      </c>
      <c r="AK111" s="673" t="e">
        <f>IF(G111="مدير ولائي",0,LOOKUP(D111,'f-travail'!A:A,'f-travail'!Q:Q))</f>
        <v>#N/A</v>
      </c>
      <c r="AL111" s="673" t="e">
        <f>IF(G111="مدير ولائي",0,LOOKUP(D111,'f-travail'!A:A,'f-travail'!R:R)*(AF111+AG111))</f>
        <v>#N/A</v>
      </c>
      <c r="AM111" s="673" t="e">
        <f>IF(G111="مدير ولائي",0,LOOKUP(D111,'f-travail'!A:A,'f-travail'!S:S)*(AF111+AG111))</f>
        <v>#N/A</v>
      </c>
      <c r="AN111" s="673" t="e">
        <f>IF(G111="مدير ولائي",0,LOOKUP(D111,'f-travail'!A:A,'f-travail'!T:T)*(AF111+AG111))</f>
        <v>#N/A</v>
      </c>
      <c r="AO111" s="673" t="e">
        <f>IF(G111="مدير ولائي",0,LOOKUP(D111,'f-travail'!A:A,'f-travail'!U:U)*(AF111+AG111))</f>
        <v>#N/A</v>
      </c>
      <c r="AP111" s="673" t="e">
        <f>IF(G111="مدير ولائي",0,LOOKUP(D111,'f-travail'!A:A,'f-travail'!V:V)*(AF111+AG111))</f>
        <v>#N/A</v>
      </c>
      <c r="AQ111" s="673" t="e">
        <f>IF(G111="مدير ولائي",0,LOOKUP(D111,'f-travail'!A:A,'f-travail'!W:W)*(AF111+AG111))</f>
        <v>#N/A</v>
      </c>
      <c r="AR111" s="673">
        <f t="shared" si="58"/>
        <v>0</v>
      </c>
      <c r="AS111" s="673" t="e">
        <f>IF(G111="مدير ولائي",0,LOOKUP(D111,'f-travail'!A:A,'f-travail'!X:X)*(AF111+AG111))</f>
        <v>#N/A</v>
      </c>
      <c r="AT111" s="673" t="e">
        <f>IF(G111="مدير ولائي",0,LOOKUP(D111,'f-travail'!Y:Y,'f-travail'!R:R)*(AF111+AG111))</f>
        <v>#N/A</v>
      </c>
      <c r="AU111" s="673">
        <f t="shared" si="43"/>
        <v>0</v>
      </c>
      <c r="AV111" s="673">
        <f t="shared" si="44"/>
        <v>0</v>
      </c>
      <c r="AW111" s="673">
        <f t="shared" si="45"/>
        <v>0</v>
      </c>
      <c r="AY111" s="640" t="e">
        <f t="shared" si="59"/>
        <v>#N/A</v>
      </c>
      <c r="AZ111" s="673" t="e">
        <f t="shared" si="46"/>
        <v>#N/A</v>
      </c>
      <c r="BA111" s="639" t="e">
        <f t="shared" si="47"/>
        <v>#N/A</v>
      </c>
      <c r="BG111" s="639">
        <f t="shared" si="60"/>
        <v>0</v>
      </c>
      <c r="BH111" s="683">
        <f t="shared" si="61"/>
        <v>0</v>
      </c>
      <c r="BI111" s="683">
        <f t="shared" si="62"/>
        <v>0</v>
      </c>
      <c r="BJ111" s="641" t="e">
        <f t="shared" si="63"/>
        <v>#N/A</v>
      </c>
      <c r="BK111" s="641" t="e">
        <f t="shared" si="64"/>
        <v>#N/A</v>
      </c>
      <c r="BL111" s="641" t="e">
        <f t="shared" si="65"/>
        <v>#N/A</v>
      </c>
      <c r="BM111" s="684" t="e">
        <f t="shared" si="66"/>
        <v>#N/A</v>
      </c>
      <c r="BO111" s="682" t="e">
        <f>CONCATENATE(Z111," ",LOOKUP(D111,'f-travail'!A:A,'f-travail'!F:F))</f>
        <v>#N/A</v>
      </c>
      <c r="BP111" s="669" t="e">
        <f t="shared" si="53"/>
        <v>#N/A</v>
      </c>
    </row>
    <row r="112" spans="1:68">
      <c r="A112" s="636">
        <f t="shared" si="67"/>
        <v>111</v>
      </c>
      <c r="B112" s="637"/>
      <c r="C112" s="637"/>
      <c r="D112" s="652"/>
      <c r="E112" s="679" t="e">
        <f>LOOKUP(D112,'f-travail'!A:A,'f-travail'!B:B)</f>
        <v>#N/A</v>
      </c>
      <c r="F112" s="650"/>
      <c r="G112" s="650"/>
      <c r="H112" s="653"/>
      <c r="I112" s="653"/>
      <c r="J112" s="654"/>
      <c r="K112" s="650"/>
      <c r="L112" s="650"/>
      <c r="M112" s="650">
        <v>0</v>
      </c>
      <c r="N112" s="654"/>
      <c r="O112" s="654"/>
      <c r="P112" s="654"/>
      <c r="Q112" s="654"/>
      <c r="R112" s="676"/>
      <c r="S112" s="654"/>
      <c r="T112" s="675"/>
      <c r="U112" s="675"/>
      <c r="V112" s="670" t="e">
        <f>LOOKUP(D112,'f-travail'!A:A,'f-travail'!E:E)</f>
        <v>#N/A</v>
      </c>
      <c r="W112" s="670" t="e">
        <f>VLOOKUP(V112,جرقمإستدلالي,'f-travail'!$AD$4+1,FALSE)</f>
        <v>#N/A</v>
      </c>
      <c r="X112" s="671" t="e">
        <f t="shared" si="37"/>
        <v>#N/A</v>
      </c>
      <c r="Y112" s="671">
        <f>IF(G112="مدير ولائي",(HLOOKUP(I112,جدروظعليا,'f-travail'!$AT$3+1,FALSE)-3200),0)</f>
        <v>0</v>
      </c>
      <c r="Z112" s="672" t="str">
        <f t="shared" si="54"/>
        <v/>
      </c>
      <c r="AA112" s="671">
        <f t="shared" si="55"/>
        <v>0</v>
      </c>
      <c r="AB112" s="677" t="b">
        <f t="shared" si="38"/>
        <v>0</v>
      </c>
      <c r="AC112" s="678">
        <f t="shared" si="56"/>
        <v>0</v>
      </c>
      <c r="AD112" s="673"/>
      <c r="AE112" s="678">
        <f t="shared" si="40"/>
        <v>0</v>
      </c>
      <c r="AF112" s="678" t="e">
        <f t="shared" si="41"/>
        <v>#N/A</v>
      </c>
      <c r="AG112" s="678" t="e">
        <f t="shared" si="42"/>
        <v>#N/A</v>
      </c>
      <c r="AH112" s="673">
        <f t="shared" si="57"/>
        <v>0</v>
      </c>
      <c r="AI112" s="674" t="e">
        <f>IF(G112="مدير ولائي",(11000*35%),LOOKUP(D112,'f-travail'!A:A,'f-travail'!I:I))</f>
        <v>#N/A</v>
      </c>
      <c r="AJ112" s="673" t="e">
        <f>IF(G112="مدير ولائي",((W112+X112)*45)*80%,IF(V112&lt;8,0,IF(F112="إليزي",(LOOKUP(D112,'f-travail'!A:A,'f-travail'!O:O))*(AF112+AG112),LOOKUP(D112,'f-travail'!A:A,'f-travail'!P:P)*(AF112+AG112))))</f>
        <v>#N/A</v>
      </c>
      <c r="AK112" s="673" t="e">
        <f>IF(G112="مدير ولائي",0,LOOKUP(D112,'f-travail'!A:A,'f-travail'!Q:Q))</f>
        <v>#N/A</v>
      </c>
      <c r="AL112" s="673" t="e">
        <f>IF(G112="مدير ولائي",0,LOOKUP(D112,'f-travail'!A:A,'f-travail'!R:R)*(AF112+AG112))</f>
        <v>#N/A</v>
      </c>
      <c r="AM112" s="673" t="e">
        <f>IF(G112="مدير ولائي",0,LOOKUP(D112,'f-travail'!A:A,'f-travail'!S:S)*(AF112+AG112))</f>
        <v>#N/A</v>
      </c>
      <c r="AN112" s="673" t="e">
        <f>IF(G112="مدير ولائي",0,LOOKUP(D112,'f-travail'!A:A,'f-travail'!T:T)*(AF112+AG112))</f>
        <v>#N/A</v>
      </c>
      <c r="AO112" s="673" t="e">
        <f>IF(G112="مدير ولائي",0,LOOKUP(D112,'f-travail'!A:A,'f-travail'!U:U)*(AF112+AG112))</f>
        <v>#N/A</v>
      </c>
      <c r="AP112" s="673" t="e">
        <f>IF(G112="مدير ولائي",0,LOOKUP(D112,'f-travail'!A:A,'f-travail'!V:V)*(AF112+AG112))</f>
        <v>#N/A</v>
      </c>
      <c r="AQ112" s="673" t="e">
        <f>IF(G112="مدير ولائي",0,LOOKUP(D112,'f-travail'!A:A,'f-travail'!W:W)*(AF112+AG112))</f>
        <v>#N/A</v>
      </c>
      <c r="AR112" s="673">
        <f t="shared" si="58"/>
        <v>0</v>
      </c>
      <c r="AS112" s="673" t="e">
        <f>IF(G112="مدير ولائي",0,LOOKUP(D112,'f-travail'!A:A,'f-travail'!X:X)*(AF112+AG112))</f>
        <v>#N/A</v>
      </c>
      <c r="AT112" s="673" t="e">
        <f>IF(G112="مدير ولائي",0,LOOKUP(D112,'f-travail'!Y:Y,'f-travail'!R:R)*(AF112+AG112))</f>
        <v>#N/A</v>
      </c>
      <c r="AU112" s="673">
        <f t="shared" si="43"/>
        <v>0</v>
      </c>
      <c r="AV112" s="673">
        <f t="shared" si="44"/>
        <v>0</v>
      </c>
      <c r="AW112" s="673">
        <f t="shared" si="45"/>
        <v>0</v>
      </c>
      <c r="AY112" s="640" t="e">
        <f t="shared" si="59"/>
        <v>#N/A</v>
      </c>
      <c r="AZ112" s="673" t="e">
        <f t="shared" si="46"/>
        <v>#N/A</v>
      </c>
      <c r="BA112" s="639" t="e">
        <f t="shared" si="47"/>
        <v>#N/A</v>
      </c>
      <c r="BG112" s="639">
        <f t="shared" si="60"/>
        <v>0</v>
      </c>
      <c r="BH112" s="683">
        <f t="shared" si="61"/>
        <v>0</v>
      </c>
      <c r="BI112" s="683">
        <f t="shared" si="62"/>
        <v>0</v>
      </c>
      <c r="BJ112" s="641" t="e">
        <f t="shared" si="63"/>
        <v>#N/A</v>
      </c>
      <c r="BK112" s="641" t="e">
        <f t="shared" si="64"/>
        <v>#N/A</v>
      </c>
      <c r="BL112" s="641" t="e">
        <f t="shared" si="65"/>
        <v>#N/A</v>
      </c>
      <c r="BM112" s="684" t="e">
        <f t="shared" si="66"/>
        <v>#N/A</v>
      </c>
      <c r="BO112" s="682" t="e">
        <f>CONCATENATE(Z112," ",LOOKUP(D112,'f-travail'!A:A,'f-travail'!F:F))</f>
        <v>#N/A</v>
      </c>
      <c r="BP112" s="669" t="e">
        <f t="shared" si="53"/>
        <v>#N/A</v>
      </c>
    </row>
    <row r="113" spans="1:68">
      <c r="A113" s="636">
        <f t="shared" si="67"/>
        <v>112</v>
      </c>
      <c r="B113" s="637"/>
      <c r="C113" s="637"/>
      <c r="D113" s="652"/>
      <c r="E113" s="679" t="e">
        <f>LOOKUP(D113,'f-travail'!A:A,'f-travail'!B:B)</f>
        <v>#N/A</v>
      </c>
      <c r="F113" s="650"/>
      <c r="G113" s="650"/>
      <c r="H113" s="653"/>
      <c r="I113" s="653"/>
      <c r="J113" s="654"/>
      <c r="K113" s="650"/>
      <c r="L113" s="650"/>
      <c r="M113" s="650">
        <v>0</v>
      </c>
      <c r="N113" s="654"/>
      <c r="O113" s="654"/>
      <c r="P113" s="654"/>
      <c r="Q113" s="654"/>
      <c r="R113" s="676"/>
      <c r="S113" s="654"/>
      <c r="T113" s="675"/>
      <c r="U113" s="675"/>
      <c r="V113" s="670" t="e">
        <f>LOOKUP(D113,'f-travail'!A:A,'f-travail'!E:E)</f>
        <v>#N/A</v>
      </c>
      <c r="W113" s="670" t="e">
        <f>VLOOKUP(V113,جرقمإستدلالي,'f-travail'!$AD$4+1,FALSE)</f>
        <v>#N/A</v>
      </c>
      <c r="X113" s="671" t="e">
        <f t="shared" si="37"/>
        <v>#N/A</v>
      </c>
      <c r="Y113" s="671">
        <f>IF(G113="مدير ولائي",(HLOOKUP(I113,جدروظعليا,'f-travail'!$AT$3+1,FALSE)-3200),0)</f>
        <v>0</v>
      </c>
      <c r="Z113" s="672" t="str">
        <f t="shared" si="54"/>
        <v/>
      </c>
      <c r="AA113" s="671">
        <f t="shared" si="55"/>
        <v>0</v>
      </c>
      <c r="AB113" s="677" t="b">
        <f t="shared" si="38"/>
        <v>0</v>
      </c>
      <c r="AC113" s="678">
        <f t="shared" si="56"/>
        <v>0</v>
      </c>
      <c r="AD113" s="673"/>
      <c r="AE113" s="678">
        <f t="shared" si="40"/>
        <v>0</v>
      </c>
      <c r="AF113" s="678" t="e">
        <f t="shared" si="41"/>
        <v>#N/A</v>
      </c>
      <c r="AG113" s="678" t="e">
        <f t="shared" si="42"/>
        <v>#N/A</v>
      </c>
      <c r="AH113" s="673">
        <f t="shared" si="57"/>
        <v>0</v>
      </c>
      <c r="AI113" s="674" t="e">
        <f>IF(G113="مدير ولائي",(11000*35%),LOOKUP(D113,'f-travail'!A:A,'f-travail'!I:I))</f>
        <v>#N/A</v>
      </c>
      <c r="AJ113" s="673" t="e">
        <f>IF(G113="مدير ولائي",((W113+X113)*45)*80%,IF(V113&lt;8,0,IF(F113="إليزي",(LOOKUP(D113,'f-travail'!A:A,'f-travail'!O:O))*(AF113+AG113),LOOKUP(D113,'f-travail'!A:A,'f-travail'!P:P)*(AF113+AG113))))</f>
        <v>#N/A</v>
      </c>
      <c r="AK113" s="673" t="e">
        <f>IF(G113="مدير ولائي",0,LOOKUP(D113,'f-travail'!A:A,'f-travail'!Q:Q))</f>
        <v>#N/A</v>
      </c>
      <c r="AL113" s="673" t="e">
        <f>IF(G113="مدير ولائي",0,LOOKUP(D113,'f-travail'!A:A,'f-travail'!R:R)*(AF113+AG113))</f>
        <v>#N/A</v>
      </c>
      <c r="AM113" s="673" t="e">
        <f>IF(G113="مدير ولائي",0,LOOKUP(D113,'f-travail'!A:A,'f-travail'!S:S)*(AF113+AG113))</f>
        <v>#N/A</v>
      </c>
      <c r="AN113" s="673" t="e">
        <f>IF(G113="مدير ولائي",0,LOOKUP(D113,'f-travail'!A:A,'f-travail'!T:T)*(AF113+AG113))</f>
        <v>#N/A</v>
      </c>
      <c r="AO113" s="673" t="e">
        <f>IF(G113="مدير ولائي",0,LOOKUP(D113,'f-travail'!A:A,'f-travail'!U:U)*(AF113+AG113))</f>
        <v>#N/A</v>
      </c>
      <c r="AP113" s="673" t="e">
        <f>IF(G113="مدير ولائي",0,LOOKUP(D113,'f-travail'!A:A,'f-travail'!V:V)*(AF113+AG113))</f>
        <v>#N/A</v>
      </c>
      <c r="AQ113" s="673" t="e">
        <f>IF(G113="مدير ولائي",0,LOOKUP(D113,'f-travail'!A:A,'f-travail'!W:W)*(AF113+AG113))</f>
        <v>#N/A</v>
      </c>
      <c r="AR113" s="673">
        <f t="shared" si="58"/>
        <v>0</v>
      </c>
      <c r="AS113" s="673" t="e">
        <f>IF(G113="مدير ولائي",0,LOOKUP(D113,'f-travail'!A:A,'f-travail'!X:X)*(AF113+AG113))</f>
        <v>#N/A</v>
      </c>
      <c r="AT113" s="673" t="e">
        <f>IF(G113="مدير ولائي",0,LOOKUP(D113,'f-travail'!Y:Y,'f-travail'!R:R)*(AF113+AG113))</f>
        <v>#N/A</v>
      </c>
      <c r="AU113" s="673">
        <f t="shared" si="43"/>
        <v>0</v>
      </c>
      <c r="AV113" s="673">
        <f t="shared" si="44"/>
        <v>0</v>
      </c>
      <c r="AW113" s="673">
        <f t="shared" si="45"/>
        <v>0</v>
      </c>
      <c r="AY113" s="640" t="e">
        <f t="shared" si="59"/>
        <v>#N/A</v>
      </c>
      <c r="AZ113" s="673" t="e">
        <f t="shared" si="46"/>
        <v>#N/A</v>
      </c>
      <c r="BA113" s="639" t="e">
        <f t="shared" si="47"/>
        <v>#N/A</v>
      </c>
      <c r="BG113" s="639">
        <f t="shared" si="60"/>
        <v>0</v>
      </c>
      <c r="BH113" s="683">
        <f t="shared" si="61"/>
        <v>0</v>
      </c>
      <c r="BI113" s="683">
        <f t="shared" si="62"/>
        <v>0</v>
      </c>
      <c r="BJ113" s="641" t="e">
        <f t="shared" si="63"/>
        <v>#N/A</v>
      </c>
      <c r="BK113" s="641" t="e">
        <f t="shared" si="64"/>
        <v>#N/A</v>
      </c>
      <c r="BL113" s="641" t="e">
        <f t="shared" si="65"/>
        <v>#N/A</v>
      </c>
      <c r="BM113" s="684" t="e">
        <f t="shared" si="66"/>
        <v>#N/A</v>
      </c>
      <c r="BO113" s="682" t="e">
        <f>CONCATENATE(Z113," ",LOOKUP(D113,'f-travail'!A:A,'f-travail'!F:F))</f>
        <v>#N/A</v>
      </c>
      <c r="BP113" s="669" t="e">
        <f t="shared" si="53"/>
        <v>#N/A</v>
      </c>
    </row>
    <row r="114" spans="1:68">
      <c r="A114" s="636">
        <f t="shared" si="67"/>
        <v>113</v>
      </c>
      <c r="B114" s="637"/>
      <c r="C114" s="637"/>
      <c r="D114" s="652"/>
      <c r="E114" s="679" t="e">
        <f>LOOKUP(D114,'f-travail'!A:A,'f-travail'!B:B)</f>
        <v>#N/A</v>
      </c>
      <c r="F114" s="650"/>
      <c r="G114" s="650"/>
      <c r="H114" s="653"/>
      <c r="I114" s="653"/>
      <c r="J114" s="654"/>
      <c r="K114" s="650"/>
      <c r="L114" s="650"/>
      <c r="M114" s="650">
        <v>0</v>
      </c>
      <c r="N114" s="654"/>
      <c r="O114" s="654"/>
      <c r="P114" s="654"/>
      <c r="Q114" s="654"/>
      <c r="R114" s="676"/>
      <c r="S114" s="654"/>
      <c r="T114" s="675"/>
      <c r="U114" s="675"/>
      <c r="V114" s="670" t="e">
        <f>LOOKUP(D114,'f-travail'!A:A,'f-travail'!E:E)</f>
        <v>#N/A</v>
      </c>
      <c r="W114" s="670" t="e">
        <f>VLOOKUP(V114,جرقمإستدلالي,'f-travail'!$AD$4+1,FALSE)</f>
        <v>#N/A</v>
      </c>
      <c r="X114" s="671" t="e">
        <f t="shared" si="37"/>
        <v>#N/A</v>
      </c>
      <c r="Y114" s="671">
        <f>IF(G114="مدير ولائي",(HLOOKUP(I114,جدروظعليا,'f-travail'!$AT$3+1,FALSE)-3200),0)</f>
        <v>0</v>
      </c>
      <c r="Z114" s="672" t="str">
        <f t="shared" si="54"/>
        <v/>
      </c>
      <c r="AA114" s="671">
        <f t="shared" si="55"/>
        <v>0</v>
      </c>
      <c r="AB114" s="677" t="b">
        <f t="shared" si="38"/>
        <v>0</v>
      </c>
      <c r="AC114" s="678">
        <f t="shared" si="56"/>
        <v>0</v>
      </c>
      <c r="AD114" s="673"/>
      <c r="AE114" s="678">
        <f t="shared" si="40"/>
        <v>0</v>
      </c>
      <c r="AF114" s="678" t="e">
        <f t="shared" si="41"/>
        <v>#N/A</v>
      </c>
      <c r="AG114" s="678" t="e">
        <f t="shared" si="42"/>
        <v>#N/A</v>
      </c>
      <c r="AH114" s="673">
        <f t="shared" si="57"/>
        <v>0</v>
      </c>
      <c r="AI114" s="674" t="e">
        <f>IF(G114="مدير ولائي",(11000*35%),LOOKUP(D114,'f-travail'!A:A,'f-travail'!I:I))</f>
        <v>#N/A</v>
      </c>
      <c r="AJ114" s="673" t="e">
        <f>IF(G114="مدير ولائي",((W114+X114)*45)*80%,IF(V114&lt;8,0,IF(F114="إليزي",(LOOKUP(D114,'f-travail'!A:A,'f-travail'!O:O))*(AF114+AG114),LOOKUP(D114,'f-travail'!A:A,'f-travail'!P:P)*(AF114+AG114))))</f>
        <v>#N/A</v>
      </c>
      <c r="AK114" s="673" t="e">
        <f>IF(G114="مدير ولائي",0,LOOKUP(D114,'f-travail'!A:A,'f-travail'!Q:Q))</f>
        <v>#N/A</v>
      </c>
      <c r="AL114" s="673" t="e">
        <f>IF(G114="مدير ولائي",0,LOOKUP(D114,'f-travail'!A:A,'f-travail'!R:R)*(AF114+AG114))</f>
        <v>#N/A</v>
      </c>
      <c r="AM114" s="673" t="e">
        <f>IF(G114="مدير ولائي",0,LOOKUP(D114,'f-travail'!A:A,'f-travail'!S:S)*(AF114+AG114))</f>
        <v>#N/A</v>
      </c>
      <c r="AN114" s="673" t="e">
        <f>IF(G114="مدير ولائي",0,LOOKUP(D114,'f-travail'!A:A,'f-travail'!T:T)*(AF114+AG114))</f>
        <v>#N/A</v>
      </c>
      <c r="AO114" s="673" t="e">
        <f>IF(G114="مدير ولائي",0,LOOKUP(D114,'f-travail'!A:A,'f-travail'!U:U)*(AF114+AG114))</f>
        <v>#N/A</v>
      </c>
      <c r="AP114" s="673" t="e">
        <f>IF(G114="مدير ولائي",0,LOOKUP(D114,'f-travail'!A:A,'f-travail'!V:V)*(AF114+AG114))</f>
        <v>#N/A</v>
      </c>
      <c r="AQ114" s="673" t="e">
        <f>IF(G114="مدير ولائي",0,LOOKUP(D114,'f-travail'!A:A,'f-travail'!W:W)*(AF114+AG114))</f>
        <v>#N/A</v>
      </c>
      <c r="AR114" s="673">
        <f t="shared" si="58"/>
        <v>0</v>
      </c>
      <c r="AS114" s="673" t="e">
        <f>IF(G114="مدير ولائي",0,LOOKUP(D114,'f-travail'!A:A,'f-travail'!X:X)*(AF114+AG114))</f>
        <v>#N/A</v>
      </c>
      <c r="AT114" s="673" t="e">
        <f>IF(G114="مدير ولائي",0,LOOKUP(D114,'f-travail'!Y:Y,'f-travail'!R:R)*(AF114+AG114))</f>
        <v>#N/A</v>
      </c>
      <c r="AU114" s="673">
        <f t="shared" si="43"/>
        <v>0</v>
      </c>
      <c r="AV114" s="673">
        <f t="shared" si="44"/>
        <v>0</v>
      </c>
      <c r="AW114" s="673">
        <f t="shared" si="45"/>
        <v>0</v>
      </c>
      <c r="AY114" s="640" t="e">
        <f t="shared" si="59"/>
        <v>#N/A</v>
      </c>
      <c r="AZ114" s="673" t="e">
        <f t="shared" si="46"/>
        <v>#N/A</v>
      </c>
      <c r="BA114" s="639" t="e">
        <f t="shared" si="47"/>
        <v>#N/A</v>
      </c>
      <c r="BG114" s="639">
        <f t="shared" si="60"/>
        <v>0</v>
      </c>
      <c r="BH114" s="683">
        <f t="shared" si="61"/>
        <v>0</v>
      </c>
      <c r="BI114" s="683">
        <f t="shared" si="62"/>
        <v>0</v>
      </c>
      <c r="BJ114" s="641" t="e">
        <f t="shared" si="63"/>
        <v>#N/A</v>
      </c>
      <c r="BK114" s="641" t="e">
        <f t="shared" si="64"/>
        <v>#N/A</v>
      </c>
      <c r="BL114" s="641" t="e">
        <f t="shared" si="65"/>
        <v>#N/A</v>
      </c>
      <c r="BM114" s="684" t="e">
        <f t="shared" si="66"/>
        <v>#N/A</v>
      </c>
      <c r="BO114" s="682" t="e">
        <f>CONCATENATE(Z114," ",LOOKUP(D114,'f-travail'!A:A,'f-travail'!F:F))</f>
        <v>#N/A</v>
      </c>
      <c r="BP114" s="669" t="e">
        <f t="shared" si="53"/>
        <v>#N/A</v>
      </c>
    </row>
    <row r="115" spans="1:68">
      <c r="A115" s="636">
        <f t="shared" si="67"/>
        <v>114</v>
      </c>
      <c r="B115" s="637"/>
      <c r="C115" s="637"/>
      <c r="D115" s="652"/>
      <c r="E115" s="679" t="e">
        <f>LOOKUP(D115,'f-travail'!A:A,'f-travail'!B:B)</f>
        <v>#N/A</v>
      </c>
      <c r="F115" s="650"/>
      <c r="G115" s="650"/>
      <c r="H115" s="653"/>
      <c r="I115" s="653"/>
      <c r="J115" s="654"/>
      <c r="K115" s="650"/>
      <c r="L115" s="650"/>
      <c r="M115" s="650">
        <v>0</v>
      </c>
      <c r="N115" s="654"/>
      <c r="O115" s="654"/>
      <c r="P115" s="654"/>
      <c r="Q115" s="654"/>
      <c r="R115" s="676"/>
      <c r="S115" s="654"/>
      <c r="T115" s="675"/>
      <c r="U115" s="675"/>
      <c r="V115" s="670" t="e">
        <f>LOOKUP(D115,'f-travail'!A:A,'f-travail'!E:E)</f>
        <v>#N/A</v>
      </c>
      <c r="W115" s="670" t="e">
        <f>VLOOKUP(V115,جرقمإستدلالي,'f-travail'!$AD$4+1,FALSE)</f>
        <v>#N/A</v>
      </c>
      <c r="X115" s="671" t="e">
        <f t="shared" si="37"/>
        <v>#N/A</v>
      </c>
      <c r="Y115" s="671">
        <f>IF(G115="مدير ولائي",(HLOOKUP(I115,جدروظعليا,'f-travail'!$AT$3+1,FALSE)-3200),0)</f>
        <v>0</v>
      </c>
      <c r="Z115" s="672" t="str">
        <f t="shared" si="54"/>
        <v/>
      </c>
      <c r="AA115" s="671">
        <f t="shared" si="55"/>
        <v>0</v>
      </c>
      <c r="AB115" s="677" t="b">
        <f t="shared" si="38"/>
        <v>0</v>
      </c>
      <c r="AC115" s="678">
        <f t="shared" si="56"/>
        <v>0</v>
      </c>
      <c r="AD115" s="673"/>
      <c r="AE115" s="678">
        <f t="shared" si="40"/>
        <v>0</v>
      </c>
      <c r="AF115" s="678" t="e">
        <f t="shared" si="41"/>
        <v>#N/A</v>
      </c>
      <c r="AG115" s="678" t="e">
        <f t="shared" si="42"/>
        <v>#N/A</v>
      </c>
      <c r="AH115" s="673">
        <f t="shared" si="57"/>
        <v>0</v>
      </c>
      <c r="AI115" s="674" t="e">
        <f>IF(G115="مدير ولائي",(11000*35%),LOOKUP(D115,'f-travail'!A:A,'f-travail'!I:I))</f>
        <v>#N/A</v>
      </c>
      <c r="AJ115" s="673" t="e">
        <f>IF(G115="مدير ولائي",((W115+X115)*45)*80%,IF(V115&lt;8,0,IF(F115="إليزي",(LOOKUP(D115,'f-travail'!A:A,'f-travail'!O:O))*(AF115+AG115),LOOKUP(D115,'f-travail'!A:A,'f-travail'!P:P)*(AF115+AG115))))</f>
        <v>#N/A</v>
      </c>
      <c r="AK115" s="673" t="e">
        <f>IF(G115="مدير ولائي",0,LOOKUP(D115,'f-travail'!A:A,'f-travail'!Q:Q))</f>
        <v>#N/A</v>
      </c>
      <c r="AL115" s="673" t="e">
        <f>IF(G115="مدير ولائي",0,LOOKUP(D115,'f-travail'!A:A,'f-travail'!R:R)*(AF115+AG115))</f>
        <v>#N/A</v>
      </c>
      <c r="AM115" s="673" t="e">
        <f>IF(G115="مدير ولائي",0,LOOKUP(D115,'f-travail'!A:A,'f-travail'!S:S)*(AF115+AG115))</f>
        <v>#N/A</v>
      </c>
      <c r="AN115" s="673" t="e">
        <f>IF(G115="مدير ولائي",0,LOOKUP(D115,'f-travail'!A:A,'f-travail'!T:T)*(AF115+AG115))</f>
        <v>#N/A</v>
      </c>
      <c r="AO115" s="673" t="e">
        <f>IF(G115="مدير ولائي",0,LOOKUP(D115,'f-travail'!A:A,'f-travail'!U:U)*(AF115+AG115))</f>
        <v>#N/A</v>
      </c>
      <c r="AP115" s="673" t="e">
        <f>IF(G115="مدير ولائي",0,LOOKUP(D115,'f-travail'!A:A,'f-travail'!V:V)*(AF115+AG115))</f>
        <v>#N/A</v>
      </c>
      <c r="AQ115" s="673" t="e">
        <f>IF(G115="مدير ولائي",0,LOOKUP(D115,'f-travail'!A:A,'f-travail'!W:W)*(AF115+AG115))</f>
        <v>#N/A</v>
      </c>
      <c r="AR115" s="673">
        <f t="shared" si="58"/>
        <v>0</v>
      </c>
      <c r="AS115" s="673" t="e">
        <f>IF(G115="مدير ولائي",0,LOOKUP(D115,'f-travail'!A:A,'f-travail'!X:X)*(AF115+AG115))</f>
        <v>#N/A</v>
      </c>
      <c r="AT115" s="673" t="e">
        <f>IF(G115="مدير ولائي",0,LOOKUP(D115,'f-travail'!Y:Y,'f-travail'!R:R)*(AF115+AG115))</f>
        <v>#N/A</v>
      </c>
      <c r="AU115" s="673">
        <f t="shared" si="43"/>
        <v>0</v>
      </c>
      <c r="AV115" s="673">
        <f t="shared" si="44"/>
        <v>0</v>
      </c>
      <c r="AW115" s="673">
        <f t="shared" si="45"/>
        <v>0</v>
      </c>
      <c r="AY115" s="640" t="e">
        <f t="shared" si="59"/>
        <v>#N/A</v>
      </c>
      <c r="AZ115" s="673" t="e">
        <f t="shared" si="46"/>
        <v>#N/A</v>
      </c>
      <c r="BA115" s="639" t="e">
        <f t="shared" si="47"/>
        <v>#N/A</v>
      </c>
      <c r="BG115" s="639">
        <f t="shared" si="60"/>
        <v>0</v>
      </c>
      <c r="BH115" s="683">
        <f t="shared" si="61"/>
        <v>0</v>
      </c>
      <c r="BI115" s="683">
        <f t="shared" si="62"/>
        <v>0</v>
      </c>
      <c r="BJ115" s="641" t="e">
        <f t="shared" si="63"/>
        <v>#N/A</v>
      </c>
      <c r="BK115" s="641" t="e">
        <f t="shared" si="64"/>
        <v>#N/A</v>
      </c>
      <c r="BL115" s="641" t="e">
        <f t="shared" si="65"/>
        <v>#N/A</v>
      </c>
      <c r="BM115" s="684" t="e">
        <f t="shared" si="66"/>
        <v>#N/A</v>
      </c>
      <c r="BO115" s="682" t="e">
        <f>CONCATENATE(Z115," ",LOOKUP(D115,'f-travail'!A:A,'f-travail'!F:F))</f>
        <v>#N/A</v>
      </c>
      <c r="BP115" s="669" t="e">
        <f t="shared" si="53"/>
        <v>#N/A</v>
      </c>
    </row>
    <row r="116" spans="1:68">
      <c r="A116" s="636">
        <f t="shared" si="67"/>
        <v>115</v>
      </c>
      <c r="B116" s="637"/>
      <c r="C116" s="637"/>
      <c r="D116" s="652"/>
      <c r="E116" s="679" t="e">
        <f>LOOKUP(D116,'f-travail'!A:A,'f-travail'!B:B)</f>
        <v>#N/A</v>
      </c>
      <c r="F116" s="650"/>
      <c r="G116" s="650"/>
      <c r="H116" s="653"/>
      <c r="I116" s="653"/>
      <c r="J116" s="654"/>
      <c r="K116" s="650"/>
      <c r="L116" s="650"/>
      <c r="M116" s="650">
        <v>0</v>
      </c>
      <c r="N116" s="654"/>
      <c r="O116" s="654"/>
      <c r="P116" s="654"/>
      <c r="Q116" s="654"/>
      <c r="R116" s="676"/>
      <c r="S116" s="654"/>
      <c r="T116" s="675"/>
      <c r="U116" s="675"/>
      <c r="V116" s="670" t="e">
        <f>LOOKUP(D116,'f-travail'!A:A,'f-travail'!E:E)</f>
        <v>#N/A</v>
      </c>
      <c r="W116" s="670" t="e">
        <f>VLOOKUP(V116,جرقمإستدلالي,'f-travail'!$AD$4+1,FALSE)</f>
        <v>#N/A</v>
      </c>
      <c r="X116" s="671" t="e">
        <f t="shared" si="37"/>
        <v>#N/A</v>
      </c>
      <c r="Y116" s="671">
        <f>IF(G116="مدير ولائي",(HLOOKUP(I116,جدروظعليا,'f-travail'!$AT$3+1,FALSE)-3200),0)</f>
        <v>0</v>
      </c>
      <c r="Z116" s="672" t="str">
        <f t="shared" si="54"/>
        <v/>
      </c>
      <c r="AA116" s="671">
        <f t="shared" si="55"/>
        <v>0</v>
      </c>
      <c r="AB116" s="677" t="b">
        <f t="shared" si="38"/>
        <v>0</v>
      </c>
      <c r="AC116" s="678">
        <f t="shared" si="56"/>
        <v>0</v>
      </c>
      <c r="AD116" s="673"/>
      <c r="AE116" s="678">
        <f t="shared" si="40"/>
        <v>0</v>
      </c>
      <c r="AF116" s="678" t="e">
        <f t="shared" si="41"/>
        <v>#N/A</v>
      </c>
      <c r="AG116" s="678" t="e">
        <f t="shared" si="42"/>
        <v>#N/A</v>
      </c>
      <c r="AH116" s="673">
        <f t="shared" si="57"/>
        <v>0</v>
      </c>
      <c r="AI116" s="674" t="e">
        <f>IF(G116="مدير ولائي",(11000*35%),LOOKUP(D116,'f-travail'!A:A,'f-travail'!I:I))</f>
        <v>#N/A</v>
      </c>
      <c r="AJ116" s="673" t="e">
        <f>IF(G116="مدير ولائي",((W116+X116)*45)*80%,IF(V116&lt;8,0,IF(F116="إليزي",(LOOKUP(D116,'f-travail'!A:A,'f-travail'!O:O))*(AF116+AG116),LOOKUP(D116,'f-travail'!A:A,'f-travail'!P:P)*(AF116+AG116))))</f>
        <v>#N/A</v>
      </c>
      <c r="AK116" s="673" t="e">
        <f>IF(G116="مدير ولائي",0,LOOKUP(D116,'f-travail'!A:A,'f-travail'!Q:Q))</f>
        <v>#N/A</v>
      </c>
      <c r="AL116" s="673" t="e">
        <f>IF(G116="مدير ولائي",0,LOOKUP(D116,'f-travail'!A:A,'f-travail'!R:R)*(AF116+AG116))</f>
        <v>#N/A</v>
      </c>
      <c r="AM116" s="673" t="e">
        <f>IF(G116="مدير ولائي",0,LOOKUP(D116,'f-travail'!A:A,'f-travail'!S:S)*(AF116+AG116))</f>
        <v>#N/A</v>
      </c>
      <c r="AN116" s="673" t="e">
        <f>IF(G116="مدير ولائي",0,LOOKUP(D116,'f-travail'!A:A,'f-travail'!T:T)*(AF116+AG116))</f>
        <v>#N/A</v>
      </c>
      <c r="AO116" s="673" t="e">
        <f>IF(G116="مدير ولائي",0,LOOKUP(D116,'f-travail'!A:A,'f-travail'!U:U)*(AF116+AG116))</f>
        <v>#N/A</v>
      </c>
      <c r="AP116" s="673" t="e">
        <f>IF(G116="مدير ولائي",0,LOOKUP(D116,'f-travail'!A:A,'f-travail'!V:V)*(AF116+AG116))</f>
        <v>#N/A</v>
      </c>
      <c r="AQ116" s="673" t="e">
        <f>IF(G116="مدير ولائي",0,LOOKUP(D116,'f-travail'!A:A,'f-travail'!W:W)*(AF116+AG116))</f>
        <v>#N/A</v>
      </c>
      <c r="AR116" s="673">
        <f t="shared" si="58"/>
        <v>0</v>
      </c>
      <c r="AS116" s="673" t="e">
        <f>IF(G116="مدير ولائي",0,LOOKUP(D116,'f-travail'!A:A,'f-travail'!X:X)*(AF116+AG116))</f>
        <v>#N/A</v>
      </c>
      <c r="AT116" s="673" t="e">
        <f>IF(G116="مدير ولائي",0,LOOKUP(D116,'f-travail'!Y:Y,'f-travail'!R:R)*(AF116+AG116))</f>
        <v>#N/A</v>
      </c>
      <c r="AU116" s="673">
        <f t="shared" si="43"/>
        <v>0</v>
      </c>
      <c r="AV116" s="673">
        <f t="shared" si="44"/>
        <v>0</v>
      </c>
      <c r="AW116" s="673">
        <f t="shared" si="45"/>
        <v>0</v>
      </c>
      <c r="AY116" s="640" t="e">
        <f t="shared" si="59"/>
        <v>#N/A</v>
      </c>
      <c r="AZ116" s="673" t="e">
        <f t="shared" si="46"/>
        <v>#N/A</v>
      </c>
      <c r="BA116" s="639" t="e">
        <f t="shared" si="47"/>
        <v>#N/A</v>
      </c>
      <c r="BG116" s="639">
        <f t="shared" si="60"/>
        <v>0</v>
      </c>
      <c r="BH116" s="683">
        <f t="shared" si="61"/>
        <v>0</v>
      </c>
      <c r="BI116" s="683">
        <f t="shared" si="62"/>
        <v>0</v>
      </c>
      <c r="BJ116" s="641" t="e">
        <f t="shared" si="63"/>
        <v>#N/A</v>
      </c>
      <c r="BK116" s="641" t="e">
        <f t="shared" si="64"/>
        <v>#N/A</v>
      </c>
      <c r="BL116" s="641" t="e">
        <f t="shared" si="65"/>
        <v>#N/A</v>
      </c>
      <c r="BM116" s="684" t="e">
        <f t="shared" si="66"/>
        <v>#N/A</v>
      </c>
      <c r="BO116" s="682" t="e">
        <f>CONCATENATE(Z116," ",LOOKUP(D116,'f-travail'!A:A,'f-travail'!F:F))</f>
        <v>#N/A</v>
      </c>
      <c r="BP116" s="669" t="e">
        <f t="shared" si="53"/>
        <v>#N/A</v>
      </c>
    </row>
    <row r="117" spans="1:68">
      <c r="A117" s="636">
        <f t="shared" si="67"/>
        <v>116</v>
      </c>
      <c r="B117" s="637"/>
      <c r="C117" s="637"/>
      <c r="D117" s="652"/>
      <c r="E117" s="679" t="e">
        <f>LOOKUP(D117,'f-travail'!A:A,'f-travail'!B:B)</f>
        <v>#N/A</v>
      </c>
      <c r="F117" s="650"/>
      <c r="G117" s="650"/>
      <c r="H117" s="653"/>
      <c r="I117" s="653"/>
      <c r="J117" s="654"/>
      <c r="K117" s="650"/>
      <c r="L117" s="650"/>
      <c r="M117" s="650">
        <v>0</v>
      </c>
      <c r="N117" s="654"/>
      <c r="O117" s="654"/>
      <c r="P117" s="654"/>
      <c r="Q117" s="654"/>
      <c r="R117" s="676"/>
      <c r="S117" s="654"/>
      <c r="T117" s="675"/>
      <c r="U117" s="675"/>
      <c r="V117" s="670" t="e">
        <f>LOOKUP(D117,'f-travail'!A:A,'f-travail'!E:E)</f>
        <v>#N/A</v>
      </c>
      <c r="W117" s="670" t="e">
        <f>VLOOKUP(V117,جرقمإستدلالي,'f-travail'!$AD$4+1,FALSE)</f>
        <v>#N/A</v>
      </c>
      <c r="X117" s="671" t="e">
        <f t="shared" si="37"/>
        <v>#N/A</v>
      </c>
      <c r="Y117" s="671">
        <f>IF(G117="مدير ولائي",(HLOOKUP(I117,جدروظعليا,'f-travail'!$AT$3+1,FALSE)-3200),0)</f>
        <v>0</v>
      </c>
      <c r="Z117" s="672" t="str">
        <f t="shared" si="54"/>
        <v/>
      </c>
      <c r="AA117" s="671">
        <f t="shared" si="55"/>
        <v>0</v>
      </c>
      <c r="AB117" s="677" t="b">
        <f t="shared" si="38"/>
        <v>0</v>
      </c>
      <c r="AC117" s="678">
        <f t="shared" si="56"/>
        <v>0</v>
      </c>
      <c r="AD117" s="673"/>
      <c r="AE117" s="678">
        <f t="shared" si="40"/>
        <v>0</v>
      </c>
      <c r="AF117" s="678" t="e">
        <f t="shared" si="41"/>
        <v>#N/A</v>
      </c>
      <c r="AG117" s="678" t="e">
        <f t="shared" si="42"/>
        <v>#N/A</v>
      </c>
      <c r="AH117" s="673">
        <f t="shared" si="57"/>
        <v>0</v>
      </c>
      <c r="AI117" s="674" t="e">
        <f>IF(G117="مدير ولائي",(11000*35%),LOOKUP(D117,'f-travail'!A:A,'f-travail'!I:I))</f>
        <v>#N/A</v>
      </c>
      <c r="AJ117" s="673" t="e">
        <f>IF(G117="مدير ولائي",((W117+X117)*45)*80%,IF(V117&lt;8,0,IF(F117="إليزي",(LOOKUP(D117,'f-travail'!A:A,'f-travail'!O:O))*(AF117+AG117),LOOKUP(D117,'f-travail'!A:A,'f-travail'!P:P)*(AF117+AG117))))</f>
        <v>#N/A</v>
      </c>
      <c r="AK117" s="673" t="e">
        <f>IF(G117="مدير ولائي",0,LOOKUP(D117,'f-travail'!A:A,'f-travail'!Q:Q))</f>
        <v>#N/A</v>
      </c>
      <c r="AL117" s="673" t="e">
        <f>IF(G117="مدير ولائي",0,LOOKUP(D117,'f-travail'!A:A,'f-travail'!R:R)*(AF117+AG117))</f>
        <v>#N/A</v>
      </c>
      <c r="AM117" s="673" t="e">
        <f>IF(G117="مدير ولائي",0,LOOKUP(D117,'f-travail'!A:A,'f-travail'!S:S)*(AF117+AG117))</f>
        <v>#N/A</v>
      </c>
      <c r="AN117" s="673" t="e">
        <f>IF(G117="مدير ولائي",0,LOOKUP(D117,'f-travail'!A:A,'f-travail'!T:T)*(AF117+AG117))</f>
        <v>#N/A</v>
      </c>
      <c r="AO117" s="673" t="e">
        <f>IF(G117="مدير ولائي",0,LOOKUP(D117,'f-travail'!A:A,'f-travail'!U:U)*(AF117+AG117))</f>
        <v>#N/A</v>
      </c>
      <c r="AP117" s="673" t="e">
        <f>IF(G117="مدير ولائي",0,LOOKUP(D117,'f-travail'!A:A,'f-travail'!V:V)*(AF117+AG117))</f>
        <v>#N/A</v>
      </c>
      <c r="AQ117" s="673" t="e">
        <f>IF(G117="مدير ولائي",0,LOOKUP(D117,'f-travail'!A:A,'f-travail'!W:W)*(AF117+AG117))</f>
        <v>#N/A</v>
      </c>
      <c r="AR117" s="673">
        <f t="shared" si="58"/>
        <v>0</v>
      </c>
      <c r="AS117" s="673" t="e">
        <f>IF(G117="مدير ولائي",0,LOOKUP(D117,'f-travail'!A:A,'f-travail'!X:X)*(AF117+AG117))</f>
        <v>#N/A</v>
      </c>
      <c r="AT117" s="673" t="e">
        <f>IF(G117="مدير ولائي",0,LOOKUP(D117,'f-travail'!Y:Y,'f-travail'!R:R)*(AF117+AG117))</f>
        <v>#N/A</v>
      </c>
      <c r="AU117" s="673">
        <f t="shared" si="43"/>
        <v>0</v>
      </c>
      <c r="AV117" s="673">
        <f t="shared" si="44"/>
        <v>0</v>
      </c>
      <c r="AW117" s="673">
        <f t="shared" si="45"/>
        <v>0</v>
      </c>
      <c r="AY117" s="640" t="e">
        <f t="shared" si="59"/>
        <v>#N/A</v>
      </c>
      <c r="AZ117" s="673" t="e">
        <f t="shared" si="46"/>
        <v>#N/A</v>
      </c>
      <c r="BA117" s="639" t="e">
        <f t="shared" si="47"/>
        <v>#N/A</v>
      </c>
      <c r="BG117" s="639">
        <f t="shared" si="60"/>
        <v>0</v>
      </c>
      <c r="BH117" s="683">
        <f t="shared" si="61"/>
        <v>0</v>
      </c>
      <c r="BI117" s="683">
        <f t="shared" si="62"/>
        <v>0</v>
      </c>
      <c r="BJ117" s="641" t="e">
        <f t="shared" si="63"/>
        <v>#N/A</v>
      </c>
      <c r="BK117" s="641" t="e">
        <f t="shared" si="64"/>
        <v>#N/A</v>
      </c>
      <c r="BL117" s="641" t="e">
        <f t="shared" si="65"/>
        <v>#N/A</v>
      </c>
      <c r="BM117" s="684" t="e">
        <f t="shared" si="66"/>
        <v>#N/A</v>
      </c>
      <c r="BO117" s="682" t="e">
        <f>CONCATENATE(Z117," ",LOOKUP(D117,'f-travail'!A:A,'f-travail'!F:F))</f>
        <v>#N/A</v>
      </c>
      <c r="BP117" s="669" t="e">
        <f t="shared" si="53"/>
        <v>#N/A</v>
      </c>
    </row>
    <row r="118" spans="1:68">
      <c r="A118" s="636">
        <f t="shared" si="67"/>
        <v>117</v>
      </c>
      <c r="B118" s="637"/>
      <c r="C118" s="637"/>
      <c r="D118" s="652"/>
      <c r="E118" s="679" t="e">
        <f>LOOKUP(D118,'f-travail'!A:A,'f-travail'!B:B)</f>
        <v>#N/A</v>
      </c>
      <c r="F118" s="650"/>
      <c r="G118" s="650"/>
      <c r="H118" s="653"/>
      <c r="I118" s="653"/>
      <c r="J118" s="654"/>
      <c r="K118" s="650"/>
      <c r="L118" s="650"/>
      <c r="M118" s="650">
        <v>0</v>
      </c>
      <c r="N118" s="654"/>
      <c r="O118" s="654"/>
      <c r="P118" s="654"/>
      <c r="Q118" s="654"/>
      <c r="R118" s="676"/>
      <c r="S118" s="654"/>
      <c r="T118" s="675"/>
      <c r="U118" s="675"/>
      <c r="V118" s="670" t="e">
        <f>LOOKUP(D118,'f-travail'!A:A,'f-travail'!E:E)</f>
        <v>#N/A</v>
      </c>
      <c r="W118" s="670" t="e">
        <f>VLOOKUP(V118,جرقمإستدلالي,'f-travail'!$AD$4+1,FALSE)</f>
        <v>#N/A</v>
      </c>
      <c r="X118" s="671" t="e">
        <f t="shared" si="37"/>
        <v>#N/A</v>
      </c>
      <c r="Y118" s="671">
        <f>IF(G118="مدير ولائي",(HLOOKUP(I118,جدروظعليا,'f-travail'!$AT$3+1,FALSE)-3200),0)</f>
        <v>0</v>
      </c>
      <c r="Z118" s="672" t="str">
        <f t="shared" si="54"/>
        <v/>
      </c>
      <c r="AA118" s="671">
        <f t="shared" si="55"/>
        <v>0</v>
      </c>
      <c r="AB118" s="677" t="b">
        <f t="shared" si="38"/>
        <v>0</v>
      </c>
      <c r="AC118" s="678">
        <f t="shared" si="56"/>
        <v>0</v>
      </c>
      <c r="AD118" s="673"/>
      <c r="AE118" s="678">
        <f t="shared" si="40"/>
        <v>0</v>
      </c>
      <c r="AF118" s="678" t="e">
        <f t="shared" si="41"/>
        <v>#N/A</v>
      </c>
      <c r="AG118" s="678" t="e">
        <f t="shared" si="42"/>
        <v>#N/A</v>
      </c>
      <c r="AH118" s="673">
        <f t="shared" si="57"/>
        <v>0</v>
      </c>
      <c r="AI118" s="674" t="e">
        <f>IF(G118="مدير ولائي",(11000*35%),LOOKUP(D118,'f-travail'!A:A,'f-travail'!I:I))</f>
        <v>#N/A</v>
      </c>
      <c r="AJ118" s="673" t="e">
        <f>IF(G118="مدير ولائي",((W118+X118)*45)*80%,IF(V118&lt;8,0,IF(F118="إليزي",(LOOKUP(D118,'f-travail'!A:A,'f-travail'!O:O))*(AF118+AG118),LOOKUP(D118,'f-travail'!A:A,'f-travail'!P:P)*(AF118+AG118))))</f>
        <v>#N/A</v>
      </c>
      <c r="AK118" s="673" t="e">
        <f>IF(G118="مدير ولائي",0,LOOKUP(D118,'f-travail'!A:A,'f-travail'!Q:Q))</f>
        <v>#N/A</v>
      </c>
      <c r="AL118" s="673" t="e">
        <f>IF(G118="مدير ولائي",0,LOOKUP(D118,'f-travail'!A:A,'f-travail'!R:R)*(AF118+AG118))</f>
        <v>#N/A</v>
      </c>
      <c r="AM118" s="673" t="e">
        <f>IF(G118="مدير ولائي",0,LOOKUP(D118,'f-travail'!A:A,'f-travail'!S:S)*(AF118+AG118))</f>
        <v>#N/A</v>
      </c>
      <c r="AN118" s="673" t="e">
        <f>IF(G118="مدير ولائي",0,LOOKUP(D118,'f-travail'!A:A,'f-travail'!T:T)*(AF118+AG118))</f>
        <v>#N/A</v>
      </c>
      <c r="AO118" s="673" t="e">
        <f>IF(G118="مدير ولائي",0,LOOKUP(D118,'f-travail'!A:A,'f-travail'!U:U)*(AF118+AG118))</f>
        <v>#N/A</v>
      </c>
      <c r="AP118" s="673" t="e">
        <f>IF(G118="مدير ولائي",0,LOOKUP(D118,'f-travail'!A:A,'f-travail'!V:V)*(AF118+AG118))</f>
        <v>#N/A</v>
      </c>
      <c r="AQ118" s="673" t="e">
        <f>IF(G118="مدير ولائي",0,LOOKUP(D118,'f-travail'!A:A,'f-travail'!W:W)*(AF118+AG118))</f>
        <v>#N/A</v>
      </c>
      <c r="AR118" s="673">
        <f t="shared" si="58"/>
        <v>0</v>
      </c>
      <c r="AS118" s="673" t="e">
        <f>IF(G118="مدير ولائي",0,LOOKUP(D118,'f-travail'!A:A,'f-travail'!X:X)*(AF118+AG118))</f>
        <v>#N/A</v>
      </c>
      <c r="AT118" s="673" t="e">
        <f>IF(G118="مدير ولائي",0,LOOKUP(D118,'f-travail'!Y:Y,'f-travail'!R:R)*(AF118+AG118))</f>
        <v>#N/A</v>
      </c>
      <c r="AU118" s="673">
        <f t="shared" si="43"/>
        <v>0</v>
      </c>
      <c r="AV118" s="673">
        <f t="shared" si="44"/>
        <v>0</v>
      </c>
      <c r="AW118" s="673">
        <f t="shared" si="45"/>
        <v>0</v>
      </c>
      <c r="AY118" s="640" t="e">
        <f t="shared" si="59"/>
        <v>#N/A</v>
      </c>
      <c r="AZ118" s="673" t="e">
        <f t="shared" si="46"/>
        <v>#N/A</v>
      </c>
      <c r="BA118" s="639" t="e">
        <f t="shared" si="47"/>
        <v>#N/A</v>
      </c>
      <c r="BG118" s="639">
        <f t="shared" si="60"/>
        <v>0</v>
      </c>
      <c r="BH118" s="683">
        <f t="shared" si="61"/>
        <v>0</v>
      </c>
      <c r="BI118" s="683">
        <f t="shared" si="62"/>
        <v>0</v>
      </c>
      <c r="BJ118" s="641" t="e">
        <f t="shared" si="63"/>
        <v>#N/A</v>
      </c>
      <c r="BK118" s="641" t="e">
        <f t="shared" si="64"/>
        <v>#N/A</v>
      </c>
      <c r="BL118" s="641" t="e">
        <f t="shared" si="65"/>
        <v>#N/A</v>
      </c>
      <c r="BM118" s="684" t="e">
        <f t="shared" si="66"/>
        <v>#N/A</v>
      </c>
      <c r="BO118" s="682" t="e">
        <f>CONCATENATE(Z118," ",LOOKUP(D118,'f-travail'!A:A,'f-travail'!F:F))</f>
        <v>#N/A</v>
      </c>
      <c r="BP118" s="669" t="e">
        <f t="shared" si="53"/>
        <v>#N/A</v>
      </c>
    </row>
    <row r="119" spans="1:68">
      <c r="A119" s="636">
        <f t="shared" si="67"/>
        <v>118</v>
      </c>
      <c r="B119" s="637"/>
      <c r="C119" s="637"/>
      <c r="D119" s="652"/>
      <c r="E119" s="679" t="e">
        <f>LOOKUP(D119,'f-travail'!A:A,'f-travail'!B:B)</f>
        <v>#N/A</v>
      </c>
      <c r="F119" s="650"/>
      <c r="G119" s="650"/>
      <c r="H119" s="653"/>
      <c r="I119" s="653"/>
      <c r="J119" s="654"/>
      <c r="K119" s="650"/>
      <c r="L119" s="650"/>
      <c r="M119" s="650">
        <v>0</v>
      </c>
      <c r="N119" s="654"/>
      <c r="O119" s="654"/>
      <c r="P119" s="654"/>
      <c r="Q119" s="654"/>
      <c r="R119" s="676"/>
      <c r="S119" s="654"/>
      <c r="T119" s="675"/>
      <c r="U119" s="675"/>
      <c r="V119" s="670" t="e">
        <f>LOOKUP(D119,'f-travail'!A:A,'f-travail'!E:E)</f>
        <v>#N/A</v>
      </c>
      <c r="W119" s="670" t="e">
        <f>VLOOKUP(V119,جرقمإستدلالي,'f-travail'!$AD$4+1,FALSE)</f>
        <v>#N/A</v>
      </c>
      <c r="X119" s="671" t="e">
        <f t="shared" si="37"/>
        <v>#N/A</v>
      </c>
      <c r="Y119" s="671">
        <f>IF(G119="مدير ولائي",(HLOOKUP(I119,جدروظعليا,'f-travail'!$AT$3+1,FALSE)-3200),0)</f>
        <v>0</v>
      </c>
      <c r="Z119" s="672" t="str">
        <f t="shared" si="54"/>
        <v/>
      </c>
      <c r="AA119" s="671">
        <f t="shared" si="55"/>
        <v>0</v>
      </c>
      <c r="AB119" s="677" t="b">
        <f t="shared" si="38"/>
        <v>0</v>
      </c>
      <c r="AC119" s="678">
        <f t="shared" si="56"/>
        <v>0</v>
      </c>
      <c r="AD119" s="673"/>
      <c r="AE119" s="678">
        <f t="shared" si="40"/>
        <v>0</v>
      </c>
      <c r="AF119" s="678" t="e">
        <f t="shared" si="41"/>
        <v>#N/A</v>
      </c>
      <c r="AG119" s="678" t="e">
        <f t="shared" si="42"/>
        <v>#N/A</v>
      </c>
      <c r="AH119" s="673">
        <f t="shared" si="57"/>
        <v>0</v>
      </c>
      <c r="AI119" s="674" t="e">
        <f>IF(G119="مدير ولائي",(11000*35%),LOOKUP(D119,'f-travail'!A:A,'f-travail'!I:I))</f>
        <v>#N/A</v>
      </c>
      <c r="AJ119" s="673" t="e">
        <f>IF(G119="مدير ولائي",((W119+X119)*45)*80%,IF(V119&lt;8,0,IF(F119="إليزي",(LOOKUP(D119,'f-travail'!A:A,'f-travail'!O:O))*(AF119+AG119),LOOKUP(D119,'f-travail'!A:A,'f-travail'!P:P)*(AF119+AG119))))</f>
        <v>#N/A</v>
      </c>
      <c r="AK119" s="673" t="e">
        <f>IF(G119="مدير ولائي",0,LOOKUP(D119,'f-travail'!A:A,'f-travail'!Q:Q))</f>
        <v>#N/A</v>
      </c>
      <c r="AL119" s="673" t="e">
        <f>IF(G119="مدير ولائي",0,LOOKUP(D119,'f-travail'!A:A,'f-travail'!R:R)*(AF119+AG119))</f>
        <v>#N/A</v>
      </c>
      <c r="AM119" s="673" t="e">
        <f>IF(G119="مدير ولائي",0,LOOKUP(D119,'f-travail'!A:A,'f-travail'!S:S)*(AF119+AG119))</f>
        <v>#N/A</v>
      </c>
      <c r="AN119" s="673" t="e">
        <f>IF(G119="مدير ولائي",0,LOOKUP(D119,'f-travail'!A:A,'f-travail'!T:T)*(AF119+AG119))</f>
        <v>#N/A</v>
      </c>
      <c r="AO119" s="673" t="e">
        <f>IF(G119="مدير ولائي",0,LOOKUP(D119,'f-travail'!A:A,'f-travail'!U:U)*(AF119+AG119))</f>
        <v>#N/A</v>
      </c>
      <c r="AP119" s="673" t="e">
        <f>IF(G119="مدير ولائي",0,LOOKUP(D119,'f-travail'!A:A,'f-travail'!V:V)*(AF119+AG119))</f>
        <v>#N/A</v>
      </c>
      <c r="AQ119" s="673" t="e">
        <f>IF(G119="مدير ولائي",0,LOOKUP(D119,'f-travail'!A:A,'f-travail'!W:W)*(AF119+AG119))</f>
        <v>#N/A</v>
      </c>
      <c r="AR119" s="673">
        <f t="shared" si="58"/>
        <v>0</v>
      </c>
      <c r="AS119" s="673" t="e">
        <f>IF(G119="مدير ولائي",0,LOOKUP(D119,'f-travail'!A:A,'f-travail'!X:X)*(AF119+AG119))</f>
        <v>#N/A</v>
      </c>
      <c r="AT119" s="673" t="e">
        <f>IF(G119="مدير ولائي",0,LOOKUP(D119,'f-travail'!Y:Y,'f-travail'!R:R)*(AF119+AG119))</f>
        <v>#N/A</v>
      </c>
      <c r="AU119" s="673">
        <f t="shared" si="43"/>
        <v>0</v>
      </c>
      <c r="AV119" s="673">
        <f t="shared" si="44"/>
        <v>0</v>
      </c>
      <c r="AW119" s="673">
        <f t="shared" si="45"/>
        <v>0</v>
      </c>
      <c r="AY119" s="640" t="e">
        <f t="shared" si="59"/>
        <v>#N/A</v>
      </c>
      <c r="AZ119" s="673" t="e">
        <f t="shared" si="46"/>
        <v>#N/A</v>
      </c>
      <c r="BA119" s="639" t="e">
        <f t="shared" si="47"/>
        <v>#N/A</v>
      </c>
      <c r="BG119" s="639">
        <f t="shared" si="60"/>
        <v>0</v>
      </c>
      <c r="BH119" s="683">
        <f t="shared" si="61"/>
        <v>0</v>
      </c>
      <c r="BI119" s="683">
        <f t="shared" si="62"/>
        <v>0</v>
      </c>
      <c r="BJ119" s="641" t="e">
        <f t="shared" si="63"/>
        <v>#N/A</v>
      </c>
      <c r="BK119" s="641" t="e">
        <f t="shared" si="64"/>
        <v>#N/A</v>
      </c>
      <c r="BL119" s="641" t="e">
        <f t="shared" si="65"/>
        <v>#N/A</v>
      </c>
      <c r="BM119" s="684" t="e">
        <f t="shared" si="66"/>
        <v>#N/A</v>
      </c>
      <c r="BO119" s="682" t="e">
        <f>CONCATENATE(Z119," ",LOOKUP(D119,'f-travail'!A:A,'f-travail'!F:F))</f>
        <v>#N/A</v>
      </c>
      <c r="BP119" s="669" t="e">
        <f t="shared" si="53"/>
        <v>#N/A</v>
      </c>
    </row>
    <row r="120" spans="1:68">
      <c r="A120" s="636">
        <f t="shared" si="67"/>
        <v>119</v>
      </c>
      <c r="B120" s="637"/>
      <c r="C120" s="637"/>
      <c r="D120" s="652"/>
      <c r="E120" s="679" t="e">
        <f>LOOKUP(D120,'f-travail'!A:A,'f-travail'!B:B)</f>
        <v>#N/A</v>
      </c>
      <c r="F120" s="650"/>
      <c r="G120" s="650"/>
      <c r="H120" s="653"/>
      <c r="I120" s="653"/>
      <c r="J120" s="654"/>
      <c r="K120" s="650"/>
      <c r="L120" s="650"/>
      <c r="M120" s="650">
        <v>0</v>
      </c>
      <c r="N120" s="654"/>
      <c r="O120" s="654"/>
      <c r="P120" s="654"/>
      <c r="Q120" s="654"/>
      <c r="R120" s="676"/>
      <c r="S120" s="654"/>
      <c r="T120" s="675"/>
      <c r="U120" s="675"/>
      <c r="V120" s="670" t="e">
        <f>LOOKUP(D120,'f-travail'!A:A,'f-travail'!E:E)</f>
        <v>#N/A</v>
      </c>
      <c r="W120" s="670" t="e">
        <f>VLOOKUP(V120,جرقمإستدلالي,'f-travail'!$AD$4+1,FALSE)</f>
        <v>#N/A</v>
      </c>
      <c r="X120" s="671" t="e">
        <f t="shared" si="37"/>
        <v>#N/A</v>
      </c>
      <c r="Y120" s="671">
        <f>IF(G120="مدير ولائي",(HLOOKUP(I120,جدروظعليا,'f-travail'!$AT$3+1,FALSE)-3200),0)</f>
        <v>0</v>
      </c>
      <c r="Z120" s="672" t="str">
        <f t="shared" si="54"/>
        <v/>
      </c>
      <c r="AA120" s="671">
        <f t="shared" si="55"/>
        <v>0</v>
      </c>
      <c r="AB120" s="677" t="b">
        <f t="shared" si="38"/>
        <v>0</v>
      </c>
      <c r="AC120" s="678">
        <f t="shared" si="56"/>
        <v>0</v>
      </c>
      <c r="AD120" s="673"/>
      <c r="AE120" s="678">
        <f t="shared" si="40"/>
        <v>0</v>
      </c>
      <c r="AF120" s="678" t="e">
        <f t="shared" si="41"/>
        <v>#N/A</v>
      </c>
      <c r="AG120" s="678" t="e">
        <f t="shared" si="42"/>
        <v>#N/A</v>
      </c>
      <c r="AH120" s="673">
        <f t="shared" si="57"/>
        <v>0</v>
      </c>
      <c r="AI120" s="674" t="e">
        <f>IF(G120="مدير ولائي",(11000*35%),LOOKUP(D120,'f-travail'!A:A,'f-travail'!I:I))</f>
        <v>#N/A</v>
      </c>
      <c r="AJ120" s="673" t="e">
        <f>IF(G120="مدير ولائي",((W120+X120)*45)*80%,IF(V120&lt;8,0,IF(F120="إليزي",(LOOKUP(D120,'f-travail'!A:A,'f-travail'!O:O))*(AF120+AG120),LOOKUP(D120,'f-travail'!A:A,'f-travail'!P:P)*(AF120+AG120))))</f>
        <v>#N/A</v>
      </c>
      <c r="AK120" s="673" t="e">
        <f>IF(G120="مدير ولائي",0,LOOKUP(D120,'f-travail'!A:A,'f-travail'!Q:Q))</f>
        <v>#N/A</v>
      </c>
      <c r="AL120" s="673" t="e">
        <f>IF(G120="مدير ولائي",0,LOOKUP(D120,'f-travail'!A:A,'f-travail'!R:R)*(AF120+AG120))</f>
        <v>#N/A</v>
      </c>
      <c r="AM120" s="673" t="e">
        <f>IF(G120="مدير ولائي",0,LOOKUP(D120,'f-travail'!A:A,'f-travail'!S:S)*(AF120+AG120))</f>
        <v>#N/A</v>
      </c>
      <c r="AN120" s="673" t="e">
        <f>IF(G120="مدير ولائي",0,LOOKUP(D120,'f-travail'!A:A,'f-travail'!T:T)*(AF120+AG120))</f>
        <v>#N/A</v>
      </c>
      <c r="AO120" s="673" t="e">
        <f>IF(G120="مدير ولائي",0,LOOKUP(D120,'f-travail'!A:A,'f-travail'!U:U)*(AF120+AG120))</f>
        <v>#N/A</v>
      </c>
      <c r="AP120" s="673" t="e">
        <f>IF(G120="مدير ولائي",0,LOOKUP(D120,'f-travail'!A:A,'f-travail'!V:V)*(AF120+AG120))</f>
        <v>#N/A</v>
      </c>
      <c r="AQ120" s="673" t="e">
        <f>IF(G120="مدير ولائي",0,LOOKUP(D120,'f-travail'!A:A,'f-travail'!W:W)*(AF120+AG120))</f>
        <v>#N/A</v>
      </c>
      <c r="AR120" s="673">
        <f t="shared" si="58"/>
        <v>0</v>
      </c>
      <c r="AS120" s="673" t="e">
        <f>IF(G120="مدير ولائي",0,LOOKUP(D120,'f-travail'!A:A,'f-travail'!X:X)*(AF120+AG120))</f>
        <v>#N/A</v>
      </c>
      <c r="AT120" s="673" t="e">
        <f>IF(G120="مدير ولائي",0,LOOKUP(D120,'f-travail'!Y:Y,'f-travail'!R:R)*(AF120+AG120))</f>
        <v>#N/A</v>
      </c>
      <c r="AU120" s="673">
        <f t="shared" si="43"/>
        <v>0</v>
      </c>
      <c r="AV120" s="673">
        <f t="shared" si="44"/>
        <v>0</v>
      </c>
      <c r="AW120" s="673">
        <f t="shared" si="45"/>
        <v>0</v>
      </c>
      <c r="AY120" s="640" t="e">
        <f t="shared" si="59"/>
        <v>#N/A</v>
      </c>
      <c r="AZ120" s="673" t="e">
        <f t="shared" si="46"/>
        <v>#N/A</v>
      </c>
      <c r="BA120" s="639" t="e">
        <f t="shared" si="47"/>
        <v>#N/A</v>
      </c>
      <c r="BG120" s="639">
        <f t="shared" si="60"/>
        <v>0</v>
      </c>
      <c r="BH120" s="683">
        <f t="shared" si="61"/>
        <v>0</v>
      </c>
      <c r="BI120" s="683">
        <f t="shared" si="62"/>
        <v>0</v>
      </c>
      <c r="BJ120" s="641" t="e">
        <f t="shared" si="63"/>
        <v>#N/A</v>
      </c>
      <c r="BK120" s="641" t="e">
        <f t="shared" si="64"/>
        <v>#N/A</v>
      </c>
      <c r="BL120" s="641" t="e">
        <f t="shared" si="65"/>
        <v>#N/A</v>
      </c>
      <c r="BM120" s="684" t="e">
        <f t="shared" si="66"/>
        <v>#N/A</v>
      </c>
      <c r="BO120" s="682" t="e">
        <f>CONCATENATE(Z120," ",LOOKUP(D120,'f-travail'!A:A,'f-travail'!F:F))</f>
        <v>#N/A</v>
      </c>
      <c r="BP120" s="669" t="e">
        <f t="shared" si="53"/>
        <v>#N/A</v>
      </c>
    </row>
    <row r="121" spans="1:68">
      <c r="A121" s="636">
        <f t="shared" si="67"/>
        <v>120</v>
      </c>
      <c r="B121" s="637"/>
      <c r="C121" s="637"/>
      <c r="D121" s="652"/>
      <c r="E121" s="679" t="e">
        <f>LOOKUP(D121,'f-travail'!A:A,'f-travail'!B:B)</f>
        <v>#N/A</v>
      </c>
      <c r="F121" s="650"/>
      <c r="G121" s="650"/>
      <c r="H121" s="653"/>
      <c r="I121" s="653"/>
      <c r="J121" s="654"/>
      <c r="K121" s="650"/>
      <c r="L121" s="650"/>
      <c r="M121" s="650">
        <v>0</v>
      </c>
      <c r="N121" s="654"/>
      <c r="O121" s="654"/>
      <c r="P121" s="654"/>
      <c r="Q121" s="654"/>
      <c r="R121" s="676"/>
      <c r="S121" s="654"/>
      <c r="T121" s="675"/>
      <c r="U121" s="675"/>
      <c r="V121" s="670" t="e">
        <f>LOOKUP(D121,'f-travail'!A:A,'f-travail'!E:E)</f>
        <v>#N/A</v>
      </c>
      <c r="W121" s="670" t="e">
        <f>VLOOKUP(V121,جرقمإستدلالي,'f-travail'!$AD$4+1,FALSE)</f>
        <v>#N/A</v>
      </c>
      <c r="X121" s="671" t="e">
        <f t="shared" si="37"/>
        <v>#N/A</v>
      </c>
      <c r="Y121" s="671">
        <f>IF(G121="مدير ولائي",(HLOOKUP(I121,جدروظعليا,'f-travail'!$AT$3+1,FALSE)-3200),0)</f>
        <v>0</v>
      </c>
      <c r="Z121" s="672" t="str">
        <f t="shared" si="54"/>
        <v/>
      </c>
      <c r="AA121" s="671">
        <f t="shared" si="55"/>
        <v>0</v>
      </c>
      <c r="AB121" s="677" t="b">
        <f t="shared" si="38"/>
        <v>0</v>
      </c>
      <c r="AC121" s="678">
        <f t="shared" si="56"/>
        <v>0</v>
      </c>
      <c r="AD121" s="673"/>
      <c r="AE121" s="678">
        <f t="shared" si="40"/>
        <v>0</v>
      </c>
      <c r="AF121" s="678" t="e">
        <f t="shared" si="41"/>
        <v>#N/A</v>
      </c>
      <c r="AG121" s="678" t="e">
        <f t="shared" si="42"/>
        <v>#N/A</v>
      </c>
      <c r="AH121" s="673">
        <f t="shared" si="57"/>
        <v>0</v>
      </c>
      <c r="AI121" s="674" t="e">
        <f>IF(G121="مدير ولائي",(11000*35%),LOOKUP(D121,'f-travail'!A:A,'f-travail'!I:I))</f>
        <v>#N/A</v>
      </c>
      <c r="AJ121" s="673" t="e">
        <f>IF(G121="مدير ولائي",((W121+X121)*45)*80%,IF(V121&lt;8,0,IF(F121="إليزي",(LOOKUP(D121,'f-travail'!A:A,'f-travail'!O:O))*(AF121+AG121),LOOKUP(D121,'f-travail'!A:A,'f-travail'!P:P)*(AF121+AG121))))</f>
        <v>#N/A</v>
      </c>
      <c r="AK121" s="673" t="e">
        <f>IF(G121="مدير ولائي",0,LOOKUP(D121,'f-travail'!A:A,'f-travail'!Q:Q))</f>
        <v>#N/A</v>
      </c>
      <c r="AL121" s="673" t="e">
        <f>IF(G121="مدير ولائي",0,LOOKUP(D121,'f-travail'!A:A,'f-travail'!R:R)*(AF121+AG121))</f>
        <v>#N/A</v>
      </c>
      <c r="AM121" s="673" t="e">
        <f>IF(G121="مدير ولائي",0,LOOKUP(D121,'f-travail'!A:A,'f-travail'!S:S)*(AF121+AG121))</f>
        <v>#N/A</v>
      </c>
      <c r="AN121" s="673" t="e">
        <f>IF(G121="مدير ولائي",0,LOOKUP(D121,'f-travail'!A:A,'f-travail'!T:T)*(AF121+AG121))</f>
        <v>#N/A</v>
      </c>
      <c r="AO121" s="673" t="e">
        <f>IF(G121="مدير ولائي",0,LOOKUP(D121,'f-travail'!A:A,'f-travail'!U:U)*(AF121+AG121))</f>
        <v>#N/A</v>
      </c>
      <c r="AP121" s="673" t="e">
        <f>IF(G121="مدير ولائي",0,LOOKUP(D121,'f-travail'!A:A,'f-travail'!V:V)*(AF121+AG121))</f>
        <v>#N/A</v>
      </c>
      <c r="AQ121" s="673" t="e">
        <f>IF(G121="مدير ولائي",0,LOOKUP(D121,'f-travail'!A:A,'f-travail'!W:W)*(AF121+AG121))</f>
        <v>#N/A</v>
      </c>
      <c r="AR121" s="673">
        <f t="shared" si="58"/>
        <v>0</v>
      </c>
      <c r="AS121" s="673" t="e">
        <f>IF(G121="مدير ولائي",0,LOOKUP(D121,'f-travail'!A:A,'f-travail'!X:X)*(AF121+AG121))</f>
        <v>#N/A</v>
      </c>
      <c r="AT121" s="673" t="e">
        <f>IF(G121="مدير ولائي",0,LOOKUP(D121,'f-travail'!Y:Y,'f-travail'!R:R)*(AF121+AG121))</f>
        <v>#N/A</v>
      </c>
      <c r="AU121" s="673">
        <f t="shared" si="43"/>
        <v>0</v>
      </c>
      <c r="AV121" s="673">
        <f t="shared" si="44"/>
        <v>0</v>
      </c>
      <c r="AW121" s="673">
        <f t="shared" si="45"/>
        <v>0</v>
      </c>
      <c r="AY121" s="640" t="e">
        <f t="shared" si="59"/>
        <v>#N/A</v>
      </c>
      <c r="AZ121" s="673" t="e">
        <f t="shared" si="46"/>
        <v>#N/A</v>
      </c>
      <c r="BA121" s="639" t="e">
        <f t="shared" si="47"/>
        <v>#N/A</v>
      </c>
      <c r="BG121" s="639">
        <f t="shared" si="60"/>
        <v>0</v>
      </c>
      <c r="BH121" s="683">
        <f t="shared" si="61"/>
        <v>0</v>
      </c>
      <c r="BI121" s="683">
        <f t="shared" si="62"/>
        <v>0</v>
      </c>
      <c r="BJ121" s="641" t="e">
        <f t="shared" si="63"/>
        <v>#N/A</v>
      </c>
      <c r="BK121" s="641" t="e">
        <f t="shared" si="64"/>
        <v>#N/A</v>
      </c>
      <c r="BL121" s="641" t="e">
        <f t="shared" si="65"/>
        <v>#N/A</v>
      </c>
      <c r="BM121" s="684" t="e">
        <f t="shared" si="66"/>
        <v>#N/A</v>
      </c>
      <c r="BO121" s="682" t="e">
        <f>CONCATENATE(Z121," ",LOOKUP(D121,'f-travail'!A:A,'f-travail'!F:F))</f>
        <v>#N/A</v>
      </c>
      <c r="BP121" s="669" t="e">
        <f t="shared" si="53"/>
        <v>#N/A</v>
      </c>
    </row>
    <row r="122" spans="1:68">
      <c r="A122" s="636">
        <f t="shared" si="67"/>
        <v>121</v>
      </c>
      <c r="B122" s="637"/>
      <c r="C122" s="637"/>
      <c r="D122" s="652"/>
      <c r="E122" s="679" t="e">
        <f>LOOKUP(D122,'f-travail'!A:A,'f-travail'!B:B)</f>
        <v>#N/A</v>
      </c>
      <c r="F122" s="650"/>
      <c r="G122" s="650"/>
      <c r="H122" s="653"/>
      <c r="I122" s="653"/>
      <c r="J122" s="654"/>
      <c r="K122" s="650"/>
      <c r="L122" s="650"/>
      <c r="M122" s="650">
        <v>0</v>
      </c>
      <c r="N122" s="654"/>
      <c r="O122" s="654"/>
      <c r="P122" s="654"/>
      <c r="Q122" s="654"/>
      <c r="R122" s="676"/>
      <c r="S122" s="654"/>
      <c r="T122" s="675"/>
      <c r="U122" s="675"/>
      <c r="V122" s="670" t="e">
        <f>LOOKUP(D122,'f-travail'!A:A,'f-travail'!E:E)</f>
        <v>#N/A</v>
      </c>
      <c r="W122" s="670" t="e">
        <f>VLOOKUP(V122,جرقمإستدلالي,'f-travail'!$AD$4+1,FALSE)</f>
        <v>#N/A</v>
      </c>
      <c r="X122" s="671" t="e">
        <f t="shared" si="37"/>
        <v>#N/A</v>
      </c>
      <c r="Y122" s="671">
        <f>IF(G122="مدير ولائي",(HLOOKUP(I122,جدروظعليا,'f-travail'!$AT$3+1,FALSE)-3200),0)</f>
        <v>0</v>
      </c>
      <c r="Z122" s="672" t="str">
        <f t="shared" si="54"/>
        <v/>
      </c>
      <c r="AA122" s="671">
        <f t="shared" si="55"/>
        <v>0</v>
      </c>
      <c r="AB122" s="677" t="b">
        <f t="shared" si="38"/>
        <v>0</v>
      </c>
      <c r="AC122" s="678">
        <f t="shared" si="56"/>
        <v>0</v>
      </c>
      <c r="AD122" s="673"/>
      <c r="AE122" s="678">
        <f t="shared" si="40"/>
        <v>0</v>
      </c>
      <c r="AF122" s="678" t="e">
        <f t="shared" si="41"/>
        <v>#N/A</v>
      </c>
      <c r="AG122" s="678" t="e">
        <f t="shared" si="42"/>
        <v>#N/A</v>
      </c>
      <c r="AH122" s="673">
        <f t="shared" si="57"/>
        <v>0</v>
      </c>
      <c r="AI122" s="674" t="e">
        <f>IF(G122="مدير ولائي",(11000*35%),LOOKUP(D122,'f-travail'!A:A,'f-travail'!I:I))</f>
        <v>#N/A</v>
      </c>
      <c r="AJ122" s="673" t="e">
        <f>IF(G122="مدير ولائي",((W122+X122)*45)*80%,IF(V122&lt;8,0,IF(F122="إليزي",(LOOKUP(D122,'f-travail'!A:A,'f-travail'!O:O))*(AF122+AG122),LOOKUP(D122,'f-travail'!A:A,'f-travail'!P:P)*(AF122+AG122))))</f>
        <v>#N/A</v>
      </c>
      <c r="AK122" s="673" t="e">
        <f>IF(G122="مدير ولائي",0,LOOKUP(D122,'f-travail'!A:A,'f-travail'!Q:Q))</f>
        <v>#N/A</v>
      </c>
      <c r="AL122" s="673" t="e">
        <f>IF(G122="مدير ولائي",0,LOOKUP(D122,'f-travail'!A:A,'f-travail'!R:R)*(AF122+AG122))</f>
        <v>#N/A</v>
      </c>
      <c r="AM122" s="673" t="e">
        <f>IF(G122="مدير ولائي",0,LOOKUP(D122,'f-travail'!A:A,'f-travail'!S:S)*(AF122+AG122))</f>
        <v>#N/A</v>
      </c>
      <c r="AN122" s="673" t="e">
        <f>IF(G122="مدير ولائي",0,LOOKUP(D122,'f-travail'!A:A,'f-travail'!T:T)*(AF122+AG122))</f>
        <v>#N/A</v>
      </c>
      <c r="AO122" s="673" t="e">
        <f>IF(G122="مدير ولائي",0,LOOKUP(D122,'f-travail'!A:A,'f-travail'!U:U)*(AF122+AG122))</f>
        <v>#N/A</v>
      </c>
      <c r="AP122" s="673" t="e">
        <f>IF(G122="مدير ولائي",0,LOOKUP(D122,'f-travail'!A:A,'f-travail'!V:V)*(AF122+AG122))</f>
        <v>#N/A</v>
      </c>
      <c r="AQ122" s="673" t="e">
        <f>IF(G122="مدير ولائي",0,LOOKUP(D122,'f-travail'!A:A,'f-travail'!W:W)*(AF122+AG122))</f>
        <v>#N/A</v>
      </c>
      <c r="AR122" s="673">
        <f t="shared" si="58"/>
        <v>0</v>
      </c>
      <c r="AS122" s="673" t="e">
        <f>IF(G122="مدير ولائي",0,LOOKUP(D122,'f-travail'!A:A,'f-travail'!X:X)*(AF122+AG122))</f>
        <v>#N/A</v>
      </c>
      <c r="AT122" s="673" t="e">
        <f>IF(G122="مدير ولائي",0,LOOKUP(D122,'f-travail'!Y:Y,'f-travail'!R:R)*(AF122+AG122))</f>
        <v>#N/A</v>
      </c>
      <c r="AU122" s="673">
        <f t="shared" si="43"/>
        <v>0</v>
      </c>
      <c r="AV122" s="673">
        <f t="shared" si="44"/>
        <v>0</v>
      </c>
      <c r="AW122" s="673">
        <f t="shared" si="45"/>
        <v>0</v>
      </c>
      <c r="AY122" s="640" t="e">
        <f t="shared" si="59"/>
        <v>#N/A</v>
      </c>
      <c r="AZ122" s="673" t="e">
        <f t="shared" si="46"/>
        <v>#N/A</v>
      </c>
      <c r="BA122" s="639" t="e">
        <f t="shared" si="47"/>
        <v>#N/A</v>
      </c>
      <c r="BG122" s="639">
        <f t="shared" si="60"/>
        <v>0</v>
      </c>
      <c r="BH122" s="683">
        <f t="shared" si="61"/>
        <v>0</v>
      </c>
      <c r="BI122" s="683">
        <f t="shared" si="62"/>
        <v>0</v>
      </c>
      <c r="BJ122" s="641" t="e">
        <f t="shared" si="63"/>
        <v>#N/A</v>
      </c>
      <c r="BK122" s="641" t="e">
        <f t="shared" si="64"/>
        <v>#N/A</v>
      </c>
      <c r="BL122" s="641" t="e">
        <f t="shared" si="65"/>
        <v>#N/A</v>
      </c>
      <c r="BM122" s="684" t="e">
        <f t="shared" si="66"/>
        <v>#N/A</v>
      </c>
      <c r="BO122" s="682" t="e">
        <f>CONCATENATE(Z122," ",LOOKUP(D122,'f-travail'!A:A,'f-travail'!F:F))</f>
        <v>#N/A</v>
      </c>
      <c r="BP122" s="669" t="e">
        <f t="shared" si="53"/>
        <v>#N/A</v>
      </c>
    </row>
    <row r="123" spans="1:68">
      <c r="A123" s="636">
        <f t="shared" si="67"/>
        <v>122</v>
      </c>
      <c r="B123" s="637"/>
      <c r="C123" s="637"/>
      <c r="D123" s="652"/>
      <c r="E123" s="679" t="e">
        <f>LOOKUP(D123,'f-travail'!A:A,'f-travail'!B:B)</f>
        <v>#N/A</v>
      </c>
      <c r="F123" s="650"/>
      <c r="G123" s="650"/>
      <c r="H123" s="653"/>
      <c r="I123" s="653"/>
      <c r="J123" s="654"/>
      <c r="K123" s="650"/>
      <c r="L123" s="650"/>
      <c r="M123" s="650">
        <v>0</v>
      </c>
      <c r="N123" s="654"/>
      <c r="O123" s="654"/>
      <c r="P123" s="654"/>
      <c r="Q123" s="654"/>
      <c r="R123" s="676"/>
      <c r="S123" s="654"/>
      <c r="T123" s="675"/>
      <c r="U123" s="675"/>
      <c r="V123" s="670" t="e">
        <f>LOOKUP(D123,'f-travail'!A:A,'f-travail'!E:E)</f>
        <v>#N/A</v>
      </c>
      <c r="W123" s="670" t="e">
        <f>VLOOKUP(V123,جرقمإستدلالي,'f-travail'!$AD$4+1,FALSE)</f>
        <v>#N/A</v>
      </c>
      <c r="X123" s="671" t="e">
        <f t="shared" si="37"/>
        <v>#N/A</v>
      </c>
      <c r="Y123" s="671">
        <f>IF(G123="مدير ولائي",(HLOOKUP(I123,جدروظعليا,'f-travail'!$AT$3+1,FALSE)-3200),0)</f>
        <v>0</v>
      </c>
      <c r="Z123" s="672" t="str">
        <f t="shared" si="54"/>
        <v/>
      </c>
      <c r="AA123" s="671">
        <f t="shared" si="55"/>
        <v>0</v>
      </c>
      <c r="AB123" s="677" t="b">
        <f t="shared" si="38"/>
        <v>0</v>
      </c>
      <c r="AC123" s="678">
        <f t="shared" si="56"/>
        <v>0</v>
      </c>
      <c r="AD123" s="673"/>
      <c r="AE123" s="678">
        <f t="shared" si="40"/>
        <v>0</v>
      </c>
      <c r="AF123" s="678" t="e">
        <f t="shared" si="41"/>
        <v>#N/A</v>
      </c>
      <c r="AG123" s="678" t="e">
        <f t="shared" si="42"/>
        <v>#N/A</v>
      </c>
      <c r="AH123" s="673">
        <f t="shared" si="57"/>
        <v>0</v>
      </c>
      <c r="AI123" s="674" t="e">
        <f>IF(G123="مدير ولائي",(11000*35%),LOOKUP(D123,'f-travail'!A:A,'f-travail'!I:I))</f>
        <v>#N/A</v>
      </c>
      <c r="AJ123" s="673" t="e">
        <f>IF(G123="مدير ولائي",((W123+X123)*45)*80%,IF(V123&lt;8,0,IF(F123="إليزي",(LOOKUP(D123,'f-travail'!A:A,'f-travail'!O:O))*(AF123+AG123),LOOKUP(D123,'f-travail'!A:A,'f-travail'!P:P)*(AF123+AG123))))</f>
        <v>#N/A</v>
      </c>
      <c r="AK123" s="673" t="e">
        <f>IF(G123="مدير ولائي",0,LOOKUP(D123,'f-travail'!A:A,'f-travail'!Q:Q))</f>
        <v>#N/A</v>
      </c>
      <c r="AL123" s="673" t="e">
        <f>IF(G123="مدير ولائي",0,LOOKUP(D123,'f-travail'!A:A,'f-travail'!R:R)*(AF123+AG123))</f>
        <v>#N/A</v>
      </c>
      <c r="AM123" s="673" t="e">
        <f>IF(G123="مدير ولائي",0,LOOKUP(D123,'f-travail'!A:A,'f-travail'!S:S)*(AF123+AG123))</f>
        <v>#N/A</v>
      </c>
      <c r="AN123" s="673" t="e">
        <f>IF(G123="مدير ولائي",0,LOOKUP(D123,'f-travail'!A:A,'f-travail'!T:T)*(AF123+AG123))</f>
        <v>#N/A</v>
      </c>
      <c r="AO123" s="673" t="e">
        <f>IF(G123="مدير ولائي",0,LOOKUP(D123,'f-travail'!A:A,'f-travail'!U:U)*(AF123+AG123))</f>
        <v>#N/A</v>
      </c>
      <c r="AP123" s="673" t="e">
        <f>IF(G123="مدير ولائي",0,LOOKUP(D123,'f-travail'!A:A,'f-travail'!V:V)*(AF123+AG123))</f>
        <v>#N/A</v>
      </c>
      <c r="AQ123" s="673" t="e">
        <f>IF(G123="مدير ولائي",0,LOOKUP(D123,'f-travail'!A:A,'f-travail'!W:W)*(AF123+AG123))</f>
        <v>#N/A</v>
      </c>
      <c r="AR123" s="673">
        <f t="shared" si="58"/>
        <v>0</v>
      </c>
      <c r="AS123" s="673" t="e">
        <f>IF(G123="مدير ولائي",0,LOOKUP(D123,'f-travail'!A:A,'f-travail'!X:X)*(AF123+AG123))</f>
        <v>#N/A</v>
      </c>
      <c r="AT123" s="673" t="e">
        <f>IF(G123="مدير ولائي",0,LOOKUP(D123,'f-travail'!Y:Y,'f-travail'!R:R)*(AF123+AG123))</f>
        <v>#N/A</v>
      </c>
      <c r="AU123" s="673">
        <f t="shared" si="43"/>
        <v>0</v>
      </c>
      <c r="AV123" s="673">
        <f t="shared" si="44"/>
        <v>0</v>
      </c>
      <c r="AW123" s="673">
        <f t="shared" si="45"/>
        <v>0</v>
      </c>
      <c r="AY123" s="640" t="e">
        <f t="shared" si="59"/>
        <v>#N/A</v>
      </c>
      <c r="AZ123" s="673" t="e">
        <f t="shared" si="46"/>
        <v>#N/A</v>
      </c>
      <c r="BA123" s="639" t="e">
        <f t="shared" si="47"/>
        <v>#N/A</v>
      </c>
      <c r="BG123" s="639">
        <f t="shared" si="60"/>
        <v>0</v>
      </c>
      <c r="BH123" s="683">
        <f t="shared" si="61"/>
        <v>0</v>
      </c>
      <c r="BI123" s="683">
        <f t="shared" si="62"/>
        <v>0</v>
      </c>
      <c r="BJ123" s="641" t="e">
        <f t="shared" si="63"/>
        <v>#N/A</v>
      </c>
      <c r="BK123" s="641" t="e">
        <f t="shared" si="64"/>
        <v>#N/A</v>
      </c>
      <c r="BL123" s="641" t="e">
        <f t="shared" si="65"/>
        <v>#N/A</v>
      </c>
      <c r="BM123" s="684" t="e">
        <f t="shared" si="66"/>
        <v>#N/A</v>
      </c>
      <c r="BO123" s="682" t="e">
        <f>CONCATENATE(Z123," ",LOOKUP(D123,'f-travail'!A:A,'f-travail'!F:F))</f>
        <v>#N/A</v>
      </c>
      <c r="BP123" s="669" t="e">
        <f t="shared" si="53"/>
        <v>#N/A</v>
      </c>
    </row>
    <row r="124" spans="1:68">
      <c r="A124" s="636">
        <f t="shared" si="67"/>
        <v>123</v>
      </c>
      <c r="B124" s="637"/>
      <c r="C124" s="637"/>
      <c r="D124" s="652"/>
      <c r="E124" s="679" t="e">
        <f>LOOKUP(D124,'f-travail'!A:A,'f-travail'!B:B)</f>
        <v>#N/A</v>
      </c>
      <c r="F124" s="650"/>
      <c r="G124" s="650"/>
      <c r="H124" s="653"/>
      <c r="I124" s="653"/>
      <c r="J124" s="654"/>
      <c r="K124" s="650"/>
      <c r="L124" s="650"/>
      <c r="M124" s="650">
        <v>0</v>
      </c>
      <c r="N124" s="654"/>
      <c r="O124" s="654"/>
      <c r="P124" s="654"/>
      <c r="Q124" s="654"/>
      <c r="R124" s="676"/>
      <c r="S124" s="654"/>
      <c r="T124" s="675"/>
      <c r="U124" s="675"/>
      <c r="V124" s="670" t="e">
        <f>LOOKUP(D124,'f-travail'!A:A,'f-travail'!E:E)</f>
        <v>#N/A</v>
      </c>
      <c r="W124" s="670" t="e">
        <f>VLOOKUP(V124,جرقمإستدلالي,'f-travail'!$AD$4+1,FALSE)</f>
        <v>#N/A</v>
      </c>
      <c r="X124" s="671" t="e">
        <f t="shared" si="37"/>
        <v>#N/A</v>
      </c>
      <c r="Y124" s="671">
        <f>IF(G124="مدير ولائي",(HLOOKUP(I124,جدروظعليا,'f-travail'!$AT$3+1,FALSE)-3200),0)</f>
        <v>0</v>
      </c>
      <c r="Z124" s="672" t="str">
        <f t="shared" si="54"/>
        <v/>
      </c>
      <c r="AA124" s="671">
        <f t="shared" si="55"/>
        <v>0</v>
      </c>
      <c r="AB124" s="677" t="b">
        <f t="shared" si="38"/>
        <v>0</v>
      </c>
      <c r="AC124" s="678">
        <f t="shared" si="56"/>
        <v>0</v>
      </c>
      <c r="AD124" s="673"/>
      <c r="AE124" s="678">
        <f t="shared" si="40"/>
        <v>0</v>
      </c>
      <c r="AF124" s="678" t="e">
        <f t="shared" si="41"/>
        <v>#N/A</v>
      </c>
      <c r="AG124" s="678" t="e">
        <f t="shared" si="42"/>
        <v>#N/A</v>
      </c>
      <c r="AH124" s="673">
        <f t="shared" si="57"/>
        <v>0</v>
      </c>
      <c r="AI124" s="674" t="e">
        <f>IF(G124="مدير ولائي",(11000*35%),LOOKUP(D124,'f-travail'!A:A,'f-travail'!I:I))</f>
        <v>#N/A</v>
      </c>
      <c r="AJ124" s="673" t="e">
        <f>IF(G124="مدير ولائي",((W124+X124)*45)*80%,IF(V124&lt;8,0,IF(F124="إليزي",(LOOKUP(D124,'f-travail'!A:A,'f-travail'!O:O))*(AF124+AG124),LOOKUP(D124,'f-travail'!A:A,'f-travail'!P:P)*(AF124+AG124))))</f>
        <v>#N/A</v>
      </c>
      <c r="AK124" s="673" t="e">
        <f>IF(G124="مدير ولائي",0,LOOKUP(D124,'f-travail'!A:A,'f-travail'!Q:Q))</f>
        <v>#N/A</v>
      </c>
      <c r="AL124" s="673" t="e">
        <f>IF(G124="مدير ولائي",0,LOOKUP(D124,'f-travail'!A:A,'f-travail'!R:R)*(AF124+AG124))</f>
        <v>#N/A</v>
      </c>
      <c r="AM124" s="673" t="e">
        <f>IF(G124="مدير ولائي",0,LOOKUP(D124,'f-travail'!A:A,'f-travail'!S:S)*(AF124+AG124))</f>
        <v>#N/A</v>
      </c>
      <c r="AN124" s="673" t="e">
        <f>IF(G124="مدير ولائي",0,LOOKUP(D124,'f-travail'!A:A,'f-travail'!T:T)*(AF124+AG124))</f>
        <v>#N/A</v>
      </c>
      <c r="AO124" s="673" t="e">
        <f>IF(G124="مدير ولائي",0,LOOKUP(D124,'f-travail'!A:A,'f-travail'!U:U)*(AF124+AG124))</f>
        <v>#N/A</v>
      </c>
      <c r="AP124" s="673" t="e">
        <f>IF(G124="مدير ولائي",0,LOOKUP(D124,'f-travail'!A:A,'f-travail'!V:V)*(AF124+AG124))</f>
        <v>#N/A</v>
      </c>
      <c r="AQ124" s="673" t="e">
        <f>IF(G124="مدير ولائي",0,LOOKUP(D124,'f-travail'!A:A,'f-travail'!W:W)*(AF124+AG124))</f>
        <v>#N/A</v>
      </c>
      <c r="AR124" s="673">
        <f t="shared" si="58"/>
        <v>0</v>
      </c>
      <c r="AS124" s="673" t="e">
        <f>IF(G124="مدير ولائي",0,LOOKUP(D124,'f-travail'!A:A,'f-travail'!X:X)*(AF124+AG124))</f>
        <v>#N/A</v>
      </c>
      <c r="AT124" s="673" t="e">
        <f>IF(G124="مدير ولائي",0,LOOKUP(D124,'f-travail'!Y:Y,'f-travail'!R:R)*(AF124+AG124))</f>
        <v>#N/A</v>
      </c>
      <c r="AU124" s="673">
        <f t="shared" si="43"/>
        <v>0</v>
      </c>
      <c r="AV124" s="673">
        <f t="shared" si="44"/>
        <v>0</v>
      </c>
      <c r="AW124" s="673">
        <f t="shared" si="45"/>
        <v>0</v>
      </c>
      <c r="AY124" s="640" t="e">
        <f t="shared" si="59"/>
        <v>#N/A</v>
      </c>
      <c r="AZ124" s="673" t="e">
        <f t="shared" si="46"/>
        <v>#N/A</v>
      </c>
      <c r="BA124" s="639" t="e">
        <f t="shared" si="47"/>
        <v>#N/A</v>
      </c>
      <c r="BG124" s="639">
        <f t="shared" si="60"/>
        <v>0</v>
      </c>
      <c r="BH124" s="683">
        <f t="shared" si="61"/>
        <v>0</v>
      </c>
      <c r="BI124" s="683">
        <f t="shared" si="62"/>
        <v>0</v>
      </c>
      <c r="BJ124" s="641" t="e">
        <f t="shared" si="63"/>
        <v>#N/A</v>
      </c>
      <c r="BK124" s="641" t="e">
        <f t="shared" si="64"/>
        <v>#N/A</v>
      </c>
      <c r="BL124" s="641" t="e">
        <f t="shared" si="65"/>
        <v>#N/A</v>
      </c>
      <c r="BM124" s="684" t="e">
        <f t="shared" si="66"/>
        <v>#N/A</v>
      </c>
      <c r="BO124" s="682" t="e">
        <f>CONCATENATE(Z124," ",LOOKUP(D124,'f-travail'!A:A,'f-travail'!F:F))</f>
        <v>#N/A</v>
      </c>
      <c r="BP124" s="669" t="e">
        <f t="shared" si="53"/>
        <v>#N/A</v>
      </c>
    </row>
    <row r="125" spans="1:68">
      <c r="A125" s="636">
        <f t="shared" si="67"/>
        <v>124</v>
      </c>
      <c r="B125" s="637"/>
      <c r="C125" s="637"/>
      <c r="D125" s="652"/>
      <c r="E125" s="679" t="e">
        <f>LOOKUP(D125,'f-travail'!A:A,'f-travail'!B:B)</f>
        <v>#N/A</v>
      </c>
      <c r="F125" s="650"/>
      <c r="G125" s="650"/>
      <c r="H125" s="653"/>
      <c r="I125" s="653"/>
      <c r="J125" s="654"/>
      <c r="K125" s="650"/>
      <c r="L125" s="650"/>
      <c r="M125" s="650">
        <v>0</v>
      </c>
      <c r="N125" s="654"/>
      <c r="O125" s="654"/>
      <c r="P125" s="654"/>
      <c r="Q125" s="654"/>
      <c r="R125" s="676"/>
      <c r="S125" s="654"/>
      <c r="T125" s="675"/>
      <c r="U125" s="675"/>
      <c r="V125" s="670" t="e">
        <f>LOOKUP(D125,'f-travail'!A:A,'f-travail'!E:E)</f>
        <v>#N/A</v>
      </c>
      <c r="W125" s="670" t="e">
        <f>VLOOKUP(V125,جرقمإستدلالي,'f-travail'!$AD$4+1,FALSE)</f>
        <v>#N/A</v>
      </c>
      <c r="X125" s="671" t="e">
        <f t="shared" si="37"/>
        <v>#N/A</v>
      </c>
      <c r="Y125" s="671">
        <f>IF(G125="مدير ولائي",(HLOOKUP(I125,جدروظعليا,'f-travail'!$AT$3+1,FALSE)-3200),0)</f>
        <v>0</v>
      </c>
      <c r="Z125" s="672" t="str">
        <f t="shared" si="54"/>
        <v/>
      </c>
      <c r="AA125" s="671">
        <f t="shared" si="55"/>
        <v>0</v>
      </c>
      <c r="AB125" s="677" t="b">
        <f t="shared" si="38"/>
        <v>0</v>
      </c>
      <c r="AC125" s="678">
        <f t="shared" si="56"/>
        <v>0</v>
      </c>
      <c r="AD125" s="673"/>
      <c r="AE125" s="678">
        <f t="shared" si="40"/>
        <v>0</v>
      </c>
      <c r="AF125" s="678" t="e">
        <f t="shared" si="41"/>
        <v>#N/A</v>
      </c>
      <c r="AG125" s="678" t="e">
        <f t="shared" si="42"/>
        <v>#N/A</v>
      </c>
      <c r="AH125" s="673">
        <f t="shared" si="57"/>
        <v>0</v>
      </c>
      <c r="AI125" s="674" t="e">
        <f>IF(G125="مدير ولائي",(11000*35%),LOOKUP(D125,'f-travail'!A:A,'f-travail'!I:I))</f>
        <v>#N/A</v>
      </c>
      <c r="AJ125" s="673" t="e">
        <f>IF(G125="مدير ولائي",((W125+X125)*45)*80%,IF(V125&lt;8,0,IF(F125="إليزي",(LOOKUP(D125,'f-travail'!A:A,'f-travail'!O:O))*(AF125+AG125),LOOKUP(D125,'f-travail'!A:A,'f-travail'!P:P)*(AF125+AG125))))</f>
        <v>#N/A</v>
      </c>
      <c r="AK125" s="673" t="e">
        <f>IF(G125="مدير ولائي",0,LOOKUP(D125,'f-travail'!A:A,'f-travail'!Q:Q))</f>
        <v>#N/A</v>
      </c>
      <c r="AL125" s="673" t="e">
        <f>IF(G125="مدير ولائي",0,LOOKUP(D125,'f-travail'!A:A,'f-travail'!R:R)*(AF125+AG125))</f>
        <v>#N/A</v>
      </c>
      <c r="AM125" s="673" t="e">
        <f>IF(G125="مدير ولائي",0,LOOKUP(D125,'f-travail'!A:A,'f-travail'!S:S)*(AF125+AG125))</f>
        <v>#N/A</v>
      </c>
      <c r="AN125" s="673" t="e">
        <f>IF(G125="مدير ولائي",0,LOOKUP(D125,'f-travail'!A:A,'f-travail'!T:T)*(AF125+AG125))</f>
        <v>#N/A</v>
      </c>
      <c r="AO125" s="673" t="e">
        <f>IF(G125="مدير ولائي",0,LOOKUP(D125,'f-travail'!A:A,'f-travail'!U:U)*(AF125+AG125))</f>
        <v>#N/A</v>
      </c>
      <c r="AP125" s="673" t="e">
        <f>IF(G125="مدير ولائي",0,LOOKUP(D125,'f-travail'!A:A,'f-travail'!V:V)*(AF125+AG125))</f>
        <v>#N/A</v>
      </c>
      <c r="AQ125" s="673" t="e">
        <f>IF(G125="مدير ولائي",0,LOOKUP(D125,'f-travail'!A:A,'f-travail'!W:W)*(AF125+AG125))</f>
        <v>#N/A</v>
      </c>
      <c r="AR125" s="673">
        <f t="shared" si="58"/>
        <v>0</v>
      </c>
      <c r="AS125" s="673" t="e">
        <f>IF(G125="مدير ولائي",0,LOOKUP(D125,'f-travail'!A:A,'f-travail'!X:X)*(AF125+AG125))</f>
        <v>#N/A</v>
      </c>
      <c r="AT125" s="673" t="e">
        <f>IF(G125="مدير ولائي",0,LOOKUP(D125,'f-travail'!Y:Y,'f-travail'!R:R)*(AF125+AG125))</f>
        <v>#N/A</v>
      </c>
      <c r="AU125" s="673">
        <f t="shared" si="43"/>
        <v>0</v>
      </c>
      <c r="AV125" s="673">
        <f t="shared" si="44"/>
        <v>0</v>
      </c>
      <c r="AW125" s="673">
        <f t="shared" si="45"/>
        <v>0</v>
      </c>
      <c r="AY125" s="640" t="e">
        <f t="shared" si="59"/>
        <v>#N/A</v>
      </c>
      <c r="AZ125" s="673" t="e">
        <f t="shared" si="46"/>
        <v>#N/A</v>
      </c>
      <c r="BA125" s="639" t="e">
        <f t="shared" si="47"/>
        <v>#N/A</v>
      </c>
      <c r="BG125" s="639">
        <f t="shared" si="60"/>
        <v>0</v>
      </c>
      <c r="BH125" s="683">
        <f t="shared" si="61"/>
        <v>0</v>
      </c>
      <c r="BI125" s="683">
        <f t="shared" si="62"/>
        <v>0</v>
      </c>
      <c r="BJ125" s="641" t="e">
        <f t="shared" si="63"/>
        <v>#N/A</v>
      </c>
      <c r="BK125" s="641" t="e">
        <f t="shared" si="64"/>
        <v>#N/A</v>
      </c>
      <c r="BL125" s="641" t="e">
        <f t="shared" si="65"/>
        <v>#N/A</v>
      </c>
      <c r="BM125" s="684" t="e">
        <f t="shared" si="66"/>
        <v>#N/A</v>
      </c>
      <c r="BO125" s="682" t="e">
        <f>CONCATENATE(Z125," ",LOOKUP(D125,'f-travail'!A:A,'f-travail'!F:F))</f>
        <v>#N/A</v>
      </c>
      <c r="BP125" s="669" t="e">
        <f t="shared" si="53"/>
        <v>#N/A</v>
      </c>
    </row>
    <row r="126" spans="1:68">
      <c r="A126" s="636">
        <f t="shared" si="67"/>
        <v>125</v>
      </c>
      <c r="B126" s="637"/>
      <c r="C126" s="637"/>
      <c r="D126" s="652"/>
      <c r="E126" s="679" t="e">
        <f>LOOKUP(D126,'f-travail'!A:A,'f-travail'!B:B)</f>
        <v>#N/A</v>
      </c>
      <c r="F126" s="650"/>
      <c r="G126" s="650"/>
      <c r="H126" s="653"/>
      <c r="I126" s="653"/>
      <c r="J126" s="654"/>
      <c r="K126" s="650"/>
      <c r="L126" s="650"/>
      <c r="M126" s="650">
        <v>0</v>
      </c>
      <c r="N126" s="654"/>
      <c r="O126" s="654"/>
      <c r="P126" s="654"/>
      <c r="Q126" s="654"/>
      <c r="R126" s="676"/>
      <c r="S126" s="654"/>
      <c r="T126" s="675"/>
      <c r="U126" s="675"/>
      <c r="V126" s="670" t="e">
        <f>LOOKUP(D126,'f-travail'!A:A,'f-travail'!E:E)</f>
        <v>#N/A</v>
      </c>
      <c r="W126" s="670" t="e">
        <f>VLOOKUP(V126,جرقمإستدلالي,'f-travail'!$AD$4+1,FALSE)</f>
        <v>#N/A</v>
      </c>
      <c r="X126" s="671" t="e">
        <f t="shared" si="37"/>
        <v>#N/A</v>
      </c>
      <c r="Y126" s="671">
        <f>IF(G126="مدير ولائي",(HLOOKUP(I126,جدروظعليا,'f-travail'!$AT$3+1,FALSE)-3200),0)</f>
        <v>0</v>
      </c>
      <c r="Z126" s="672" t="str">
        <f t="shared" si="54"/>
        <v/>
      </c>
      <c r="AA126" s="671">
        <f t="shared" si="55"/>
        <v>0</v>
      </c>
      <c r="AB126" s="677" t="b">
        <f t="shared" si="38"/>
        <v>0</v>
      </c>
      <c r="AC126" s="678">
        <f t="shared" si="56"/>
        <v>0</v>
      </c>
      <c r="AD126" s="673"/>
      <c r="AE126" s="678">
        <f t="shared" si="40"/>
        <v>0</v>
      </c>
      <c r="AF126" s="678" t="e">
        <f t="shared" si="41"/>
        <v>#N/A</v>
      </c>
      <c r="AG126" s="678" t="e">
        <f t="shared" si="42"/>
        <v>#N/A</v>
      </c>
      <c r="AH126" s="673">
        <f t="shared" si="57"/>
        <v>0</v>
      </c>
      <c r="AI126" s="674" t="e">
        <f>IF(G126="مدير ولائي",(11000*35%),LOOKUP(D126,'f-travail'!A:A,'f-travail'!I:I))</f>
        <v>#N/A</v>
      </c>
      <c r="AJ126" s="673" t="e">
        <f>IF(G126="مدير ولائي",((W126+X126)*45)*80%,IF(V126&lt;8,0,IF(F126="إليزي",(LOOKUP(D126,'f-travail'!A:A,'f-travail'!O:O))*(AF126+AG126),LOOKUP(D126,'f-travail'!A:A,'f-travail'!P:P)*(AF126+AG126))))</f>
        <v>#N/A</v>
      </c>
      <c r="AK126" s="673" t="e">
        <f>IF(G126="مدير ولائي",0,LOOKUP(D126,'f-travail'!A:A,'f-travail'!Q:Q))</f>
        <v>#N/A</v>
      </c>
      <c r="AL126" s="673" t="e">
        <f>IF(G126="مدير ولائي",0,LOOKUP(D126,'f-travail'!A:A,'f-travail'!R:R)*(AF126+AG126))</f>
        <v>#N/A</v>
      </c>
      <c r="AM126" s="673" t="e">
        <f>IF(G126="مدير ولائي",0,LOOKUP(D126,'f-travail'!A:A,'f-travail'!S:S)*(AF126+AG126))</f>
        <v>#N/A</v>
      </c>
      <c r="AN126" s="673" t="e">
        <f>IF(G126="مدير ولائي",0,LOOKUP(D126,'f-travail'!A:A,'f-travail'!T:T)*(AF126+AG126))</f>
        <v>#N/A</v>
      </c>
      <c r="AO126" s="673" t="e">
        <f>IF(G126="مدير ولائي",0,LOOKUP(D126,'f-travail'!A:A,'f-travail'!U:U)*(AF126+AG126))</f>
        <v>#N/A</v>
      </c>
      <c r="AP126" s="673" t="e">
        <f>IF(G126="مدير ولائي",0,LOOKUP(D126,'f-travail'!A:A,'f-travail'!V:V)*(AF126+AG126))</f>
        <v>#N/A</v>
      </c>
      <c r="AQ126" s="673" t="e">
        <f>IF(G126="مدير ولائي",0,LOOKUP(D126,'f-travail'!A:A,'f-travail'!W:W)*(AF126+AG126))</f>
        <v>#N/A</v>
      </c>
      <c r="AR126" s="673">
        <f t="shared" si="58"/>
        <v>0</v>
      </c>
      <c r="AS126" s="673" t="e">
        <f>IF(G126="مدير ولائي",0,LOOKUP(D126,'f-travail'!A:A,'f-travail'!X:X)*(AF126+AG126))</f>
        <v>#N/A</v>
      </c>
      <c r="AT126" s="673" t="e">
        <f>IF(G126="مدير ولائي",0,LOOKUP(D126,'f-travail'!Y:Y,'f-travail'!R:R)*(AF126+AG126))</f>
        <v>#N/A</v>
      </c>
      <c r="AU126" s="673">
        <f t="shared" si="43"/>
        <v>0</v>
      </c>
      <c r="AV126" s="673">
        <f t="shared" si="44"/>
        <v>0</v>
      </c>
      <c r="AW126" s="673">
        <f t="shared" si="45"/>
        <v>0</v>
      </c>
      <c r="AY126" s="640" t="e">
        <f t="shared" si="59"/>
        <v>#N/A</v>
      </c>
      <c r="AZ126" s="673" t="e">
        <f t="shared" si="46"/>
        <v>#N/A</v>
      </c>
      <c r="BA126" s="639" t="e">
        <f t="shared" si="47"/>
        <v>#N/A</v>
      </c>
      <c r="BG126" s="639">
        <f t="shared" si="60"/>
        <v>0</v>
      </c>
      <c r="BH126" s="683">
        <f t="shared" si="61"/>
        <v>0</v>
      </c>
      <c r="BI126" s="683">
        <f t="shared" si="62"/>
        <v>0</v>
      </c>
      <c r="BJ126" s="641" t="e">
        <f t="shared" si="63"/>
        <v>#N/A</v>
      </c>
      <c r="BK126" s="641" t="e">
        <f t="shared" si="64"/>
        <v>#N/A</v>
      </c>
      <c r="BL126" s="641" t="e">
        <f t="shared" si="65"/>
        <v>#N/A</v>
      </c>
      <c r="BM126" s="684" t="e">
        <f t="shared" si="66"/>
        <v>#N/A</v>
      </c>
      <c r="BO126" s="682" t="e">
        <f>CONCATENATE(Z126," ",LOOKUP(D126,'f-travail'!A:A,'f-travail'!F:F))</f>
        <v>#N/A</v>
      </c>
      <c r="BP126" s="669" t="e">
        <f t="shared" si="53"/>
        <v>#N/A</v>
      </c>
    </row>
    <row r="127" spans="1:68">
      <c r="A127" s="636">
        <f t="shared" si="67"/>
        <v>126</v>
      </c>
      <c r="B127" s="637"/>
      <c r="C127" s="637"/>
      <c r="D127" s="652"/>
      <c r="E127" s="679" t="e">
        <f>LOOKUP(D127,'f-travail'!A:A,'f-travail'!B:B)</f>
        <v>#N/A</v>
      </c>
      <c r="F127" s="650"/>
      <c r="G127" s="650"/>
      <c r="H127" s="653"/>
      <c r="I127" s="653"/>
      <c r="J127" s="654"/>
      <c r="K127" s="650"/>
      <c r="L127" s="650"/>
      <c r="M127" s="650">
        <v>0</v>
      </c>
      <c r="N127" s="654"/>
      <c r="O127" s="654"/>
      <c r="P127" s="654"/>
      <c r="Q127" s="654"/>
      <c r="R127" s="676"/>
      <c r="S127" s="654"/>
      <c r="T127" s="675"/>
      <c r="U127" s="675"/>
      <c r="V127" s="670" t="e">
        <f>LOOKUP(D127,'f-travail'!A:A,'f-travail'!E:E)</f>
        <v>#N/A</v>
      </c>
      <c r="W127" s="670" t="e">
        <f>VLOOKUP(V127,جرقمإستدلالي,'f-travail'!$AD$4+1,FALSE)</f>
        <v>#N/A</v>
      </c>
      <c r="X127" s="671" t="e">
        <f t="shared" si="37"/>
        <v>#N/A</v>
      </c>
      <c r="Y127" s="671">
        <f>IF(G127="مدير ولائي",(HLOOKUP(I127,جدروظعليا,'f-travail'!$AT$3+1,FALSE)-3200),0)</f>
        <v>0</v>
      </c>
      <c r="Z127" s="672" t="str">
        <f t="shared" si="54"/>
        <v/>
      </c>
      <c r="AA127" s="671">
        <f t="shared" si="55"/>
        <v>0</v>
      </c>
      <c r="AB127" s="677" t="b">
        <f t="shared" si="38"/>
        <v>0</v>
      </c>
      <c r="AC127" s="678">
        <f t="shared" si="56"/>
        <v>0</v>
      </c>
      <c r="AD127" s="673"/>
      <c r="AE127" s="678">
        <f t="shared" si="40"/>
        <v>0</v>
      </c>
      <c r="AF127" s="678" t="e">
        <f t="shared" si="41"/>
        <v>#N/A</v>
      </c>
      <c r="AG127" s="678" t="e">
        <f t="shared" si="42"/>
        <v>#N/A</v>
      </c>
      <c r="AH127" s="673">
        <f t="shared" si="57"/>
        <v>0</v>
      </c>
      <c r="AI127" s="674" t="e">
        <f>IF(G127="مدير ولائي",(11000*35%),LOOKUP(D127,'f-travail'!A:A,'f-travail'!I:I))</f>
        <v>#N/A</v>
      </c>
      <c r="AJ127" s="673" t="e">
        <f>IF(G127="مدير ولائي",((W127+X127)*45)*80%,IF(V127&lt;8,0,IF(F127="إليزي",(LOOKUP(D127,'f-travail'!A:A,'f-travail'!O:O))*(AF127+AG127),LOOKUP(D127,'f-travail'!A:A,'f-travail'!P:P)*(AF127+AG127))))</f>
        <v>#N/A</v>
      </c>
      <c r="AK127" s="673" t="e">
        <f>IF(G127="مدير ولائي",0,LOOKUP(D127,'f-travail'!A:A,'f-travail'!Q:Q))</f>
        <v>#N/A</v>
      </c>
      <c r="AL127" s="673" t="e">
        <f>IF(G127="مدير ولائي",0,LOOKUP(D127,'f-travail'!A:A,'f-travail'!R:R)*(AF127+AG127))</f>
        <v>#N/A</v>
      </c>
      <c r="AM127" s="673" t="e">
        <f>IF(G127="مدير ولائي",0,LOOKUP(D127,'f-travail'!A:A,'f-travail'!S:S)*(AF127+AG127))</f>
        <v>#N/A</v>
      </c>
      <c r="AN127" s="673" t="e">
        <f>IF(G127="مدير ولائي",0,LOOKUP(D127,'f-travail'!A:A,'f-travail'!T:T)*(AF127+AG127))</f>
        <v>#N/A</v>
      </c>
      <c r="AO127" s="673" t="e">
        <f>IF(G127="مدير ولائي",0,LOOKUP(D127,'f-travail'!A:A,'f-travail'!U:U)*(AF127+AG127))</f>
        <v>#N/A</v>
      </c>
      <c r="AP127" s="673" t="e">
        <f>IF(G127="مدير ولائي",0,LOOKUP(D127,'f-travail'!A:A,'f-travail'!V:V)*(AF127+AG127))</f>
        <v>#N/A</v>
      </c>
      <c r="AQ127" s="673" t="e">
        <f>IF(G127="مدير ولائي",0,LOOKUP(D127,'f-travail'!A:A,'f-travail'!W:W)*(AF127+AG127))</f>
        <v>#N/A</v>
      </c>
      <c r="AR127" s="673">
        <f t="shared" si="58"/>
        <v>0</v>
      </c>
      <c r="AS127" s="673" t="e">
        <f>IF(G127="مدير ولائي",0,LOOKUP(D127,'f-travail'!A:A,'f-travail'!X:X)*(AF127+AG127))</f>
        <v>#N/A</v>
      </c>
      <c r="AT127" s="673" t="e">
        <f>IF(G127="مدير ولائي",0,LOOKUP(D127,'f-travail'!Y:Y,'f-travail'!R:R)*(AF127+AG127))</f>
        <v>#N/A</v>
      </c>
      <c r="AU127" s="673">
        <f t="shared" si="43"/>
        <v>0</v>
      </c>
      <c r="AV127" s="673">
        <f t="shared" si="44"/>
        <v>0</v>
      </c>
      <c r="AW127" s="673">
        <f t="shared" si="45"/>
        <v>0</v>
      </c>
      <c r="AY127" s="640" t="e">
        <f t="shared" si="59"/>
        <v>#N/A</v>
      </c>
      <c r="AZ127" s="673" t="e">
        <f t="shared" si="46"/>
        <v>#N/A</v>
      </c>
      <c r="BA127" s="639" t="e">
        <f t="shared" si="47"/>
        <v>#N/A</v>
      </c>
      <c r="BG127" s="639">
        <f t="shared" si="60"/>
        <v>0</v>
      </c>
      <c r="BH127" s="683">
        <f t="shared" si="61"/>
        <v>0</v>
      </c>
      <c r="BI127" s="683">
        <f t="shared" si="62"/>
        <v>0</v>
      </c>
      <c r="BJ127" s="641" t="e">
        <f t="shared" si="63"/>
        <v>#N/A</v>
      </c>
      <c r="BK127" s="641" t="e">
        <f t="shared" si="64"/>
        <v>#N/A</v>
      </c>
      <c r="BL127" s="641" t="e">
        <f t="shared" si="65"/>
        <v>#N/A</v>
      </c>
      <c r="BM127" s="684" t="e">
        <f t="shared" si="66"/>
        <v>#N/A</v>
      </c>
      <c r="BO127" s="682" t="e">
        <f>CONCATENATE(Z127," ",LOOKUP(D127,'f-travail'!A:A,'f-travail'!F:F))</f>
        <v>#N/A</v>
      </c>
      <c r="BP127" s="669" t="e">
        <f t="shared" si="53"/>
        <v>#N/A</v>
      </c>
    </row>
    <row r="128" spans="1:68">
      <c r="A128" s="636">
        <f t="shared" si="67"/>
        <v>127</v>
      </c>
      <c r="B128" s="637"/>
      <c r="C128" s="637"/>
      <c r="D128" s="652"/>
      <c r="E128" s="679" t="e">
        <f>LOOKUP(D128,'f-travail'!A:A,'f-travail'!B:B)</f>
        <v>#N/A</v>
      </c>
      <c r="F128" s="650"/>
      <c r="G128" s="650"/>
      <c r="H128" s="653"/>
      <c r="I128" s="653"/>
      <c r="J128" s="654"/>
      <c r="K128" s="650"/>
      <c r="L128" s="650"/>
      <c r="M128" s="650">
        <v>0</v>
      </c>
      <c r="N128" s="654"/>
      <c r="O128" s="654"/>
      <c r="P128" s="654"/>
      <c r="Q128" s="654"/>
      <c r="R128" s="676"/>
      <c r="S128" s="654"/>
      <c r="T128" s="675"/>
      <c r="U128" s="675"/>
      <c r="V128" s="670" t="e">
        <f>LOOKUP(D128,'f-travail'!A:A,'f-travail'!E:E)</f>
        <v>#N/A</v>
      </c>
      <c r="W128" s="670" t="e">
        <f>VLOOKUP(V128,جرقمإستدلالي,'f-travail'!$AD$4+1,FALSE)</f>
        <v>#N/A</v>
      </c>
      <c r="X128" s="671" t="e">
        <f t="shared" si="37"/>
        <v>#N/A</v>
      </c>
      <c r="Y128" s="671">
        <f>IF(G128="مدير ولائي",(HLOOKUP(I128,جدروظعليا,'f-travail'!$AT$3+1,FALSE)-3200),0)</f>
        <v>0</v>
      </c>
      <c r="Z128" s="672" t="str">
        <f t="shared" si="54"/>
        <v/>
      </c>
      <c r="AA128" s="671">
        <f t="shared" si="55"/>
        <v>0</v>
      </c>
      <c r="AB128" s="677" t="b">
        <f t="shared" si="38"/>
        <v>0</v>
      </c>
      <c r="AC128" s="678">
        <f t="shared" si="56"/>
        <v>0</v>
      </c>
      <c r="AD128" s="673"/>
      <c r="AE128" s="678">
        <f t="shared" si="40"/>
        <v>0</v>
      </c>
      <c r="AF128" s="678" t="e">
        <f t="shared" si="41"/>
        <v>#N/A</v>
      </c>
      <c r="AG128" s="678" t="e">
        <f t="shared" si="42"/>
        <v>#N/A</v>
      </c>
      <c r="AH128" s="673">
        <f t="shared" si="57"/>
        <v>0</v>
      </c>
      <c r="AI128" s="674" t="e">
        <f>IF(G128="مدير ولائي",(11000*35%),LOOKUP(D128,'f-travail'!A:A,'f-travail'!I:I))</f>
        <v>#N/A</v>
      </c>
      <c r="AJ128" s="673" t="e">
        <f>IF(G128="مدير ولائي",((W128+X128)*45)*80%,IF(V128&lt;8,0,IF(F128="إليزي",(LOOKUP(D128,'f-travail'!A:A,'f-travail'!O:O))*(AF128+AG128),LOOKUP(D128,'f-travail'!A:A,'f-travail'!P:P)*(AF128+AG128))))</f>
        <v>#N/A</v>
      </c>
      <c r="AK128" s="673" t="e">
        <f>IF(G128="مدير ولائي",0,LOOKUP(D128,'f-travail'!A:A,'f-travail'!Q:Q))</f>
        <v>#N/A</v>
      </c>
      <c r="AL128" s="673" t="e">
        <f>IF(G128="مدير ولائي",0,LOOKUP(D128,'f-travail'!A:A,'f-travail'!R:R)*(AF128+AG128))</f>
        <v>#N/A</v>
      </c>
      <c r="AM128" s="673" t="e">
        <f>IF(G128="مدير ولائي",0,LOOKUP(D128,'f-travail'!A:A,'f-travail'!S:S)*(AF128+AG128))</f>
        <v>#N/A</v>
      </c>
      <c r="AN128" s="673" t="e">
        <f>IF(G128="مدير ولائي",0,LOOKUP(D128,'f-travail'!A:A,'f-travail'!T:T)*(AF128+AG128))</f>
        <v>#N/A</v>
      </c>
      <c r="AO128" s="673" t="e">
        <f>IF(G128="مدير ولائي",0,LOOKUP(D128,'f-travail'!A:A,'f-travail'!U:U)*(AF128+AG128))</f>
        <v>#N/A</v>
      </c>
      <c r="AP128" s="673" t="e">
        <f>IF(G128="مدير ولائي",0,LOOKUP(D128,'f-travail'!A:A,'f-travail'!V:V)*(AF128+AG128))</f>
        <v>#N/A</v>
      </c>
      <c r="AQ128" s="673" t="e">
        <f>IF(G128="مدير ولائي",0,LOOKUP(D128,'f-travail'!A:A,'f-travail'!W:W)*(AF128+AG128))</f>
        <v>#N/A</v>
      </c>
      <c r="AR128" s="673">
        <f t="shared" si="58"/>
        <v>0</v>
      </c>
      <c r="AS128" s="673" t="e">
        <f>IF(G128="مدير ولائي",0,LOOKUP(D128,'f-travail'!A:A,'f-travail'!X:X)*(AF128+AG128))</f>
        <v>#N/A</v>
      </c>
      <c r="AT128" s="673" t="e">
        <f>IF(G128="مدير ولائي",0,LOOKUP(D128,'f-travail'!Y:Y,'f-travail'!R:R)*(AF128+AG128))</f>
        <v>#N/A</v>
      </c>
      <c r="AU128" s="673">
        <f t="shared" si="43"/>
        <v>0</v>
      </c>
      <c r="AV128" s="673">
        <f t="shared" si="44"/>
        <v>0</v>
      </c>
      <c r="AW128" s="673">
        <f t="shared" si="45"/>
        <v>0</v>
      </c>
      <c r="AY128" s="640" t="e">
        <f t="shared" si="59"/>
        <v>#N/A</v>
      </c>
      <c r="AZ128" s="673" t="e">
        <f t="shared" si="46"/>
        <v>#N/A</v>
      </c>
      <c r="BA128" s="639" t="e">
        <f t="shared" si="47"/>
        <v>#N/A</v>
      </c>
      <c r="BG128" s="639">
        <f t="shared" si="60"/>
        <v>0</v>
      </c>
      <c r="BH128" s="683">
        <f t="shared" si="61"/>
        <v>0</v>
      </c>
      <c r="BI128" s="683">
        <f t="shared" si="62"/>
        <v>0</v>
      </c>
      <c r="BJ128" s="641" t="e">
        <f t="shared" si="63"/>
        <v>#N/A</v>
      </c>
      <c r="BK128" s="641" t="e">
        <f t="shared" si="64"/>
        <v>#N/A</v>
      </c>
      <c r="BL128" s="641" t="e">
        <f t="shared" si="65"/>
        <v>#N/A</v>
      </c>
      <c r="BM128" s="684" t="e">
        <f t="shared" si="66"/>
        <v>#N/A</v>
      </c>
      <c r="BO128" s="682" t="e">
        <f>CONCATENATE(Z128," ",LOOKUP(D128,'f-travail'!A:A,'f-travail'!F:F))</f>
        <v>#N/A</v>
      </c>
      <c r="BP128" s="669" t="e">
        <f t="shared" si="53"/>
        <v>#N/A</v>
      </c>
    </row>
    <row r="129" spans="1:68">
      <c r="A129" s="636">
        <f t="shared" si="67"/>
        <v>128</v>
      </c>
      <c r="B129" s="637"/>
      <c r="C129" s="637"/>
      <c r="D129" s="652"/>
      <c r="E129" s="679" t="e">
        <f>LOOKUP(D129,'f-travail'!A:A,'f-travail'!B:B)</f>
        <v>#N/A</v>
      </c>
      <c r="F129" s="650"/>
      <c r="G129" s="650"/>
      <c r="H129" s="653"/>
      <c r="I129" s="653"/>
      <c r="J129" s="654"/>
      <c r="K129" s="650"/>
      <c r="L129" s="650"/>
      <c r="M129" s="650">
        <v>0</v>
      </c>
      <c r="N129" s="654"/>
      <c r="O129" s="654"/>
      <c r="P129" s="654"/>
      <c r="Q129" s="654"/>
      <c r="R129" s="676"/>
      <c r="S129" s="654"/>
      <c r="T129" s="675"/>
      <c r="U129" s="675"/>
      <c r="V129" s="670" t="e">
        <f>LOOKUP(D129,'f-travail'!A:A,'f-travail'!E:E)</f>
        <v>#N/A</v>
      </c>
      <c r="W129" s="670" t="e">
        <f>VLOOKUP(V129,جرقمإستدلالي,'f-travail'!$AD$4+1,FALSE)</f>
        <v>#N/A</v>
      </c>
      <c r="X129" s="671" t="e">
        <f t="shared" ref="X129:X192" si="69">INDEX(جدرجات,V129,H129+1)</f>
        <v>#N/A</v>
      </c>
      <c r="Y129" s="671">
        <f>IF(G129="مدير ولائي",(HLOOKUP(I129,جدروظعليا,'f-travail'!$AT$3+1,FALSE)-3200),0)</f>
        <v>0</v>
      </c>
      <c r="Z129" s="672" t="str">
        <f t="shared" si="54"/>
        <v/>
      </c>
      <c r="AA129" s="671">
        <f t="shared" si="55"/>
        <v>0</v>
      </c>
      <c r="AB129" s="677" t="b">
        <f t="shared" ref="AB129:AB192" si="70">IF(OR(J129="متزوج(ة)",J129="متزوج(ة)ماكثة",J129="متزوج(ة)عاملة"),(CONCATENATE("م","(",K129,")")),IF(J129="مطلق(ة)",(CONCATENATE("مط","(",K129,")")),IF(J129="عازب(ة)","ع",IF(J129="عازب(ة)كفيل",CONCATENATE("ع/ك","(",K129,")")))))</f>
        <v>0</v>
      </c>
      <c r="AC129" s="678">
        <f t="shared" si="56"/>
        <v>0</v>
      </c>
      <c r="AD129" s="673"/>
      <c r="AE129" s="678">
        <f t="shared" ref="AE129:AE192" si="71">IF(AB129="ع",0,(AD129+(K129*300)+AC129))</f>
        <v>0</v>
      </c>
      <c r="AF129" s="678" t="e">
        <f t="shared" ref="AF129:AF192" si="72">IF(G129="مدير ولائي",(3200*19),(W129*45))</f>
        <v>#N/A</v>
      </c>
      <c r="AG129" s="678" t="e">
        <f t="shared" ref="AG129:AG192" si="73">IF(G129="مدير ولائي",(Y129*19),(X129*45))</f>
        <v>#N/A</v>
      </c>
      <c r="AH129" s="673">
        <f t="shared" si="57"/>
        <v>0</v>
      </c>
      <c r="AI129" s="674" t="e">
        <f>IF(G129="مدير ولائي",(11000*35%),LOOKUP(D129,'f-travail'!A:A,'f-travail'!I:I))</f>
        <v>#N/A</v>
      </c>
      <c r="AJ129" s="673" t="e">
        <f>IF(G129="مدير ولائي",((W129+X129)*45)*80%,IF(V129&lt;8,0,IF(F129="إليزي",(LOOKUP(D129,'f-travail'!A:A,'f-travail'!O:O))*(AF129+AG129),LOOKUP(D129,'f-travail'!A:A,'f-travail'!P:P)*(AF129+AG129))))</f>
        <v>#N/A</v>
      </c>
      <c r="AK129" s="673" t="e">
        <f>IF(G129="مدير ولائي",0,LOOKUP(D129,'f-travail'!A:A,'f-travail'!Q:Q))</f>
        <v>#N/A</v>
      </c>
      <c r="AL129" s="673" t="e">
        <f>IF(G129="مدير ولائي",0,LOOKUP(D129,'f-travail'!A:A,'f-travail'!R:R)*(AF129+AG129))</f>
        <v>#N/A</v>
      </c>
      <c r="AM129" s="673" t="e">
        <f>IF(G129="مدير ولائي",0,LOOKUP(D129,'f-travail'!A:A,'f-travail'!S:S)*(AF129+AG129))</f>
        <v>#N/A</v>
      </c>
      <c r="AN129" s="673" t="e">
        <f>IF(G129="مدير ولائي",0,LOOKUP(D129,'f-travail'!A:A,'f-travail'!T:T)*(AF129+AG129))</f>
        <v>#N/A</v>
      </c>
      <c r="AO129" s="673" t="e">
        <f>IF(G129="مدير ولائي",0,LOOKUP(D129,'f-travail'!A:A,'f-travail'!U:U)*(AF129+AG129))</f>
        <v>#N/A</v>
      </c>
      <c r="AP129" s="673" t="e">
        <f>IF(G129="مدير ولائي",0,LOOKUP(D129,'f-travail'!A:A,'f-travail'!V:V)*(AF129+AG129))</f>
        <v>#N/A</v>
      </c>
      <c r="AQ129" s="673" t="e">
        <f>IF(G129="مدير ولائي",0,LOOKUP(D129,'f-travail'!A:A,'f-travail'!W:W)*(AF129+AG129))</f>
        <v>#N/A</v>
      </c>
      <c r="AR129" s="673">
        <f t="shared" si="58"/>
        <v>0</v>
      </c>
      <c r="AS129" s="673" t="e">
        <f>IF(G129="مدير ولائي",0,LOOKUP(D129,'f-travail'!A:A,'f-travail'!X:X)*(AF129+AG129))</f>
        <v>#N/A</v>
      </c>
      <c r="AT129" s="673" t="e">
        <f>IF(G129="مدير ولائي",0,LOOKUP(D129,'f-travail'!Y:Y,'f-travail'!R:R)*(AF129+AG129))</f>
        <v>#N/A</v>
      </c>
      <c r="AU129" s="673">
        <f t="shared" ref="AU129:AU192" si="74">IF(G129="مدير ولائي",50%*(AF129+AG129),0)</f>
        <v>0</v>
      </c>
      <c r="AV129" s="673">
        <f t="shared" ref="AV129:AV192" si="75">IF(G129="مدير ولائي",50%*(AF129+AG129),0)</f>
        <v>0</v>
      </c>
      <c r="AW129" s="673">
        <f t="shared" ref="AW129:AW192" si="76">IF(G129="مدير ولائي",50%*(AF129+AG129),0)</f>
        <v>0</v>
      </c>
      <c r="AY129" s="640" t="e">
        <f t="shared" si="59"/>
        <v>#N/A</v>
      </c>
      <c r="AZ129" s="673" t="e">
        <f t="shared" ref="AZ129:AZ192" si="77">AG129+AF129+U129+T129+(AA129*45)</f>
        <v>#N/A</v>
      </c>
      <c r="BA129" s="639" t="e">
        <f t="shared" ref="BA129:BA192" si="78">SUM(BB129:BF129,(AZ129+AT129+AJ129+AI129+AE129))</f>
        <v>#N/A</v>
      </c>
      <c r="BG129" s="639">
        <f t="shared" si="60"/>
        <v>0</v>
      </c>
      <c r="BH129" s="683">
        <f t="shared" si="61"/>
        <v>0</v>
      </c>
      <c r="BI129" s="683">
        <f t="shared" si="62"/>
        <v>0</v>
      </c>
      <c r="BJ129" s="641" t="e">
        <f t="shared" si="63"/>
        <v>#N/A</v>
      </c>
      <c r="BK129" s="641" t="e">
        <f t="shared" si="64"/>
        <v>#N/A</v>
      </c>
      <c r="BL129" s="641" t="e">
        <f t="shared" si="65"/>
        <v>#N/A</v>
      </c>
      <c r="BM129" s="684" t="e">
        <f t="shared" si="66"/>
        <v>#N/A</v>
      </c>
      <c r="BO129" s="682" t="e">
        <f>CONCATENATE(Z129," ",LOOKUP(D129,'f-travail'!A:A,'f-travail'!F:F))</f>
        <v>#N/A</v>
      </c>
      <c r="BP129" s="669" t="e">
        <f t="shared" ref="BP129:BP192" si="79">IF(G129="",CONCATENATE(G129," ",E129),CONCATENATE(G129," (",E129,")"))</f>
        <v>#N/A</v>
      </c>
    </row>
    <row r="130" spans="1:68">
      <c r="A130" s="636">
        <f t="shared" si="67"/>
        <v>129</v>
      </c>
      <c r="B130" s="637"/>
      <c r="C130" s="637"/>
      <c r="D130" s="652"/>
      <c r="E130" s="679" t="e">
        <f>LOOKUP(D130,'f-travail'!A:A,'f-travail'!B:B)</f>
        <v>#N/A</v>
      </c>
      <c r="F130" s="650"/>
      <c r="G130" s="650"/>
      <c r="H130" s="653"/>
      <c r="I130" s="653"/>
      <c r="J130" s="654"/>
      <c r="K130" s="650"/>
      <c r="L130" s="650"/>
      <c r="M130" s="650">
        <v>0</v>
      </c>
      <c r="N130" s="654"/>
      <c r="O130" s="654"/>
      <c r="P130" s="654"/>
      <c r="Q130" s="654"/>
      <c r="R130" s="676"/>
      <c r="S130" s="654"/>
      <c r="T130" s="675"/>
      <c r="U130" s="675"/>
      <c r="V130" s="670" t="e">
        <f>LOOKUP(D130,'f-travail'!A:A,'f-travail'!E:E)</f>
        <v>#N/A</v>
      </c>
      <c r="W130" s="670" t="e">
        <f>VLOOKUP(V130,جرقمإستدلالي,'f-travail'!$AD$4+1,FALSE)</f>
        <v>#N/A</v>
      </c>
      <c r="X130" s="671" t="e">
        <f t="shared" si="69"/>
        <v>#N/A</v>
      </c>
      <c r="Y130" s="671">
        <f>IF(G130="مدير ولائي",(HLOOKUP(I130,جدروظعليا,'f-travail'!$AT$3+1,FALSE)-3200),0)</f>
        <v>0</v>
      </c>
      <c r="Z130" s="672" t="str">
        <f t="shared" ref="Z130:Z193" si="80">IF(OR(G130="رئيس مفتشية",G130="محافظ عقاري",G130="رئيس مصلحة"),"م8",IF(G130="رئيس مكتب","م7",IF(G130="رئيس قسم","م5",IF(G130="رئيس حضيرة","م3",IF(G130="مدير ولائي","ب 1","")))))</f>
        <v/>
      </c>
      <c r="AA130" s="671">
        <f t="shared" ref="AA130:AA193" si="81">IF(Z130="م8",195,IF(Z130="م7",145,IF(Z130="م5",75,IF(Z130="م3",45,0))))</f>
        <v>0</v>
      </c>
      <c r="AB130" s="677" t="b">
        <f t="shared" si="70"/>
        <v>0</v>
      </c>
      <c r="AC130" s="678">
        <f t="shared" ref="AC130:AC193" si="82">IF(AND(J130="متزوج(ة)ماكثة",K130=0),5.5,IF(AND(J130="متزوج(ة)ماكثة",K130&gt;0),800,0))</f>
        <v>0</v>
      </c>
      <c r="AD130" s="673"/>
      <c r="AE130" s="678">
        <f t="shared" si="71"/>
        <v>0</v>
      </c>
      <c r="AF130" s="678" t="e">
        <f t="shared" si="72"/>
        <v>#N/A</v>
      </c>
      <c r="AG130" s="678" t="e">
        <f t="shared" si="73"/>
        <v>#N/A</v>
      </c>
      <c r="AH130" s="673">
        <f t="shared" ref="AH130:AH193" si="83">IF(OR(G130="مدير ولائي",M130=0),0,IF(M130=1,2000))</f>
        <v>0</v>
      </c>
      <c r="AI130" s="674" t="e">
        <f>IF(G130="مدير ولائي",(11000*35%),LOOKUP(D130,'f-travail'!A:A,'f-travail'!I:I))</f>
        <v>#N/A</v>
      </c>
      <c r="AJ130" s="673" t="e">
        <f>IF(G130="مدير ولائي",((W130+X130)*45)*80%,IF(V130&lt;8,0,IF(F130="إليزي",(LOOKUP(D130,'f-travail'!A:A,'f-travail'!O:O))*(AF130+AG130),LOOKUP(D130,'f-travail'!A:A,'f-travail'!P:P)*(AF130+AG130))))</f>
        <v>#N/A</v>
      </c>
      <c r="AK130" s="673" t="e">
        <f>IF(G130="مدير ولائي",0,LOOKUP(D130,'f-travail'!A:A,'f-travail'!Q:Q))</f>
        <v>#N/A</v>
      </c>
      <c r="AL130" s="673" t="e">
        <f>IF(G130="مدير ولائي",0,LOOKUP(D130,'f-travail'!A:A,'f-travail'!R:R)*(AF130+AG130))</f>
        <v>#N/A</v>
      </c>
      <c r="AM130" s="673" t="e">
        <f>IF(G130="مدير ولائي",0,LOOKUP(D130,'f-travail'!A:A,'f-travail'!S:S)*(AF130+AG130))</f>
        <v>#N/A</v>
      </c>
      <c r="AN130" s="673" t="e">
        <f>IF(G130="مدير ولائي",0,LOOKUP(D130,'f-travail'!A:A,'f-travail'!T:T)*(AF130+AG130))</f>
        <v>#N/A</v>
      </c>
      <c r="AO130" s="673" t="e">
        <f>IF(G130="مدير ولائي",0,LOOKUP(D130,'f-travail'!A:A,'f-travail'!U:U)*(AF130+AG130))</f>
        <v>#N/A</v>
      </c>
      <c r="AP130" s="673" t="e">
        <f>IF(G130="مدير ولائي",0,LOOKUP(D130,'f-travail'!A:A,'f-travail'!V:V)*(AF130+AG130))</f>
        <v>#N/A</v>
      </c>
      <c r="AQ130" s="673" t="e">
        <f>IF(G130="مدير ولائي",0,LOOKUP(D130,'f-travail'!A:A,'f-travail'!W:W)*(AF130+AG130))</f>
        <v>#N/A</v>
      </c>
      <c r="AR130" s="673">
        <f t="shared" ref="AR130:AR193" si="84">IF(G130="أمين صندوق",4000,0)</f>
        <v>0</v>
      </c>
      <c r="AS130" s="673" t="e">
        <f>IF(G130="مدير ولائي",0,LOOKUP(D130,'f-travail'!A:A,'f-travail'!X:X)*(AF130+AG130))</f>
        <v>#N/A</v>
      </c>
      <c r="AT130" s="673" t="e">
        <f>IF(G130="مدير ولائي",0,LOOKUP(D130,'f-travail'!Y:Y,'f-travail'!R:R)*(AF130+AG130))</f>
        <v>#N/A</v>
      </c>
      <c r="AU130" s="673">
        <f t="shared" si="74"/>
        <v>0</v>
      </c>
      <c r="AV130" s="673">
        <f t="shared" si="75"/>
        <v>0</v>
      </c>
      <c r="AW130" s="673">
        <f t="shared" si="76"/>
        <v>0</v>
      </c>
      <c r="AY130" s="640" t="e">
        <f t="shared" ref="AY130:AY193" si="85">IF(Z130="ب 1",IF(OR(A130=0,A130=""),"",IF(OR(H130=0,I130=""),BO130,CONCATENATE(BO130," - ","د"," ",I130))),IF(OR(A130=0,A130=""),"",IF(OR(H130=0,H130=""),BO130,CONCATENATE(BO130," - ","د"," ",H130))))</f>
        <v>#N/A</v>
      </c>
      <c r="AZ130" s="673" t="e">
        <f t="shared" si="77"/>
        <v>#N/A</v>
      </c>
      <c r="BA130" s="639" t="e">
        <f t="shared" si="78"/>
        <v>#N/A</v>
      </c>
      <c r="BG130" s="639">
        <f t="shared" ref="BG130:BG193" si="86">IF(Z130="ب 1",ROUND((BA130-AE130-N130)*1%,2),0)</f>
        <v>0</v>
      </c>
      <c r="BH130" s="683">
        <f t="shared" ref="BH130:BH193" si="87">IF(AND(Z130="ب 1",P130=1),ROUND((BA130-AE130-N130)*1.5%,2),IF(P130=1,ROUND((BA130-AE130)*1.5%,2),0))</f>
        <v>0</v>
      </c>
      <c r="BI130" s="683">
        <f t="shared" ref="BI130:BI193" si="88">IF(O130=1,9523.81,0)</f>
        <v>0</v>
      </c>
      <c r="BJ130" s="641" t="e">
        <f t="shared" ref="BJ130:BJ193" si="89">IF(Z130="ب 1",ROUND((BA130-AE130-N130),2),ROUND((BA130-AE130),2))</f>
        <v>#N/A</v>
      </c>
      <c r="BK130" s="641" t="e">
        <f t="shared" ref="BK130:BK193" si="90">ROUND((BJ130*9%),2)</f>
        <v>#N/A</v>
      </c>
      <c r="BL130" s="641" t="e">
        <f t="shared" ref="BL130:BL193" si="91">IF(Z130="ب 1",ROUNDDOWN((BA130-BK130-AI130-N130),2),ROUNDDOWN((BA130-BK130-AI130-AH130),2))</f>
        <v>#N/A</v>
      </c>
      <c r="BM130" s="684" t="e">
        <f t="shared" ref="BM130:BM193" si="92">IF(Z130="ب 1",ROUND((29500+(BL130-120000)*35%)/2,2),(ROUND((IF((BL130&gt;1500),(IF(OR(BL130&gt;22500),IF(AND(BL130&gt;22500),(BL130-22500)*12%)+IF(AND(BL130&gt;28750),(BL130-28750)*8%)+IF(AND(BL130&gt;30000),(BL130-30000)*10%)+1500,IF(AND((BL130&gt;1500),(BL130&lt;=22500)),(BL130-15000)*20%))))/2),2)))</f>
        <v>#N/A</v>
      </c>
      <c r="BO130" s="682" t="e">
        <f>CONCATENATE(Z130," ",LOOKUP(D130,'f-travail'!A:A,'f-travail'!F:F))</f>
        <v>#N/A</v>
      </c>
      <c r="BP130" s="669" t="e">
        <f t="shared" si="79"/>
        <v>#N/A</v>
      </c>
    </row>
    <row r="131" spans="1:68">
      <c r="A131" s="636">
        <f t="shared" si="67"/>
        <v>130</v>
      </c>
      <c r="B131" s="637"/>
      <c r="C131" s="637"/>
      <c r="D131" s="652"/>
      <c r="E131" s="679" t="e">
        <f>LOOKUP(D131,'f-travail'!A:A,'f-travail'!B:B)</f>
        <v>#N/A</v>
      </c>
      <c r="F131" s="650"/>
      <c r="G131" s="650"/>
      <c r="H131" s="653"/>
      <c r="I131" s="653"/>
      <c r="J131" s="654"/>
      <c r="K131" s="650"/>
      <c r="L131" s="650"/>
      <c r="M131" s="650">
        <v>0</v>
      </c>
      <c r="N131" s="654"/>
      <c r="O131" s="654"/>
      <c r="P131" s="654"/>
      <c r="Q131" s="654"/>
      <c r="R131" s="676"/>
      <c r="S131" s="654"/>
      <c r="T131" s="675"/>
      <c r="U131" s="675"/>
      <c r="V131" s="670" t="e">
        <f>LOOKUP(D131,'f-travail'!A:A,'f-travail'!E:E)</f>
        <v>#N/A</v>
      </c>
      <c r="W131" s="670" t="e">
        <f>VLOOKUP(V131,جرقمإستدلالي,'f-travail'!$AD$4+1,FALSE)</f>
        <v>#N/A</v>
      </c>
      <c r="X131" s="671" t="e">
        <f t="shared" si="69"/>
        <v>#N/A</v>
      </c>
      <c r="Y131" s="671">
        <f>IF(G131="مدير ولائي",(HLOOKUP(I131,جدروظعليا,'f-travail'!$AT$3+1,FALSE)-3200),0)</f>
        <v>0</v>
      </c>
      <c r="Z131" s="672" t="str">
        <f t="shared" si="80"/>
        <v/>
      </c>
      <c r="AA131" s="671">
        <f t="shared" si="81"/>
        <v>0</v>
      </c>
      <c r="AB131" s="677" t="b">
        <f t="shared" si="70"/>
        <v>0</v>
      </c>
      <c r="AC131" s="678">
        <f t="shared" si="82"/>
        <v>0</v>
      </c>
      <c r="AD131" s="673"/>
      <c r="AE131" s="678">
        <f t="shared" si="71"/>
        <v>0</v>
      </c>
      <c r="AF131" s="678" t="e">
        <f t="shared" si="72"/>
        <v>#N/A</v>
      </c>
      <c r="AG131" s="678" t="e">
        <f t="shared" si="73"/>
        <v>#N/A</v>
      </c>
      <c r="AH131" s="673">
        <f t="shared" si="83"/>
        <v>0</v>
      </c>
      <c r="AI131" s="674" t="e">
        <f>IF(G131="مدير ولائي",(11000*35%),LOOKUP(D131,'f-travail'!A:A,'f-travail'!I:I))</f>
        <v>#N/A</v>
      </c>
      <c r="AJ131" s="673" t="e">
        <f>IF(G131="مدير ولائي",((W131+X131)*45)*80%,IF(V131&lt;8,0,IF(F131="إليزي",(LOOKUP(D131,'f-travail'!A:A,'f-travail'!O:O))*(AF131+AG131),LOOKUP(D131,'f-travail'!A:A,'f-travail'!P:P)*(AF131+AG131))))</f>
        <v>#N/A</v>
      </c>
      <c r="AK131" s="673" t="e">
        <f>IF(G131="مدير ولائي",0,LOOKUP(D131,'f-travail'!A:A,'f-travail'!Q:Q))</f>
        <v>#N/A</v>
      </c>
      <c r="AL131" s="673" t="e">
        <f>IF(G131="مدير ولائي",0,LOOKUP(D131,'f-travail'!A:A,'f-travail'!R:R)*(AF131+AG131))</f>
        <v>#N/A</v>
      </c>
      <c r="AM131" s="673" t="e">
        <f>IF(G131="مدير ولائي",0,LOOKUP(D131,'f-travail'!A:A,'f-travail'!S:S)*(AF131+AG131))</f>
        <v>#N/A</v>
      </c>
      <c r="AN131" s="673" t="e">
        <f>IF(G131="مدير ولائي",0,LOOKUP(D131,'f-travail'!A:A,'f-travail'!T:T)*(AF131+AG131))</f>
        <v>#N/A</v>
      </c>
      <c r="AO131" s="673" t="e">
        <f>IF(G131="مدير ولائي",0,LOOKUP(D131,'f-travail'!A:A,'f-travail'!U:U)*(AF131+AG131))</f>
        <v>#N/A</v>
      </c>
      <c r="AP131" s="673" t="e">
        <f>IF(G131="مدير ولائي",0,LOOKUP(D131,'f-travail'!A:A,'f-travail'!V:V)*(AF131+AG131))</f>
        <v>#N/A</v>
      </c>
      <c r="AQ131" s="673" t="e">
        <f>IF(G131="مدير ولائي",0,LOOKUP(D131,'f-travail'!A:A,'f-travail'!W:W)*(AF131+AG131))</f>
        <v>#N/A</v>
      </c>
      <c r="AR131" s="673">
        <f t="shared" si="84"/>
        <v>0</v>
      </c>
      <c r="AS131" s="673" t="e">
        <f>IF(G131="مدير ولائي",0,LOOKUP(D131,'f-travail'!A:A,'f-travail'!X:X)*(AF131+AG131))</f>
        <v>#N/A</v>
      </c>
      <c r="AT131" s="673" t="e">
        <f>IF(G131="مدير ولائي",0,LOOKUP(D131,'f-travail'!Y:Y,'f-travail'!R:R)*(AF131+AG131))</f>
        <v>#N/A</v>
      </c>
      <c r="AU131" s="673">
        <f t="shared" si="74"/>
        <v>0</v>
      </c>
      <c r="AV131" s="673">
        <f t="shared" si="75"/>
        <v>0</v>
      </c>
      <c r="AW131" s="673">
        <f t="shared" si="76"/>
        <v>0</v>
      </c>
      <c r="AY131" s="640" t="e">
        <f t="shared" si="85"/>
        <v>#N/A</v>
      </c>
      <c r="AZ131" s="673" t="e">
        <f t="shared" si="77"/>
        <v>#N/A</v>
      </c>
      <c r="BA131" s="639" t="e">
        <f t="shared" si="78"/>
        <v>#N/A</v>
      </c>
      <c r="BG131" s="639">
        <f t="shared" si="86"/>
        <v>0</v>
      </c>
      <c r="BH131" s="683">
        <f t="shared" si="87"/>
        <v>0</v>
      </c>
      <c r="BI131" s="683">
        <f t="shared" si="88"/>
        <v>0</v>
      </c>
      <c r="BJ131" s="641" t="e">
        <f t="shared" si="89"/>
        <v>#N/A</v>
      </c>
      <c r="BK131" s="641" t="e">
        <f t="shared" si="90"/>
        <v>#N/A</v>
      </c>
      <c r="BL131" s="641" t="e">
        <f t="shared" si="91"/>
        <v>#N/A</v>
      </c>
      <c r="BM131" s="684" t="e">
        <f t="shared" si="92"/>
        <v>#N/A</v>
      </c>
      <c r="BO131" s="682" t="e">
        <f>CONCATENATE(Z131," ",LOOKUP(D131,'f-travail'!A:A,'f-travail'!F:F))</f>
        <v>#N/A</v>
      </c>
      <c r="BP131" s="669" t="e">
        <f t="shared" si="79"/>
        <v>#N/A</v>
      </c>
    </row>
    <row r="132" spans="1:68">
      <c r="A132" s="636">
        <f t="shared" ref="A132:A195" si="93">A131+1</f>
        <v>131</v>
      </c>
      <c r="B132" s="637"/>
      <c r="C132" s="637"/>
      <c r="D132" s="652"/>
      <c r="E132" s="679" t="e">
        <f>LOOKUP(D132,'f-travail'!A:A,'f-travail'!B:B)</f>
        <v>#N/A</v>
      </c>
      <c r="F132" s="650"/>
      <c r="G132" s="650"/>
      <c r="H132" s="653"/>
      <c r="I132" s="653"/>
      <c r="J132" s="654"/>
      <c r="K132" s="650"/>
      <c r="L132" s="650"/>
      <c r="M132" s="650">
        <v>0</v>
      </c>
      <c r="N132" s="654"/>
      <c r="O132" s="654"/>
      <c r="P132" s="654"/>
      <c r="Q132" s="654"/>
      <c r="R132" s="676"/>
      <c r="S132" s="654"/>
      <c r="T132" s="675"/>
      <c r="U132" s="675"/>
      <c r="V132" s="670" t="e">
        <f>LOOKUP(D132,'f-travail'!A:A,'f-travail'!E:E)</f>
        <v>#N/A</v>
      </c>
      <c r="W132" s="670" t="e">
        <f>VLOOKUP(V132,جرقمإستدلالي,'f-travail'!$AD$4+1,FALSE)</f>
        <v>#N/A</v>
      </c>
      <c r="X132" s="671" t="e">
        <f t="shared" si="69"/>
        <v>#N/A</v>
      </c>
      <c r="Y132" s="671">
        <f>IF(G132="مدير ولائي",(HLOOKUP(I132,جدروظعليا,'f-travail'!$AT$3+1,FALSE)-3200),0)</f>
        <v>0</v>
      </c>
      <c r="Z132" s="672" t="str">
        <f t="shared" si="80"/>
        <v/>
      </c>
      <c r="AA132" s="671">
        <f t="shared" si="81"/>
        <v>0</v>
      </c>
      <c r="AB132" s="677" t="b">
        <f t="shared" si="70"/>
        <v>0</v>
      </c>
      <c r="AC132" s="678">
        <f t="shared" si="82"/>
        <v>0</v>
      </c>
      <c r="AD132" s="673"/>
      <c r="AE132" s="678">
        <f t="shared" si="71"/>
        <v>0</v>
      </c>
      <c r="AF132" s="678" t="e">
        <f t="shared" si="72"/>
        <v>#N/A</v>
      </c>
      <c r="AG132" s="678" t="e">
        <f t="shared" si="73"/>
        <v>#N/A</v>
      </c>
      <c r="AH132" s="673">
        <f t="shared" si="83"/>
        <v>0</v>
      </c>
      <c r="AI132" s="674" t="e">
        <f>IF(G132="مدير ولائي",(11000*35%),LOOKUP(D132,'f-travail'!A:A,'f-travail'!I:I))</f>
        <v>#N/A</v>
      </c>
      <c r="AJ132" s="673" t="e">
        <f>IF(G132="مدير ولائي",((W132+X132)*45)*80%,IF(V132&lt;8,0,IF(F132="إليزي",(LOOKUP(D132,'f-travail'!A:A,'f-travail'!O:O))*(AF132+AG132),LOOKUP(D132,'f-travail'!A:A,'f-travail'!P:P)*(AF132+AG132))))</f>
        <v>#N/A</v>
      </c>
      <c r="AK132" s="673" t="e">
        <f>IF(G132="مدير ولائي",0,LOOKUP(D132,'f-travail'!A:A,'f-travail'!Q:Q))</f>
        <v>#N/A</v>
      </c>
      <c r="AL132" s="673" t="e">
        <f>IF(G132="مدير ولائي",0,LOOKUP(D132,'f-travail'!A:A,'f-travail'!R:R)*(AF132+AG132))</f>
        <v>#N/A</v>
      </c>
      <c r="AM132" s="673" t="e">
        <f>IF(G132="مدير ولائي",0,LOOKUP(D132,'f-travail'!A:A,'f-travail'!S:S)*(AF132+AG132))</f>
        <v>#N/A</v>
      </c>
      <c r="AN132" s="673" t="e">
        <f>IF(G132="مدير ولائي",0,LOOKUP(D132,'f-travail'!A:A,'f-travail'!T:T)*(AF132+AG132))</f>
        <v>#N/A</v>
      </c>
      <c r="AO132" s="673" t="e">
        <f>IF(G132="مدير ولائي",0,LOOKUP(D132,'f-travail'!A:A,'f-travail'!U:U)*(AF132+AG132))</f>
        <v>#N/A</v>
      </c>
      <c r="AP132" s="673" t="e">
        <f>IF(G132="مدير ولائي",0,LOOKUP(D132,'f-travail'!A:A,'f-travail'!V:V)*(AF132+AG132))</f>
        <v>#N/A</v>
      </c>
      <c r="AQ132" s="673" t="e">
        <f>IF(G132="مدير ولائي",0,LOOKUP(D132,'f-travail'!A:A,'f-travail'!W:W)*(AF132+AG132))</f>
        <v>#N/A</v>
      </c>
      <c r="AR132" s="673">
        <f t="shared" si="84"/>
        <v>0</v>
      </c>
      <c r="AS132" s="673" t="e">
        <f>IF(G132="مدير ولائي",0,LOOKUP(D132,'f-travail'!A:A,'f-travail'!X:X)*(AF132+AG132))</f>
        <v>#N/A</v>
      </c>
      <c r="AT132" s="673" t="e">
        <f>IF(G132="مدير ولائي",0,LOOKUP(D132,'f-travail'!Y:Y,'f-travail'!R:R)*(AF132+AG132))</f>
        <v>#N/A</v>
      </c>
      <c r="AU132" s="673">
        <f t="shared" si="74"/>
        <v>0</v>
      </c>
      <c r="AV132" s="673">
        <f t="shared" si="75"/>
        <v>0</v>
      </c>
      <c r="AW132" s="673">
        <f t="shared" si="76"/>
        <v>0</v>
      </c>
      <c r="AY132" s="640" t="e">
        <f t="shared" si="85"/>
        <v>#N/A</v>
      </c>
      <c r="AZ132" s="673" t="e">
        <f t="shared" si="77"/>
        <v>#N/A</v>
      </c>
      <c r="BA132" s="639" t="e">
        <f t="shared" si="78"/>
        <v>#N/A</v>
      </c>
      <c r="BG132" s="639">
        <f t="shared" si="86"/>
        <v>0</v>
      </c>
      <c r="BH132" s="683">
        <f t="shared" si="87"/>
        <v>0</v>
      </c>
      <c r="BI132" s="683">
        <f t="shared" si="88"/>
        <v>0</v>
      </c>
      <c r="BJ132" s="641" t="e">
        <f t="shared" si="89"/>
        <v>#N/A</v>
      </c>
      <c r="BK132" s="641" t="e">
        <f t="shared" si="90"/>
        <v>#N/A</v>
      </c>
      <c r="BL132" s="641" t="e">
        <f t="shared" si="91"/>
        <v>#N/A</v>
      </c>
      <c r="BM132" s="684" t="e">
        <f t="shared" si="92"/>
        <v>#N/A</v>
      </c>
      <c r="BO132" s="682" t="e">
        <f>CONCATENATE(Z132," ",LOOKUP(D132,'f-travail'!A:A,'f-travail'!F:F))</f>
        <v>#N/A</v>
      </c>
      <c r="BP132" s="669" t="e">
        <f t="shared" si="79"/>
        <v>#N/A</v>
      </c>
    </row>
    <row r="133" spans="1:68">
      <c r="A133" s="636">
        <f t="shared" si="93"/>
        <v>132</v>
      </c>
      <c r="B133" s="637"/>
      <c r="C133" s="637"/>
      <c r="D133" s="652"/>
      <c r="E133" s="679" t="e">
        <f>LOOKUP(D133,'f-travail'!A:A,'f-travail'!B:B)</f>
        <v>#N/A</v>
      </c>
      <c r="F133" s="650"/>
      <c r="G133" s="650"/>
      <c r="H133" s="653"/>
      <c r="I133" s="653"/>
      <c r="J133" s="654"/>
      <c r="K133" s="650"/>
      <c r="L133" s="650"/>
      <c r="M133" s="650">
        <v>0</v>
      </c>
      <c r="N133" s="654"/>
      <c r="O133" s="654"/>
      <c r="P133" s="654"/>
      <c r="Q133" s="654"/>
      <c r="R133" s="676"/>
      <c r="S133" s="654"/>
      <c r="T133" s="675"/>
      <c r="U133" s="675"/>
      <c r="V133" s="670" t="e">
        <f>LOOKUP(D133,'f-travail'!A:A,'f-travail'!E:E)</f>
        <v>#N/A</v>
      </c>
      <c r="W133" s="670" t="e">
        <f>VLOOKUP(V133,جرقمإستدلالي,'f-travail'!$AD$4+1,FALSE)</f>
        <v>#N/A</v>
      </c>
      <c r="X133" s="671" t="e">
        <f t="shared" si="69"/>
        <v>#N/A</v>
      </c>
      <c r="Y133" s="671">
        <f>IF(G133="مدير ولائي",(HLOOKUP(I133,جدروظعليا,'f-travail'!$AT$3+1,FALSE)-3200),0)</f>
        <v>0</v>
      </c>
      <c r="Z133" s="672" t="str">
        <f t="shared" si="80"/>
        <v/>
      </c>
      <c r="AA133" s="671">
        <f t="shared" si="81"/>
        <v>0</v>
      </c>
      <c r="AB133" s="677" t="b">
        <f t="shared" si="70"/>
        <v>0</v>
      </c>
      <c r="AC133" s="678">
        <f t="shared" si="82"/>
        <v>0</v>
      </c>
      <c r="AD133" s="673"/>
      <c r="AE133" s="678">
        <f t="shared" si="71"/>
        <v>0</v>
      </c>
      <c r="AF133" s="678" t="e">
        <f t="shared" si="72"/>
        <v>#N/A</v>
      </c>
      <c r="AG133" s="678" t="e">
        <f t="shared" si="73"/>
        <v>#N/A</v>
      </c>
      <c r="AH133" s="673">
        <f t="shared" si="83"/>
        <v>0</v>
      </c>
      <c r="AI133" s="674" t="e">
        <f>IF(G133="مدير ولائي",(11000*35%),LOOKUP(D133,'f-travail'!A:A,'f-travail'!I:I))</f>
        <v>#N/A</v>
      </c>
      <c r="AJ133" s="673" t="e">
        <f>IF(G133="مدير ولائي",((W133+X133)*45)*80%,IF(V133&lt;8,0,IF(F133="إليزي",(LOOKUP(D133,'f-travail'!A:A,'f-travail'!O:O))*(AF133+AG133),LOOKUP(D133,'f-travail'!A:A,'f-travail'!P:P)*(AF133+AG133))))</f>
        <v>#N/A</v>
      </c>
      <c r="AK133" s="673" t="e">
        <f>IF(G133="مدير ولائي",0,LOOKUP(D133,'f-travail'!A:A,'f-travail'!Q:Q))</f>
        <v>#N/A</v>
      </c>
      <c r="AL133" s="673" t="e">
        <f>IF(G133="مدير ولائي",0,LOOKUP(D133,'f-travail'!A:A,'f-travail'!R:R)*(AF133+AG133))</f>
        <v>#N/A</v>
      </c>
      <c r="AM133" s="673" t="e">
        <f>IF(G133="مدير ولائي",0,LOOKUP(D133,'f-travail'!A:A,'f-travail'!S:S)*(AF133+AG133))</f>
        <v>#N/A</v>
      </c>
      <c r="AN133" s="673" t="e">
        <f>IF(G133="مدير ولائي",0,LOOKUP(D133,'f-travail'!A:A,'f-travail'!T:T)*(AF133+AG133))</f>
        <v>#N/A</v>
      </c>
      <c r="AO133" s="673" t="e">
        <f>IF(G133="مدير ولائي",0,LOOKUP(D133,'f-travail'!A:A,'f-travail'!U:U)*(AF133+AG133))</f>
        <v>#N/A</v>
      </c>
      <c r="AP133" s="673" t="e">
        <f>IF(G133="مدير ولائي",0,LOOKUP(D133,'f-travail'!A:A,'f-travail'!V:V)*(AF133+AG133))</f>
        <v>#N/A</v>
      </c>
      <c r="AQ133" s="673" t="e">
        <f>IF(G133="مدير ولائي",0,LOOKUP(D133,'f-travail'!A:A,'f-travail'!W:W)*(AF133+AG133))</f>
        <v>#N/A</v>
      </c>
      <c r="AR133" s="673">
        <f t="shared" si="84"/>
        <v>0</v>
      </c>
      <c r="AS133" s="673" t="e">
        <f>IF(G133="مدير ولائي",0,LOOKUP(D133,'f-travail'!A:A,'f-travail'!X:X)*(AF133+AG133))</f>
        <v>#N/A</v>
      </c>
      <c r="AT133" s="673" t="e">
        <f>IF(G133="مدير ولائي",0,LOOKUP(D133,'f-travail'!Y:Y,'f-travail'!R:R)*(AF133+AG133))</f>
        <v>#N/A</v>
      </c>
      <c r="AU133" s="673">
        <f t="shared" si="74"/>
        <v>0</v>
      </c>
      <c r="AV133" s="673">
        <f t="shared" si="75"/>
        <v>0</v>
      </c>
      <c r="AW133" s="673">
        <f t="shared" si="76"/>
        <v>0</v>
      </c>
      <c r="AY133" s="640" t="e">
        <f t="shared" si="85"/>
        <v>#N/A</v>
      </c>
      <c r="AZ133" s="673" t="e">
        <f t="shared" si="77"/>
        <v>#N/A</v>
      </c>
      <c r="BA133" s="639" t="e">
        <f t="shared" si="78"/>
        <v>#N/A</v>
      </c>
      <c r="BG133" s="639">
        <f t="shared" si="86"/>
        <v>0</v>
      </c>
      <c r="BH133" s="683">
        <f t="shared" si="87"/>
        <v>0</v>
      </c>
      <c r="BI133" s="683">
        <f t="shared" si="88"/>
        <v>0</v>
      </c>
      <c r="BJ133" s="641" t="e">
        <f t="shared" si="89"/>
        <v>#N/A</v>
      </c>
      <c r="BK133" s="641" t="e">
        <f t="shared" si="90"/>
        <v>#N/A</v>
      </c>
      <c r="BL133" s="641" t="e">
        <f t="shared" si="91"/>
        <v>#N/A</v>
      </c>
      <c r="BM133" s="684" t="e">
        <f t="shared" si="92"/>
        <v>#N/A</v>
      </c>
      <c r="BO133" s="682" t="e">
        <f>CONCATENATE(Z133," ",LOOKUP(D133,'f-travail'!A:A,'f-travail'!F:F))</f>
        <v>#N/A</v>
      </c>
      <c r="BP133" s="669" t="e">
        <f t="shared" si="79"/>
        <v>#N/A</v>
      </c>
    </row>
    <row r="134" spans="1:68">
      <c r="A134" s="636">
        <f t="shared" si="93"/>
        <v>133</v>
      </c>
      <c r="B134" s="637"/>
      <c r="C134" s="637"/>
      <c r="D134" s="652"/>
      <c r="E134" s="679" t="e">
        <f>LOOKUP(D134,'f-travail'!A:A,'f-travail'!B:B)</f>
        <v>#N/A</v>
      </c>
      <c r="F134" s="650"/>
      <c r="G134" s="650"/>
      <c r="H134" s="653"/>
      <c r="I134" s="653"/>
      <c r="J134" s="654"/>
      <c r="K134" s="650"/>
      <c r="L134" s="650"/>
      <c r="M134" s="650">
        <v>0</v>
      </c>
      <c r="N134" s="654"/>
      <c r="O134" s="654"/>
      <c r="P134" s="654"/>
      <c r="Q134" s="654"/>
      <c r="R134" s="676"/>
      <c r="S134" s="654"/>
      <c r="T134" s="675"/>
      <c r="U134" s="675"/>
      <c r="V134" s="670" t="e">
        <f>LOOKUP(D134,'f-travail'!A:A,'f-travail'!E:E)</f>
        <v>#N/A</v>
      </c>
      <c r="W134" s="670" t="e">
        <f>VLOOKUP(V134,جرقمإستدلالي,'f-travail'!$AD$4+1,FALSE)</f>
        <v>#N/A</v>
      </c>
      <c r="X134" s="671" t="e">
        <f t="shared" si="69"/>
        <v>#N/A</v>
      </c>
      <c r="Y134" s="671">
        <f>IF(G134="مدير ولائي",(HLOOKUP(I134,جدروظعليا,'f-travail'!$AT$3+1,FALSE)-3200),0)</f>
        <v>0</v>
      </c>
      <c r="Z134" s="672" t="str">
        <f t="shared" si="80"/>
        <v/>
      </c>
      <c r="AA134" s="671">
        <f t="shared" si="81"/>
        <v>0</v>
      </c>
      <c r="AB134" s="677" t="b">
        <f t="shared" si="70"/>
        <v>0</v>
      </c>
      <c r="AC134" s="678">
        <f t="shared" si="82"/>
        <v>0</v>
      </c>
      <c r="AD134" s="673"/>
      <c r="AE134" s="678">
        <f t="shared" si="71"/>
        <v>0</v>
      </c>
      <c r="AF134" s="678" t="e">
        <f t="shared" si="72"/>
        <v>#N/A</v>
      </c>
      <c r="AG134" s="678" t="e">
        <f t="shared" si="73"/>
        <v>#N/A</v>
      </c>
      <c r="AH134" s="673">
        <f t="shared" si="83"/>
        <v>0</v>
      </c>
      <c r="AI134" s="674" t="e">
        <f>IF(G134="مدير ولائي",(11000*35%),LOOKUP(D134,'f-travail'!A:A,'f-travail'!I:I))</f>
        <v>#N/A</v>
      </c>
      <c r="AJ134" s="673" t="e">
        <f>IF(G134="مدير ولائي",((W134+X134)*45)*80%,IF(V134&lt;8,0,IF(F134="إليزي",(LOOKUP(D134,'f-travail'!A:A,'f-travail'!O:O))*(AF134+AG134),LOOKUP(D134,'f-travail'!A:A,'f-travail'!P:P)*(AF134+AG134))))</f>
        <v>#N/A</v>
      </c>
      <c r="AK134" s="673" t="e">
        <f>IF(G134="مدير ولائي",0,LOOKUP(D134,'f-travail'!A:A,'f-travail'!Q:Q))</f>
        <v>#N/A</v>
      </c>
      <c r="AL134" s="673" t="e">
        <f>IF(G134="مدير ولائي",0,LOOKUP(D134,'f-travail'!A:A,'f-travail'!R:R)*(AF134+AG134))</f>
        <v>#N/A</v>
      </c>
      <c r="AM134" s="673" t="e">
        <f>IF(G134="مدير ولائي",0,LOOKUP(D134,'f-travail'!A:A,'f-travail'!S:S)*(AF134+AG134))</f>
        <v>#N/A</v>
      </c>
      <c r="AN134" s="673" t="e">
        <f>IF(G134="مدير ولائي",0,LOOKUP(D134,'f-travail'!A:A,'f-travail'!T:T)*(AF134+AG134))</f>
        <v>#N/A</v>
      </c>
      <c r="AO134" s="673" t="e">
        <f>IF(G134="مدير ولائي",0,LOOKUP(D134,'f-travail'!A:A,'f-travail'!U:U)*(AF134+AG134))</f>
        <v>#N/A</v>
      </c>
      <c r="AP134" s="673" t="e">
        <f>IF(G134="مدير ولائي",0,LOOKUP(D134,'f-travail'!A:A,'f-travail'!V:V)*(AF134+AG134))</f>
        <v>#N/A</v>
      </c>
      <c r="AQ134" s="673" t="e">
        <f>IF(G134="مدير ولائي",0,LOOKUP(D134,'f-travail'!A:A,'f-travail'!W:W)*(AF134+AG134))</f>
        <v>#N/A</v>
      </c>
      <c r="AR134" s="673">
        <f t="shared" si="84"/>
        <v>0</v>
      </c>
      <c r="AS134" s="673" t="e">
        <f>IF(G134="مدير ولائي",0,LOOKUP(D134,'f-travail'!A:A,'f-travail'!X:X)*(AF134+AG134))</f>
        <v>#N/A</v>
      </c>
      <c r="AT134" s="673" t="e">
        <f>IF(G134="مدير ولائي",0,LOOKUP(D134,'f-travail'!Y:Y,'f-travail'!R:R)*(AF134+AG134))</f>
        <v>#N/A</v>
      </c>
      <c r="AU134" s="673">
        <f t="shared" si="74"/>
        <v>0</v>
      </c>
      <c r="AV134" s="673">
        <f t="shared" si="75"/>
        <v>0</v>
      </c>
      <c r="AW134" s="673">
        <f t="shared" si="76"/>
        <v>0</v>
      </c>
      <c r="AY134" s="640" t="e">
        <f t="shared" si="85"/>
        <v>#N/A</v>
      </c>
      <c r="AZ134" s="673" t="e">
        <f t="shared" si="77"/>
        <v>#N/A</v>
      </c>
      <c r="BA134" s="639" t="e">
        <f t="shared" si="78"/>
        <v>#N/A</v>
      </c>
      <c r="BG134" s="639">
        <f t="shared" si="86"/>
        <v>0</v>
      </c>
      <c r="BH134" s="683">
        <f t="shared" si="87"/>
        <v>0</v>
      </c>
      <c r="BI134" s="683">
        <f t="shared" si="88"/>
        <v>0</v>
      </c>
      <c r="BJ134" s="641" t="e">
        <f t="shared" si="89"/>
        <v>#N/A</v>
      </c>
      <c r="BK134" s="641" t="e">
        <f t="shared" si="90"/>
        <v>#N/A</v>
      </c>
      <c r="BL134" s="641" t="e">
        <f t="shared" si="91"/>
        <v>#N/A</v>
      </c>
      <c r="BM134" s="684" t="e">
        <f t="shared" si="92"/>
        <v>#N/A</v>
      </c>
      <c r="BO134" s="682" t="e">
        <f>CONCATENATE(Z134," ",LOOKUP(D134,'f-travail'!A:A,'f-travail'!F:F))</f>
        <v>#N/A</v>
      </c>
      <c r="BP134" s="669" t="e">
        <f t="shared" si="79"/>
        <v>#N/A</v>
      </c>
    </row>
    <row r="135" spans="1:68">
      <c r="A135" s="636">
        <f t="shared" si="93"/>
        <v>134</v>
      </c>
      <c r="B135" s="637"/>
      <c r="C135" s="637"/>
      <c r="D135" s="652"/>
      <c r="E135" s="679" t="e">
        <f>LOOKUP(D135,'f-travail'!A:A,'f-travail'!B:B)</f>
        <v>#N/A</v>
      </c>
      <c r="F135" s="650"/>
      <c r="G135" s="650"/>
      <c r="H135" s="653"/>
      <c r="I135" s="653"/>
      <c r="J135" s="654"/>
      <c r="K135" s="650"/>
      <c r="L135" s="650"/>
      <c r="M135" s="650">
        <v>0</v>
      </c>
      <c r="N135" s="654"/>
      <c r="O135" s="654"/>
      <c r="P135" s="654"/>
      <c r="Q135" s="654"/>
      <c r="R135" s="676"/>
      <c r="S135" s="654"/>
      <c r="T135" s="675"/>
      <c r="U135" s="675"/>
      <c r="V135" s="670" t="e">
        <f>LOOKUP(D135,'f-travail'!A:A,'f-travail'!E:E)</f>
        <v>#N/A</v>
      </c>
      <c r="W135" s="670" t="e">
        <f>VLOOKUP(V135,جرقمإستدلالي,'f-travail'!$AD$4+1,FALSE)</f>
        <v>#N/A</v>
      </c>
      <c r="X135" s="671" t="e">
        <f t="shared" si="69"/>
        <v>#N/A</v>
      </c>
      <c r="Y135" s="671">
        <f>IF(G135="مدير ولائي",(HLOOKUP(I135,جدروظعليا,'f-travail'!$AT$3+1,FALSE)-3200),0)</f>
        <v>0</v>
      </c>
      <c r="Z135" s="672" t="str">
        <f t="shared" si="80"/>
        <v/>
      </c>
      <c r="AA135" s="671">
        <f t="shared" si="81"/>
        <v>0</v>
      </c>
      <c r="AB135" s="677" t="b">
        <f t="shared" si="70"/>
        <v>0</v>
      </c>
      <c r="AC135" s="678">
        <f t="shared" si="82"/>
        <v>0</v>
      </c>
      <c r="AD135" s="673"/>
      <c r="AE135" s="678">
        <f t="shared" si="71"/>
        <v>0</v>
      </c>
      <c r="AF135" s="678" t="e">
        <f t="shared" si="72"/>
        <v>#N/A</v>
      </c>
      <c r="AG135" s="678" t="e">
        <f t="shared" si="73"/>
        <v>#N/A</v>
      </c>
      <c r="AH135" s="673">
        <f t="shared" si="83"/>
        <v>0</v>
      </c>
      <c r="AI135" s="674" t="e">
        <f>IF(G135="مدير ولائي",(11000*35%),LOOKUP(D135,'f-travail'!A:A,'f-travail'!I:I))</f>
        <v>#N/A</v>
      </c>
      <c r="AJ135" s="673" t="e">
        <f>IF(G135="مدير ولائي",((W135+X135)*45)*80%,IF(V135&lt;8,0,IF(F135="إليزي",(LOOKUP(D135,'f-travail'!A:A,'f-travail'!O:O))*(AF135+AG135),LOOKUP(D135,'f-travail'!A:A,'f-travail'!P:P)*(AF135+AG135))))</f>
        <v>#N/A</v>
      </c>
      <c r="AK135" s="673" t="e">
        <f>IF(G135="مدير ولائي",0,LOOKUP(D135,'f-travail'!A:A,'f-travail'!Q:Q))</f>
        <v>#N/A</v>
      </c>
      <c r="AL135" s="673" t="e">
        <f>IF(G135="مدير ولائي",0,LOOKUP(D135,'f-travail'!A:A,'f-travail'!R:R)*(AF135+AG135))</f>
        <v>#N/A</v>
      </c>
      <c r="AM135" s="673" t="e">
        <f>IF(G135="مدير ولائي",0,LOOKUP(D135,'f-travail'!A:A,'f-travail'!S:S)*(AF135+AG135))</f>
        <v>#N/A</v>
      </c>
      <c r="AN135" s="673" t="e">
        <f>IF(G135="مدير ولائي",0,LOOKUP(D135,'f-travail'!A:A,'f-travail'!T:T)*(AF135+AG135))</f>
        <v>#N/A</v>
      </c>
      <c r="AO135" s="673" t="e">
        <f>IF(G135="مدير ولائي",0,LOOKUP(D135,'f-travail'!A:A,'f-travail'!U:U)*(AF135+AG135))</f>
        <v>#N/A</v>
      </c>
      <c r="AP135" s="673" t="e">
        <f>IF(G135="مدير ولائي",0,LOOKUP(D135,'f-travail'!A:A,'f-travail'!V:V)*(AF135+AG135))</f>
        <v>#N/A</v>
      </c>
      <c r="AQ135" s="673" t="e">
        <f>IF(G135="مدير ولائي",0,LOOKUP(D135,'f-travail'!A:A,'f-travail'!W:W)*(AF135+AG135))</f>
        <v>#N/A</v>
      </c>
      <c r="AR135" s="673">
        <f t="shared" si="84"/>
        <v>0</v>
      </c>
      <c r="AS135" s="673" t="e">
        <f>IF(G135="مدير ولائي",0,LOOKUP(D135,'f-travail'!A:A,'f-travail'!X:X)*(AF135+AG135))</f>
        <v>#N/A</v>
      </c>
      <c r="AT135" s="673" t="e">
        <f>IF(G135="مدير ولائي",0,LOOKUP(D135,'f-travail'!Y:Y,'f-travail'!R:R)*(AF135+AG135))</f>
        <v>#N/A</v>
      </c>
      <c r="AU135" s="673">
        <f t="shared" si="74"/>
        <v>0</v>
      </c>
      <c r="AV135" s="673">
        <f t="shared" si="75"/>
        <v>0</v>
      </c>
      <c r="AW135" s="673">
        <f t="shared" si="76"/>
        <v>0</v>
      </c>
      <c r="AY135" s="640" t="e">
        <f t="shared" si="85"/>
        <v>#N/A</v>
      </c>
      <c r="AZ135" s="673" t="e">
        <f t="shared" si="77"/>
        <v>#N/A</v>
      </c>
      <c r="BA135" s="639" t="e">
        <f t="shared" si="78"/>
        <v>#N/A</v>
      </c>
      <c r="BG135" s="639">
        <f t="shared" si="86"/>
        <v>0</v>
      </c>
      <c r="BH135" s="683">
        <f t="shared" si="87"/>
        <v>0</v>
      </c>
      <c r="BI135" s="683">
        <f t="shared" si="88"/>
        <v>0</v>
      </c>
      <c r="BJ135" s="641" t="e">
        <f t="shared" si="89"/>
        <v>#N/A</v>
      </c>
      <c r="BK135" s="641" t="e">
        <f t="shared" si="90"/>
        <v>#N/A</v>
      </c>
      <c r="BL135" s="641" t="e">
        <f t="shared" si="91"/>
        <v>#N/A</v>
      </c>
      <c r="BM135" s="684" t="e">
        <f t="shared" si="92"/>
        <v>#N/A</v>
      </c>
      <c r="BO135" s="682" t="e">
        <f>CONCATENATE(Z135," ",LOOKUP(D135,'f-travail'!A:A,'f-travail'!F:F))</f>
        <v>#N/A</v>
      </c>
      <c r="BP135" s="669" t="e">
        <f t="shared" si="79"/>
        <v>#N/A</v>
      </c>
    </row>
    <row r="136" spans="1:68">
      <c r="A136" s="636">
        <f t="shared" si="93"/>
        <v>135</v>
      </c>
      <c r="B136" s="637"/>
      <c r="C136" s="637"/>
      <c r="D136" s="652"/>
      <c r="E136" s="679" t="e">
        <f>LOOKUP(D136,'f-travail'!A:A,'f-travail'!B:B)</f>
        <v>#N/A</v>
      </c>
      <c r="F136" s="650"/>
      <c r="G136" s="650"/>
      <c r="H136" s="653"/>
      <c r="I136" s="653"/>
      <c r="J136" s="654"/>
      <c r="K136" s="650"/>
      <c r="L136" s="650"/>
      <c r="M136" s="650">
        <v>0</v>
      </c>
      <c r="N136" s="654"/>
      <c r="O136" s="654"/>
      <c r="P136" s="654"/>
      <c r="Q136" s="654"/>
      <c r="R136" s="676"/>
      <c r="S136" s="654"/>
      <c r="T136" s="675"/>
      <c r="U136" s="675"/>
      <c r="V136" s="670" t="e">
        <f>LOOKUP(D136,'f-travail'!A:A,'f-travail'!E:E)</f>
        <v>#N/A</v>
      </c>
      <c r="W136" s="670" t="e">
        <f>VLOOKUP(V136,جرقمإستدلالي,'f-travail'!$AD$4+1,FALSE)</f>
        <v>#N/A</v>
      </c>
      <c r="X136" s="671" t="e">
        <f t="shared" si="69"/>
        <v>#N/A</v>
      </c>
      <c r="Y136" s="671">
        <f>IF(G136="مدير ولائي",(HLOOKUP(I136,جدروظعليا,'f-travail'!$AT$3+1,FALSE)-3200),0)</f>
        <v>0</v>
      </c>
      <c r="Z136" s="672" t="str">
        <f t="shared" si="80"/>
        <v/>
      </c>
      <c r="AA136" s="671">
        <f t="shared" si="81"/>
        <v>0</v>
      </c>
      <c r="AB136" s="677" t="b">
        <f t="shared" si="70"/>
        <v>0</v>
      </c>
      <c r="AC136" s="678">
        <f t="shared" si="82"/>
        <v>0</v>
      </c>
      <c r="AD136" s="673"/>
      <c r="AE136" s="678">
        <f t="shared" si="71"/>
        <v>0</v>
      </c>
      <c r="AF136" s="678" t="e">
        <f t="shared" si="72"/>
        <v>#N/A</v>
      </c>
      <c r="AG136" s="678" t="e">
        <f t="shared" si="73"/>
        <v>#N/A</v>
      </c>
      <c r="AH136" s="673">
        <f t="shared" si="83"/>
        <v>0</v>
      </c>
      <c r="AI136" s="674" t="e">
        <f>IF(G136="مدير ولائي",(11000*35%),LOOKUP(D136,'f-travail'!A:A,'f-travail'!I:I))</f>
        <v>#N/A</v>
      </c>
      <c r="AJ136" s="673" t="e">
        <f>IF(G136="مدير ولائي",((W136+X136)*45)*80%,IF(V136&lt;8,0,IF(F136="إليزي",(LOOKUP(D136,'f-travail'!A:A,'f-travail'!O:O))*(AF136+AG136),LOOKUP(D136,'f-travail'!A:A,'f-travail'!P:P)*(AF136+AG136))))</f>
        <v>#N/A</v>
      </c>
      <c r="AK136" s="673" t="e">
        <f>IF(G136="مدير ولائي",0,LOOKUP(D136,'f-travail'!A:A,'f-travail'!Q:Q))</f>
        <v>#N/A</v>
      </c>
      <c r="AL136" s="673" t="e">
        <f>IF(G136="مدير ولائي",0,LOOKUP(D136,'f-travail'!A:A,'f-travail'!R:R)*(AF136+AG136))</f>
        <v>#N/A</v>
      </c>
      <c r="AM136" s="673" t="e">
        <f>IF(G136="مدير ولائي",0,LOOKUP(D136,'f-travail'!A:A,'f-travail'!S:S)*(AF136+AG136))</f>
        <v>#N/A</v>
      </c>
      <c r="AN136" s="673" t="e">
        <f>IF(G136="مدير ولائي",0,LOOKUP(D136,'f-travail'!A:A,'f-travail'!T:T)*(AF136+AG136))</f>
        <v>#N/A</v>
      </c>
      <c r="AO136" s="673" t="e">
        <f>IF(G136="مدير ولائي",0,LOOKUP(D136,'f-travail'!A:A,'f-travail'!U:U)*(AF136+AG136))</f>
        <v>#N/A</v>
      </c>
      <c r="AP136" s="673" t="e">
        <f>IF(G136="مدير ولائي",0,LOOKUP(D136,'f-travail'!A:A,'f-travail'!V:V)*(AF136+AG136))</f>
        <v>#N/A</v>
      </c>
      <c r="AQ136" s="673" t="e">
        <f>IF(G136="مدير ولائي",0,LOOKUP(D136,'f-travail'!A:A,'f-travail'!W:W)*(AF136+AG136))</f>
        <v>#N/A</v>
      </c>
      <c r="AR136" s="673">
        <f t="shared" si="84"/>
        <v>0</v>
      </c>
      <c r="AS136" s="673" t="e">
        <f>IF(G136="مدير ولائي",0,LOOKUP(D136,'f-travail'!A:A,'f-travail'!X:X)*(AF136+AG136))</f>
        <v>#N/A</v>
      </c>
      <c r="AT136" s="673" t="e">
        <f>IF(G136="مدير ولائي",0,LOOKUP(D136,'f-travail'!Y:Y,'f-travail'!R:R)*(AF136+AG136))</f>
        <v>#N/A</v>
      </c>
      <c r="AU136" s="673">
        <f t="shared" si="74"/>
        <v>0</v>
      </c>
      <c r="AV136" s="673">
        <f t="shared" si="75"/>
        <v>0</v>
      </c>
      <c r="AW136" s="673">
        <f t="shared" si="76"/>
        <v>0</v>
      </c>
      <c r="AY136" s="640" t="e">
        <f t="shared" si="85"/>
        <v>#N/A</v>
      </c>
      <c r="AZ136" s="673" t="e">
        <f t="shared" si="77"/>
        <v>#N/A</v>
      </c>
      <c r="BA136" s="639" t="e">
        <f t="shared" si="78"/>
        <v>#N/A</v>
      </c>
      <c r="BG136" s="639">
        <f t="shared" si="86"/>
        <v>0</v>
      </c>
      <c r="BH136" s="683">
        <f t="shared" si="87"/>
        <v>0</v>
      </c>
      <c r="BI136" s="683">
        <f t="shared" si="88"/>
        <v>0</v>
      </c>
      <c r="BJ136" s="641" t="e">
        <f t="shared" si="89"/>
        <v>#N/A</v>
      </c>
      <c r="BK136" s="641" t="e">
        <f t="shared" si="90"/>
        <v>#N/A</v>
      </c>
      <c r="BL136" s="641" t="e">
        <f t="shared" si="91"/>
        <v>#N/A</v>
      </c>
      <c r="BM136" s="684" t="e">
        <f t="shared" si="92"/>
        <v>#N/A</v>
      </c>
      <c r="BO136" s="682" t="e">
        <f>CONCATENATE(Z136," ",LOOKUP(D136,'f-travail'!A:A,'f-travail'!F:F))</f>
        <v>#N/A</v>
      </c>
      <c r="BP136" s="669" t="e">
        <f t="shared" si="79"/>
        <v>#N/A</v>
      </c>
    </row>
    <row r="137" spans="1:68">
      <c r="A137" s="636">
        <f t="shared" si="93"/>
        <v>136</v>
      </c>
      <c r="B137" s="637"/>
      <c r="C137" s="637"/>
      <c r="D137" s="652"/>
      <c r="E137" s="679" t="e">
        <f>LOOKUP(D137,'f-travail'!A:A,'f-travail'!B:B)</f>
        <v>#N/A</v>
      </c>
      <c r="F137" s="650"/>
      <c r="G137" s="650"/>
      <c r="H137" s="653"/>
      <c r="I137" s="653"/>
      <c r="J137" s="654"/>
      <c r="K137" s="650"/>
      <c r="L137" s="650"/>
      <c r="M137" s="650">
        <v>0</v>
      </c>
      <c r="N137" s="654"/>
      <c r="O137" s="654"/>
      <c r="P137" s="654"/>
      <c r="Q137" s="654"/>
      <c r="R137" s="676"/>
      <c r="S137" s="654"/>
      <c r="T137" s="675"/>
      <c r="U137" s="675"/>
      <c r="V137" s="670" t="e">
        <f>LOOKUP(D137,'f-travail'!A:A,'f-travail'!E:E)</f>
        <v>#N/A</v>
      </c>
      <c r="W137" s="670" t="e">
        <f>VLOOKUP(V137,جرقمإستدلالي,'f-travail'!$AD$4+1,FALSE)</f>
        <v>#N/A</v>
      </c>
      <c r="X137" s="671" t="e">
        <f t="shared" si="69"/>
        <v>#N/A</v>
      </c>
      <c r="Y137" s="671">
        <f>IF(G137="مدير ولائي",(HLOOKUP(I137,جدروظعليا,'f-travail'!$AT$3+1,FALSE)-3200),0)</f>
        <v>0</v>
      </c>
      <c r="Z137" s="672" t="str">
        <f t="shared" si="80"/>
        <v/>
      </c>
      <c r="AA137" s="671">
        <f t="shared" si="81"/>
        <v>0</v>
      </c>
      <c r="AB137" s="677" t="b">
        <f t="shared" si="70"/>
        <v>0</v>
      </c>
      <c r="AC137" s="678">
        <f t="shared" si="82"/>
        <v>0</v>
      </c>
      <c r="AD137" s="673"/>
      <c r="AE137" s="678">
        <f t="shared" si="71"/>
        <v>0</v>
      </c>
      <c r="AF137" s="678" t="e">
        <f t="shared" si="72"/>
        <v>#N/A</v>
      </c>
      <c r="AG137" s="678" t="e">
        <f t="shared" si="73"/>
        <v>#N/A</v>
      </c>
      <c r="AH137" s="673">
        <f t="shared" si="83"/>
        <v>0</v>
      </c>
      <c r="AI137" s="674" t="e">
        <f>IF(G137="مدير ولائي",(11000*35%),LOOKUP(D137,'f-travail'!A:A,'f-travail'!I:I))</f>
        <v>#N/A</v>
      </c>
      <c r="AJ137" s="673" t="e">
        <f>IF(G137="مدير ولائي",((W137+X137)*45)*80%,IF(V137&lt;8,0,IF(F137="إليزي",(LOOKUP(D137,'f-travail'!A:A,'f-travail'!O:O))*(AF137+AG137),LOOKUP(D137,'f-travail'!A:A,'f-travail'!P:P)*(AF137+AG137))))</f>
        <v>#N/A</v>
      </c>
      <c r="AK137" s="673" t="e">
        <f>IF(G137="مدير ولائي",0,LOOKUP(D137,'f-travail'!A:A,'f-travail'!Q:Q))</f>
        <v>#N/A</v>
      </c>
      <c r="AL137" s="673" t="e">
        <f>IF(G137="مدير ولائي",0,LOOKUP(D137,'f-travail'!A:A,'f-travail'!R:R)*(AF137+AG137))</f>
        <v>#N/A</v>
      </c>
      <c r="AM137" s="673" t="e">
        <f>IF(G137="مدير ولائي",0,LOOKUP(D137,'f-travail'!A:A,'f-travail'!S:S)*(AF137+AG137))</f>
        <v>#N/A</v>
      </c>
      <c r="AN137" s="673" t="e">
        <f>IF(G137="مدير ولائي",0,LOOKUP(D137,'f-travail'!A:A,'f-travail'!T:T)*(AF137+AG137))</f>
        <v>#N/A</v>
      </c>
      <c r="AO137" s="673" t="e">
        <f>IF(G137="مدير ولائي",0,LOOKUP(D137,'f-travail'!A:A,'f-travail'!U:U)*(AF137+AG137))</f>
        <v>#N/A</v>
      </c>
      <c r="AP137" s="673" t="e">
        <f>IF(G137="مدير ولائي",0,LOOKUP(D137,'f-travail'!A:A,'f-travail'!V:V)*(AF137+AG137))</f>
        <v>#N/A</v>
      </c>
      <c r="AQ137" s="673" t="e">
        <f>IF(G137="مدير ولائي",0,LOOKUP(D137,'f-travail'!A:A,'f-travail'!W:W)*(AF137+AG137))</f>
        <v>#N/A</v>
      </c>
      <c r="AR137" s="673">
        <f t="shared" si="84"/>
        <v>0</v>
      </c>
      <c r="AS137" s="673" t="e">
        <f>IF(G137="مدير ولائي",0,LOOKUP(D137,'f-travail'!A:A,'f-travail'!X:X)*(AF137+AG137))</f>
        <v>#N/A</v>
      </c>
      <c r="AT137" s="673" t="e">
        <f>IF(G137="مدير ولائي",0,LOOKUP(D137,'f-travail'!Y:Y,'f-travail'!R:R)*(AF137+AG137))</f>
        <v>#N/A</v>
      </c>
      <c r="AU137" s="673">
        <f t="shared" si="74"/>
        <v>0</v>
      </c>
      <c r="AV137" s="673">
        <f t="shared" si="75"/>
        <v>0</v>
      </c>
      <c r="AW137" s="673">
        <f t="shared" si="76"/>
        <v>0</v>
      </c>
      <c r="AY137" s="640" t="e">
        <f t="shared" si="85"/>
        <v>#N/A</v>
      </c>
      <c r="AZ137" s="673" t="e">
        <f t="shared" si="77"/>
        <v>#N/A</v>
      </c>
      <c r="BA137" s="639" t="e">
        <f t="shared" si="78"/>
        <v>#N/A</v>
      </c>
      <c r="BG137" s="639">
        <f t="shared" si="86"/>
        <v>0</v>
      </c>
      <c r="BH137" s="683">
        <f t="shared" si="87"/>
        <v>0</v>
      </c>
      <c r="BI137" s="683">
        <f t="shared" si="88"/>
        <v>0</v>
      </c>
      <c r="BJ137" s="641" t="e">
        <f t="shared" si="89"/>
        <v>#N/A</v>
      </c>
      <c r="BK137" s="641" t="e">
        <f t="shared" si="90"/>
        <v>#N/A</v>
      </c>
      <c r="BL137" s="641" t="e">
        <f t="shared" si="91"/>
        <v>#N/A</v>
      </c>
      <c r="BM137" s="684" t="e">
        <f t="shared" si="92"/>
        <v>#N/A</v>
      </c>
      <c r="BO137" s="682" t="e">
        <f>CONCATENATE(Z137," ",LOOKUP(D137,'f-travail'!A:A,'f-travail'!F:F))</f>
        <v>#N/A</v>
      </c>
      <c r="BP137" s="669" t="e">
        <f t="shared" si="79"/>
        <v>#N/A</v>
      </c>
    </row>
    <row r="138" spans="1:68">
      <c r="A138" s="636">
        <f t="shared" si="93"/>
        <v>137</v>
      </c>
      <c r="B138" s="637"/>
      <c r="C138" s="637"/>
      <c r="D138" s="652"/>
      <c r="E138" s="679" t="e">
        <f>LOOKUP(D138,'f-travail'!A:A,'f-travail'!B:B)</f>
        <v>#N/A</v>
      </c>
      <c r="F138" s="650"/>
      <c r="G138" s="650"/>
      <c r="H138" s="653"/>
      <c r="I138" s="653"/>
      <c r="J138" s="654"/>
      <c r="K138" s="650"/>
      <c r="L138" s="650"/>
      <c r="M138" s="650">
        <v>0</v>
      </c>
      <c r="N138" s="654"/>
      <c r="O138" s="654"/>
      <c r="P138" s="654"/>
      <c r="Q138" s="654"/>
      <c r="R138" s="676"/>
      <c r="S138" s="654"/>
      <c r="T138" s="675"/>
      <c r="U138" s="675"/>
      <c r="V138" s="670" t="e">
        <f>LOOKUP(D138,'f-travail'!A:A,'f-travail'!E:E)</f>
        <v>#N/A</v>
      </c>
      <c r="W138" s="670" t="e">
        <f>VLOOKUP(V138,جرقمإستدلالي,'f-travail'!$AD$4+1,FALSE)</f>
        <v>#N/A</v>
      </c>
      <c r="X138" s="671" t="e">
        <f t="shared" si="69"/>
        <v>#N/A</v>
      </c>
      <c r="Y138" s="671">
        <f>IF(G138="مدير ولائي",(HLOOKUP(I138,جدروظعليا,'f-travail'!$AT$3+1,FALSE)-3200),0)</f>
        <v>0</v>
      </c>
      <c r="Z138" s="672" t="str">
        <f t="shared" si="80"/>
        <v/>
      </c>
      <c r="AA138" s="671">
        <f t="shared" si="81"/>
        <v>0</v>
      </c>
      <c r="AB138" s="677" t="b">
        <f t="shared" si="70"/>
        <v>0</v>
      </c>
      <c r="AC138" s="678">
        <f t="shared" si="82"/>
        <v>0</v>
      </c>
      <c r="AD138" s="673"/>
      <c r="AE138" s="678">
        <f t="shared" si="71"/>
        <v>0</v>
      </c>
      <c r="AF138" s="678" t="e">
        <f t="shared" si="72"/>
        <v>#N/A</v>
      </c>
      <c r="AG138" s="678" t="e">
        <f t="shared" si="73"/>
        <v>#N/A</v>
      </c>
      <c r="AH138" s="673">
        <f t="shared" si="83"/>
        <v>0</v>
      </c>
      <c r="AI138" s="674" t="e">
        <f>IF(G138="مدير ولائي",(11000*35%),LOOKUP(D138,'f-travail'!A:A,'f-travail'!I:I))</f>
        <v>#N/A</v>
      </c>
      <c r="AJ138" s="673" t="e">
        <f>IF(G138="مدير ولائي",((W138+X138)*45)*80%,IF(V138&lt;8,0,IF(F138="إليزي",(LOOKUP(D138,'f-travail'!A:A,'f-travail'!O:O))*(AF138+AG138),LOOKUP(D138,'f-travail'!A:A,'f-travail'!P:P)*(AF138+AG138))))</f>
        <v>#N/A</v>
      </c>
      <c r="AK138" s="673" t="e">
        <f>IF(G138="مدير ولائي",0,LOOKUP(D138,'f-travail'!A:A,'f-travail'!Q:Q))</f>
        <v>#N/A</v>
      </c>
      <c r="AL138" s="673" t="e">
        <f>IF(G138="مدير ولائي",0,LOOKUP(D138,'f-travail'!A:A,'f-travail'!R:R)*(AF138+AG138))</f>
        <v>#N/A</v>
      </c>
      <c r="AM138" s="673" t="e">
        <f>IF(G138="مدير ولائي",0,LOOKUP(D138,'f-travail'!A:A,'f-travail'!S:S)*(AF138+AG138))</f>
        <v>#N/A</v>
      </c>
      <c r="AN138" s="673" t="e">
        <f>IF(G138="مدير ولائي",0,LOOKUP(D138,'f-travail'!A:A,'f-travail'!T:T)*(AF138+AG138))</f>
        <v>#N/A</v>
      </c>
      <c r="AO138" s="673" t="e">
        <f>IF(G138="مدير ولائي",0,LOOKUP(D138,'f-travail'!A:A,'f-travail'!U:U)*(AF138+AG138))</f>
        <v>#N/A</v>
      </c>
      <c r="AP138" s="673" t="e">
        <f>IF(G138="مدير ولائي",0,LOOKUP(D138,'f-travail'!A:A,'f-travail'!V:V)*(AF138+AG138))</f>
        <v>#N/A</v>
      </c>
      <c r="AQ138" s="673" t="e">
        <f>IF(G138="مدير ولائي",0,LOOKUP(D138,'f-travail'!A:A,'f-travail'!W:W)*(AF138+AG138))</f>
        <v>#N/A</v>
      </c>
      <c r="AR138" s="673">
        <f t="shared" si="84"/>
        <v>0</v>
      </c>
      <c r="AS138" s="673" t="e">
        <f>IF(G138="مدير ولائي",0,LOOKUP(D138,'f-travail'!A:A,'f-travail'!X:X)*(AF138+AG138))</f>
        <v>#N/A</v>
      </c>
      <c r="AT138" s="673" t="e">
        <f>IF(G138="مدير ولائي",0,LOOKUP(D138,'f-travail'!Y:Y,'f-travail'!R:R)*(AF138+AG138))</f>
        <v>#N/A</v>
      </c>
      <c r="AU138" s="673">
        <f t="shared" si="74"/>
        <v>0</v>
      </c>
      <c r="AV138" s="673">
        <f t="shared" si="75"/>
        <v>0</v>
      </c>
      <c r="AW138" s="673">
        <f t="shared" si="76"/>
        <v>0</v>
      </c>
      <c r="AY138" s="640" t="e">
        <f t="shared" si="85"/>
        <v>#N/A</v>
      </c>
      <c r="AZ138" s="673" t="e">
        <f t="shared" si="77"/>
        <v>#N/A</v>
      </c>
      <c r="BA138" s="639" t="e">
        <f t="shared" si="78"/>
        <v>#N/A</v>
      </c>
      <c r="BG138" s="639">
        <f t="shared" si="86"/>
        <v>0</v>
      </c>
      <c r="BH138" s="683">
        <f t="shared" si="87"/>
        <v>0</v>
      </c>
      <c r="BI138" s="683">
        <f t="shared" si="88"/>
        <v>0</v>
      </c>
      <c r="BJ138" s="641" t="e">
        <f t="shared" si="89"/>
        <v>#N/A</v>
      </c>
      <c r="BK138" s="641" t="e">
        <f t="shared" si="90"/>
        <v>#N/A</v>
      </c>
      <c r="BL138" s="641" t="e">
        <f t="shared" si="91"/>
        <v>#N/A</v>
      </c>
      <c r="BM138" s="684" t="e">
        <f t="shared" si="92"/>
        <v>#N/A</v>
      </c>
      <c r="BO138" s="682" t="e">
        <f>CONCATENATE(Z138," ",LOOKUP(D138,'f-travail'!A:A,'f-travail'!F:F))</f>
        <v>#N/A</v>
      </c>
      <c r="BP138" s="669" t="e">
        <f t="shared" si="79"/>
        <v>#N/A</v>
      </c>
    </row>
    <row r="139" spans="1:68">
      <c r="A139" s="636">
        <f t="shared" si="93"/>
        <v>138</v>
      </c>
      <c r="B139" s="637"/>
      <c r="C139" s="637"/>
      <c r="D139" s="652"/>
      <c r="E139" s="679" t="e">
        <f>LOOKUP(D139,'f-travail'!A:A,'f-travail'!B:B)</f>
        <v>#N/A</v>
      </c>
      <c r="F139" s="650"/>
      <c r="G139" s="650"/>
      <c r="H139" s="653"/>
      <c r="I139" s="653"/>
      <c r="J139" s="654"/>
      <c r="K139" s="650"/>
      <c r="L139" s="650"/>
      <c r="M139" s="650">
        <v>0</v>
      </c>
      <c r="N139" s="654"/>
      <c r="O139" s="654"/>
      <c r="P139" s="654"/>
      <c r="Q139" s="654"/>
      <c r="R139" s="676"/>
      <c r="S139" s="654"/>
      <c r="T139" s="675"/>
      <c r="U139" s="675"/>
      <c r="V139" s="670" t="e">
        <f>LOOKUP(D139,'f-travail'!A:A,'f-travail'!E:E)</f>
        <v>#N/A</v>
      </c>
      <c r="W139" s="670" t="e">
        <f>VLOOKUP(V139,جرقمإستدلالي,'f-travail'!$AD$4+1,FALSE)</f>
        <v>#N/A</v>
      </c>
      <c r="X139" s="671" t="e">
        <f t="shared" si="69"/>
        <v>#N/A</v>
      </c>
      <c r="Y139" s="671">
        <f>IF(G139="مدير ولائي",(HLOOKUP(I139,جدروظعليا,'f-travail'!$AT$3+1,FALSE)-3200),0)</f>
        <v>0</v>
      </c>
      <c r="Z139" s="672" t="str">
        <f t="shared" si="80"/>
        <v/>
      </c>
      <c r="AA139" s="671">
        <f t="shared" si="81"/>
        <v>0</v>
      </c>
      <c r="AB139" s="677" t="b">
        <f t="shared" si="70"/>
        <v>0</v>
      </c>
      <c r="AC139" s="678">
        <f t="shared" si="82"/>
        <v>0</v>
      </c>
      <c r="AD139" s="673"/>
      <c r="AE139" s="678">
        <f t="shared" si="71"/>
        <v>0</v>
      </c>
      <c r="AF139" s="678" t="e">
        <f t="shared" si="72"/>
        <v>#N/A</v>
      </c>
      <c r="AG139" s="678" t="e">
        <f t="shared" si="73"/>
        <v>#N/A</v>
      </c>
      <c r="AH139" s="673">
        <f t="shared" si="83"/>
        <v>0</v>
      </c>
      <c r="AI139" s="674" t="e">
        <f>IF(G139="مدير ولائي",(11000*35%),LOOKUP(D139,'f-travail'!A:A,'f-travail'!I:I))</f>
        <v>#N/A</v>
      </c>
      <c r="AJ139" s="673" t="e">
        <f>IF(G139="مدير ولائي",((W139+X139)*45)*80%,IF(V139&lt;8,0,IF(F139="إليزي",(LOOKUP(D139,'f-travail'!A:A,'f-travail'!O:O))*(AF139+AG139),LOOKUP(D139,'f-travail'!A:A,'f-travail'!P:P)*(AF139+AG139))))</f>
        <v>#N/A</v>
      </c>
      <c r="AK139" s="673" t="e">
        <f>IF(G139="مدير ولائي",0,LOOKUP(D139,'f-travail'!A:A,'f-travail'!Q:Q))</f>
        <v>#N/A</v>
      </c>
      <c r="AL139" s="673" t="e">
        <f>IF(G139="مدير ولائي",0,LOOKUP(D139,'f-travail'!A:A,'f-travail'!R:R)*(AF139+AG139))</f>
        <v>#N/A</v>
      </c>
      <c r="AM139" s="673" t="e">
        <f>IF(G139="مدير ولائي",0,LOOKUP(D139,'f-travail'!A:A,'f-travail'!S:S)*(AF139+AG139))</f>
        <v>#N/A</v>
      </c>
      <c r="AN139" s="673" t="e">
        <f>IF(G139="مدير ولائي",0,LOOKUP(D139,'f-travail'!A:A,'f-travail'!T:T)*(AF139+AG139))</f>
        <v>#N/A</v>
      </c>
      <c r="AO139" s="673" t="e">
        <f>IF(G139="مدير ولائي",0,LOOKUP(D139,'f-travail'!A:A,'f-travail'!U:U)*(AF139+AG139))</f>
        <v>#N/A</v>
      </c>
      <c r="AP139" s="673" t="e">
        <f>IF(G139="مدير ولائي",0,LOOKUP(D139,'f-travail'!A:A,'f-travail'!V:V)*(AF139+AG139))</f>
        <v>#N/A</v>
      </c>
      <c r="AQ139" s="673" t="e">
        <f>IF(G139="مدير ولائي",0,LOOKUP(D139,'f-travail'!A:A,'f-travail'!W:W)*(AF139+AG139))</f>
        <v>#N/A</v>
      </c>
      <c r="AR139" s="673">
        <f t="shared" si="84"/>
        <v>0</v>
      </c>
      <c r="AS139" s="673" t="e">
        <f>IF(G139="مدير ولائي",0,LOOKUP(D139,'f-travail'!A:A,'f-travail'!X:X)*(AF139+AG139))</f>
        <v>#N/A</v>
      </c>
      <c r="AT139" s="673" t="e">
        <f>IF(G139="مدير ولائي",0,LOOKUP(D139,'f-travail'!Y:Y,'f-travail'!R:R)*(AF139+AG139))</f>
        <v>#N/A</v>
      </c>
      <c r="AU139" s="673">
        <f t="shared" si="74"/>
        <v>0</v>
      </c>
      <c r="AV139" s="673">
        <f t="shared" si="75"/>
        <v>0</v>
      </c>
      <c r="AW139" s="673">
        <f t="shared" si="76"/>
        <v>0</v>
      </c>
      <c r="AY139" s="640" t="e">
        <f t="shared" si="85"/>
        <v>#N/A</v>
      </c>
      <c r="AZ139" s="673" t="e">
        <f t="shared" si="77"/>
        <v>#N/A</v>
      </c>
      <c r="BA139" s="639" t="e">
        <f t="shared" si="78"/>
        <v>#N/A</v>
      </c>
      <c r="BG139" s="639">
        <f t="shared" si="86"/>
        <v>0</v>
      </c>
      <c r="BH139" s="683">
        <f t="shared" si="87"/>
        <v>0</v>
      </c>
      <c r="BI139" s="683">
        <f t="shared" si="88"/>
        <v>0</v>
      </c>
      <c r="BJ139" s="641" t="e">
        <f t="shared" si="89"/>
        <v>#N/A</v>
      </c>
      <c r="BK139" s="641" t="e">
        <f t="shared" si="90"/>
        <v>#N/A</v>
      </c>
      <c r="BL139" s="641" t="e">
        <f t="shared" si="91"/>
        <v>#N/A</v>
      </c>
      <c r="BM139" s="684" t="e">
        <f t="shared" si="92"/>
        <v>#N/A</v>
      </c>
      <c r="BO139" s="682" t="e">
        <f>CONCATENATE(Z139," ",LOOKUP(D139,'f-travail'!A:A,'f-travail'!F:F))</f>
        <v>#N/A</v>
      </c>
      <c r="BP139" s="669" t="e">
        <f t="shared" si="79"/>
        <v>#N/A</v>
      </c>
    </row>
    <row r="140" spans="1:68">
      <c r="A140" s="636">
        <f t="shared" si="93"/>
        <v>139</v>
      </c>
      <c r="B140" s="637"/>
      <c r="C140" s="637"/>
      <c r="D140" s="652"/>
      <c r="E140" s="679" t="e">
        <f>LOOKUP(D140,'f-travail'!A:A,'f-travail'!B:B)</f>
        <v>#N/A</v>
      </c>
      <c r="F140" s="650"/>
      <c r="G140" s="650"/>
      <c r="H140" s="653"/>
      <c r="I140" s="653"/>
      <c r="J140" s="654"/>
      <c r="K140" s="650"/>
      <c r="L140" s="650"/>
      <c r="M140" s="650">
        <v>0</v>
      </c>
      <c r="N140" s="654"/>
      <c r="O140" s="654"/>
      <c r="P140" s="654"/>
      <c r="Q140" s="654"/>
      <c r="R140" s="676"/>
      <c r="S140" s="654"/>
      <c r="T140" s="675"/>
      <c r="U140" s="675"/>
      <c r="V140" s="670" t="e">
        <f>LOOKUP(D140,'f-travail'!A:A,'f-travail'!E:E)</f>
        <v>#N/A</v>
      </c>
      <c r="W140" s="670" t="e">
        <f>VLOOKUP(V140,جرقمإستدلالي,'f-travail'!$AD$4+1,FALSE)</f>
        <v>#N/A</v>
      </c>
      <c r="X140" s="671" t="e">
        <f t="shared" si="69"/>
        <v>#N/A</v>
      </c>
      <c r="Y140" s="671">
        <f>IF(G140="مدير ولائي",(HLOOKUP(I140,جدروظعليا,'f-travail'!$AT$3+1,FALSE)-3200),0)</f>
        <v>0</v>
      </c>
      <c r="Z140" s="672" t="str">
        <f t="shared" si="80"/>
        <v/>
      </c>
      <c r="AA140" s="671">
        <f t="shared" si="81"/>
        <v>0</v>
      </c>
      <c r="AB140" s="677" t="b">
        <f t="shared" si="70"/>
        <v>0</v>
      </c>
      <c r="AC140" s="678">
        <f t="shared" si="82"/>
        <v>0</v>
      </c>
      <c r="AD140" s="673"/>
      <c r="AE140" s="678">
        <f t="shared" si="71"/>
        <v>0</v>
      </c>
      <c r="AF140" s="678" t="e">
        <f t="shared" si="72"/>
        <v>#N/A</v>
      </c>
      <c r="AG140" s="678" t="e">
        <f t="shared" si="73"/>
        <v>#N/A</v>
      </c>
      <c r="AH140" s="673">
        <f t="shared" si="83"/>
        <v>0</v>
      </c>
      <c r="AI140" s="674" t="e">
        <f>IF(G140="مدير ولائي",(11000*35%),LOOKUP(D140,'f-travail'!A:A,'f-travail'!I:I))</f>
        <v>#N/A</v>
      </c>
      <c r="AJ140" s="673" t="e">
        <f>IF(G140="مدير ولائي",((W140+X140)*45)*80%,IF(V140&lt;8,0,IF(F140="إليزي",(LOOKUP(D140,'f-travail'!A:A,'f-travail'!O:O))*(AF140+AG140),LOOKUP(D140,'f-travail'!A:A,'f-travail'!P:P)*(AF140+AG140))))</f>
        <v>#N/A</v>
      </c>
      <c r="AK140" s="673" t="e">
        <f>IF(G140="مدير ولائي",0,LOOKUP(D140,'f-travail'!A:A,'f-travail'!Q:Q))</f>
        <v>#N/A</v>
      </c>
      <c r="AL140" s="673" t="e">
        <f>IF(G140="مدير ولائي",0,LOOKUP(D140,'f-travail'!A:A,'f-travail'!R:R)*(AF140+AG140))</f>
        <v>#N/A</v>
      </c>
      <c r="AM140" s="673" t="e">
        <f>IF(G140="مدير ولائي",0,LOOKUP(D140,'f-travail'!A:A,'f-travail'!S:S)*(AF140+AG140))</f>
        <v>#N/A</v>
      </c>
      <c r="AN140" s="673" t="e">
        <f>IF(G140="مدير ولائي",0,LOOKUP(D140,'f-travail'!A:A,'f-travail'!T:T)*(AF140+AG140))</f>
        <v>#N/A</v>
      </c>
      <c r="AO140" s="673" t="e">
        <f>IF(G140="مدير ولائي",0,LOOKUP(D140,'f-travail'!A:A,'f-travail'!U:U)*(AF140+AG140))</f>
        <v>#N/A</v>
      </c>
      <c r="AP140" s="673" t="e">
        <f>IF(G140="مدير ولائي",0,LOOKUP(D140,'f-travail'!A:A,'f-travail'!V:V)*(AF140+AG140))</f>
        <v>#N/A</v>
      </c>
      <c r="AQ140" s="673" t="e">
        <f>IF(G140="مدير ولائي",0,LOOKUP(D140,'f-travail'!A:A,'f-travail'!W:W)*(AF140+AG140))</f>
        <v>#N/A</v>
      </c>
      <c r="AR140" s="673">
        <f t="shared" si="84"/>
        <v>0</v>
      </c>
      <c r="AS140" s="673" t="e">
        <f>IF(G140="مدير ولائي",0,LOOKUP(D140,'f-travail'!A:A,'f-travail'!X:X)*(AF140+AG140))</f>
        <v>#N/A</v>
      </c>
      <c r="AT140" s="673" t="e">
        <f>IF(G140="مدير ولائي",0,LOOKUP(D140,'f-travail'!Y:Y,'f-travail'!R:R)*(AF140+AG140))</f>
        <v>#N/A</v>
      </c>
      <c r="AU140" s="673">
        <f t="shared" si="74"/>
        <v>0</v>
      </c>
      <c r="AV140" s="673">
        <f t="shared" si="75"/>
        <v>0</v>
      </c>
      <c r="AW140" s="673">
        <f t="shared" si="76"/>
        <v>0</v>
      </c>
      <c r="AY140" s="640" t="e">
        <f t="shared" si="85"/>
        <v>#N/A</v>
      </c>
      <c r="AZ140" s="673" t="e">
        <f t="shared" si="77"/>
        <v>#N/A</v>
      </c>
      <c r="BA140" s="639" t="e">
        <f t="shared" si="78"/>
        <v>#N/A</v>
      </c>
      <c r="BG140" s="639">
        <f t="shared" si="86"/>
        <v>0</v>
      </c>
      <c r="BH140" s="683">
        <f t="shared" si="87"/>
        <v>0</v>
      </c>
      <c r="BI140" s="683">
        <f t="shared" si="88"/>
        <v>0</v>
      </c>
      <c r="BJ140" s="641" t="e">
        <f t="shared" si="89"/>
        <v>#N/A</v>
      </c>
      <c r="BK140" s="641" t="e">
        <f t="shared" si="90"/>
        <v>#N/A</v>
      </c>
      <c r="BL140" s="641" t="e">
        <f t="shared" si="91"/>
        <v>#N/A</v>
      </c>
      <c r="BM140" s="684" t="e">
        <f t="shared" si="92"/>
        <v>#N/A</v>
      </c>
      <c r="BO140" s="682" t="e">
        <f>CONCATENATE(Z140," ",LOOKUP(D140,'f-travail'!A:A,'f-travail'!F:F))</f>
        <v>#N/A</v>
      </c>
      <c r="BP140" s="669" t="e">
        <f t="shared" si="79"/>
        <v>#N/A</v>
      </c>
    </row>
    <row r="141" spans="1:68">
      <c r="A141" s="636">
        <f t="shared" si="93"/>
        <v>140</v>
      </c>
      <c r="B141" s="637"/>
      <c r="C141" s="637"/>
      <c r="D141" s="652"/>
      <c r="E141" s="679" t="e">
        <f>LOOKUP(D141,'f-travail'!A:A,'f-travail'!B:B)</f>
        <v>#N/A</v>
      </c>
      <c r="F141" s="650"/>
      <c r="G141" s="650"/>
      <c r="H141" s="653"/>
      <c r="I141" s="653"/>
      <c r="J141" s="654"/>
      <c r="K141" s="650"/>
      <c r="L141" s="650"/>
      <c r="M141" s="650">
        <v>0</v>
      </c>
      <c r="N141" s="654"/>
      <c r="O141" s="654"/>
      <c r="P141" s="654"/>
      <c r="Q141" s="654"/>
      <c r="R141" s="676"/>
      <c r="S141" s="654"/>
      <c r="T141" s="675"/>
      <c r="U141" s="675"/>
      <c r="V141" s="670" t="e">
        <f>LOOKUP(D141,'f-travail'!A:A,'f-travail'!E:E)</f>
        <v>#N/A</v>
      </c>
      <c r="W141" s="670" t="e">
        <f>VLOOKUP(V141,جرقمإستدلالي,'f-travail'!$AD$4+1,FALSE)</f>
        <v>#N/A</v>
      </c>
      <c r="X141" s="671" t="e">
        <f t="shared" si="69"/>
        <v>#N/A</v>
      </c>
      <c r="Y141" s="671">
        <f>IF(G141="مدير ولائي",(HLOOKUP(I141,جدروظعليا,'f-travail'!$AT$3+1,FALSE)-3200),0)</f>
        <v>0</v>
      </c>
      <c r="Z141" s="672" t="str">
        <f t="shared" si="80"/>
        <v/>
      </c>
      <c r="AA141" s="671">
        <f t="shared" si="81"/>
        <v>0</v>
      </c>
      <c r="AB141" s="677" t="b">
        <f t="shared" si="70"/>
        <v>0</v>
      </c>
      <c r="AC141" s="678">
        <f t="shared" si="82"/>
        <v>0</v>
      </c>
      <c r="AD141" s="673"/>
      <c r="AE141" s="678">
        <f t="shared" si="71"/>
        <v>0</v>
      </c>
      <c r="AF141" s="678" t="e">
        <f t="shared" si="72"/>
        <v>#N/A</v>
      </c>
      <c r="AG141" s="678" t="e">
        <f t="shared" si="73"/>
        <v>#N/A</v>
      </c>
      <c r="AH141" s="673">
        <f t="shared" si="83"/>
        <v>0</v>
      </c>
      <c r="AI141" s="674" t="e">
        <f>IF(G141="مدير ولائي",(11000*35%),LOOKUP(D141,'f-travail'!A:A,'f-travail'!I:I))</f>
        <v>#N/A</v>
      </c>
      <c r="AJ141" s="673" t="e">
        <f>IF(G141="مدير ولائي",((W141+X141)*45)*80%,IF(V141&lt;8,0,IF(F141="إليزي",(LOOKUP(D141,'f-travail'!A:A,'f-travail'!O:O))*(AF141+AG141),LOOKUP(D141,'f-travail'!A:A,'f-travail'!P:P)*(AF141+AG141))))</f>
        <v>#N/A</v>
      </c>
      <c r="AK141" s="673" t="e">
        <f>IF(G141="مدير ولائي",0,LOOKUP(D141,'f-travail'!A:A,'f-travail'!Q:Q))</f>
        <v>#N/A</v>
      </c>
      <c r="AL141" s="673" t="e">
        <f>IF(G141="مدير ولائي",0,LOOKUP(D141,'f-travail'!A:A,'f-travail'!R:R)*(AF141+AG141))</f>
        <v>#N/A</v>
      </c>
      <c r="AM141" s="673" t="e">
        <f>IF(G141="مدير ولائي",0,LOOKUP(D141,'f-travail'!A:A,'f-travail'!S:S)*(AF141+AG141))</f>
        <v>#N/A</v>
      </c>
      <c r="AN141" s="673" t="e">
        <f>IF(G141="مدير ولائي",0,LOOKUP(D141,'f-travail'!A:A,'f-travail'!T:T)*(AF141+AG141))</f>
        <v>#N/A</v>
      </c>
      <c r="AO141" s="673" t="e">
        <f>IF(G141="مدير ولائي",0,LOOKUP(D141,'f-travail'!A:A,'f-travail'!U:U)*(AF141+AG141))</f>
        <v>#N/A</v>
      </c>
      <c r="AP141" s="673" t="e">
        <f>IF(G141="مدير ولائي",0,LOOKUP(D141,'f-travail'!A:A,'f-travail'!V:V)*(AF141+AG141))</f>
        <v>#N/A</v>
      </c>
      <c r="AQ141" s="673" t="e">
        <f>IF(G141="مدير ولائي",0,LOOKUP(D141,'f-travail'!A:A,'f-travail'!W:W)*(AF141+AG141))</f>
        <v>#N/A</v>
      </c>
      <c r="AR141" s="673">
        <f t="shared" si="84"/>
        <v>0</v>
      </c>
      <c r="AS141" s="673" t="e">
        <f>IF(G141="مدير ولائي",0,LOOKUP(D141,'f-travail'!A:A,'f-travail'!X:X)*(AF141+AG141))</f>
        <v>#N/A</v>
      </c>
      <c r="AT141" s="673" t="e">
        <f>IF(G141="مدير ولائي",0,LOOKUP(D141,'f-travail'!Y:Y,'f-travail'!R:R)*(AF141+AG141))</f>
        <v>#N/A</v>
      </c>
      <c r="AU141" s="673">
        <f t="shared" si="74"/>
        <v>0</v>
      </c>
      <c r="AV141" s="673">
        <f t="shared" si="75"/>
        <v>0</v>
      </c>
      <c r="AW141" s="673">
        <f t="shared" si="76"/>
        <v>0</v>
      </c>
      <c r="AY141" s="640" t="e">
        <f t="shared" si="85"/>
        <v>#N/A</v>
      </c>
      <c r="AZ141" s="673" t="e">
        <f t="shared" si="77"/>
        <v>#N/A</v>
      </c>
      <c r="BA141" s="639" t="e">
        <f t="shared" si="78"/>
        <v>#N/A</v>
      </c>
      <c r="BG141" s="639">
        <f t="shared" si="86"/>
        <v>0</v>
      </c>
      <c r="BH141" s="683">
        <f t="shared" si="87"/>
        <v>0</v>
      </c>
      <c r="BI141" s="683">
        <f t="shared" si="88"/>
        <v>0</v>
      </c>
      <c r="BJ141" s="641" t="e">
        <f t="shared" si="89"/>
        <v>#N/A</v>
      </c>
      <c r="BK141" s="641" t="e">
        <f t="shared" si="90"/>
        <v>#N/A</v>
      </c>
      <c r="BL141" s="641" t="e">
        <f t="shared" si="91"/>
        <v>#N/A</v>
      </c>
      <c r="BM141" s="684" t="e">
        <f t="shared" si="92"/>
        <v>#N/A</v>
      </c>
      <c r="BO141" s="682" t="e">
        <f>CONCATENATE(Z141," ",LOOKUP(D141,'f-travail'!A:A,'f-travail'!F:F))</f>
        <v>#N/A</v>
      </c>
      <c r="BP141" s="669" t="e">
        <f t="shared" si="79"/>
        <v>#N/A</v>
      </c>
    </row>
    <row r="142" spans="1:68">
      <c r="A142" s="636">
        <f t="shared" si="93"/>
        <v>141</v>
      </c>
      <c r="B142" s="637"/>
      <c r="C142" s="637"/>
      <c r="D142" s="652"/>
      <c r="E142" s="679" t="e">
        <f>LOOKUP(D142,'f-travail'!A:A,'f-travail'!B:B)</f>
        <v>#N/A</v>
      </c>
      <c r="F142" s="650"/>
      <c r="G142" s="650"/>
      <c r="H142" s="653"/>
      <c r="I142" s="653"/>
      <c r="J142" s="654"/>
      <c r="K142" s="650"/>
      <c r="L142" s="650"/>
      <c r="M142" s="650">
        <v>0</v>
      </c>
      <c r="N142" s="654"/>
      <c r="O142" s="654"/>
      <c r="P142" s="654"/>
      <c r="Q142" s="654"/>
      <c r="R142" s="676"/>
      <c r="S142" s="654"/>
      <c r="T142" s="675"/>
      <c r="U142" s="675"/>
      <c r="V142" s="670" t="e">
        <f>LOOKUP(D142,'f-travail'!A:A,'f-travail'!E:E)</f>
        <v>#N/A</v>
      </c>
      <c r="W142" s="670" t="e">
        <f>VLOOKUP(V142,جرقمإستدلالي,'f-travail'!$AD$4+1,FALSE)</f>
        <v>#N/A</v>
      </c>
      <c r="X142" s="671" t="e">
        <f t="shared" si="69"/>
        <v>#N/A</v>
      </c>
      <c r="Y142" s="671">
        <f>IF(G142="مدير ولائي",(HLOOKUP(I142,جدروظعليا,'f-travail'!$AT$3+1,FALSE)-3200),0)</f>
        <v>0</v>
      </c>
      <c r="Z142" s="672" t="str">
        <f t="shared" si="80"/>
        <v/>
      </c>
      <c r="AA142" s="671">
        <f t="shared" si="81"/>
        <v>0</v>
      </c>
      <c r="AB142" s="677" t="b">
        <f t="shared" si="70"/>
        <v>0</v>
      </c>
      <c r="AC142" s="678">
        <f t="shared" si="82"/>
        <v>0</v>
      </c>
      <c r="AD142" s="673"/>
      <c r="AE142" s="678">
        <f t="shared" si="71"/>
        <v>0</v>
      </c>
      <c r="AF142" s="678" t="e">
        <f t="shared" si="72"/>
        <v>#N/A</v>
      </c>
      <c r="AG142" s="678" t="e">
        <f t="shared" si="73"/>
        <v>#N/A</v>
      </c>
      <c r="AH142" s="673">
        <f t="shared" si="83"/>
        <v>0</v>
      </c>
      <c r="AI142" s="674" t="e">
        <f>IF(G142="مدير ولائي",(11000*35%),LOOKUP(D142,'f-travail'!A:A,'f-travail'!I:I))</f>
        <v>#N/A</v>
      </c>
      <c r="AJ142" s="673" t="e">
        <f>IF(G142="مدير ولائي",((W142+X142)*45)*80%,IF(V142&lt;8,0,IF(F142="إليزي",(LOOKUP(D142,'f-travail'!A:A,'f-travail'!O:O))*(AF142+AG142),LOOKUP(D142,'f-travail'!A:A,'f-travail'!P:P)*(AF142+AG142))))</f>
        <v>#N/A</v>
      </c>
      <c r="AK142" s="673" t="e">
        <f>IF(G142="مدير ولائي",0,LOOKUP(D142,'f-travail'!A:A,'f-travail'!Q:Q))</f>
        <v>#N/A</v>
      </c>
      <c r="AL142" s="673" t="e">
        <f>IF(G142="مدير ولائي",0,LOOKUP(D142,'f-travail'!A:A,'f-travail'!R:R)*(AF142+AG142))</f>
        <v>#N/A</v>
      </c>
      <c r="AM142" s="673" t="e">
        <f>IF(G142="مدير ولائي",0,LOOKUP(D142,'f-travail'!A:A,'f-travail'!S:S)*(AF142+AG142))</f>
        <v>#N/A</v>
      </c>
      <c r="AN142" s="673" t="e">
        <f>IF(G142="مدير ولائي",0,LOOKUP(D142,'f-travail'!A:A,'f-travail'!T:T)*(AF142+AG142))</f>
        <v>#N/A</v>
      </c>
      <c r="AO142" s="673" t="e">
        <f>IF(G142="مدير ولائي",0,LOOKUP(D142,'f-travail'!A:A,'f-travail'!U:U)*(AF142+AG142))</f>
        <v>#N/A</v>
      </c>
      <c r="AP142" s="673" t="e">
        <f>IF(G142="مدير ولائي",0,LOOKUP(D142,'f-travail'!A:A,'f-travail'!V:V)*(AF142+AG142))</f>
        <v>#N/A</v>
      </c>
      <c r="AQ142" s="673" t="e">
        <f>IF(G142="مدير ولائي",0,LOOKUP(D142,'f-travail'!A:A,'f-travail'!W:W)*(AF142+AG142))</f>
        <v>#N/A</v>
      </c>
      <c r="AR142" s="673">
        <f t="shared" si="84"/>
        <v>0</v>
      </c>
      <c r="AS142" s="673" t="e">
        <f>IF(G142="مدير ولائي",0,LOOKUP(D142,'f-travail'!A:A,'f-travail'!X:X)*(AF142+AG142))</f>
        <v>#N/A</v>
      </c>
      <c r="AT142" s="673" t="e">
        <f>IF(G142="مدير ولائي",0,LOOKUP(D142,'f-travail'!Y:Y,'f-travail'!R:R)*(AF142+AG142))</f>
        <v>#N/A</v>
      </c>
      <c r="AU142" s="673">
        <f t="shared" si="74"/>
        <v>0</v>
      </c>
      <c r="AV142" s="673">
        <f t="shared" si="75"/>
        <v>0</v>
      </c>
      <c r="AW142" s="673">
        <f t="shared" si="76"/>
        <v>0</v>
      </c>
      <c r="AY142" s="640" t="e">
        <f t="shared" si="85"/>
        <v>#N/A</v>
      </c>
      <c r="AZ142" s="673" t="e">
        <f t="shared" si="77"/>
        <v>#N/A</v>
      </c>
      <c r="BA142" s="639" t="e">
        <f t="shared" si="78"/>
        <v>#N/A</v>
      </c>
      <c r="BG142" s="639">
        <f t="shared" si="86"/>
        <v>0</v>
      </c>
      <c r="BH142" s="683">
        <f t="shared" si="87"/>
        <v>0</v>
      </c>
      <c r="BI142" s="683">
        <f t="shared" si="88"/>
        <v>0</v>
      </c>
      <c r="BJ142" s="641" t="e">
        <f t="shared" si="89"/>
        <v>#N/A</v>
      </c>
      <c r="BK142" s="641" t="e">
        <f t="shared" si="90"/>
        <v>#N/A</v>
      </c>
      <c r="BL142" s="641" t="e">
        <f t="shared" si="91"/>
        <v>#N/A</v>
      </c>
      <c r="BM142" s="684" t="e">
        <f t="shared" si="92"/>
        <v>#N/A</v>
      </c>
      <c r="BO142" s="682" t="e">
        <f>CONCATENATE(Z142," ",LOOKUP(D142,'f-travail'!A:A,'f-travail'!F:F))</f>
        <v>#N/A</v>
      </c>
      <c r="BP142" s="669" t="e">
        <f t="shared" si="79"/>
        <v>#N/A</v>
      </c>
    </row>
    <row r="143" spans="1:68">
      <c r="A143" s="636">
        <f t="shared" si="93"/>
        <v>142</v>
      </c>
      <c r="B143" s="637"/>
      <c r="C143" s="637"/>
      <c r="D143" s="652"/>
      <c r="E143" s="679" t="e">
        <f>LOOKUP(D143,'f-travail'!A:A,'f-travail'!B:B)</f>
        <v>#N/A</v>
      </c>
      <c r="F143" s="650"/>
      <c r="G143" s="650"/>
      <c r="H143" s="653"/>
      <c r="I143" s="653"/>
      <c r="J143" s="654"/>
      <c r="K143" s="650"/>
      <c r="L143" s="650"/>
      <c r="M143" s="650">
        <v>0</v>
      </c>
      <c r="N143" s="654"/>
      <c r="O143" s="654"/>
      <c r="P143" s="654"/>
      <c r="Q143" s="654"/>
      <c r="R143" s="676"/>
      <c r="S143" s="654"/>
      <c r="T143" s="675"/>
      <c r="U143" s="675"/>
      <c r="V143" s="670" t="e">
        <f>LOOKUP(D143,'f-travail'!A:A,'f-travail'!E:E)</f>
        <v>#N/A</v>
      </c>
      <c r="W143" s="670" t="e">
        <f>VLOOKUP(V143,جرقمإستدلالي,'f-travail'!$AD$4+1,FALSE)</f>
        <v>#N/A</v>
      </c>
      <c r="X143" s="671" t="e">
        <f t="shared" si="69"/>
        <v>#N/A</v>
      </c>
      <c r="Y143" s="671">
        <f>IF(G143="مدير ولائي",(HLOOKUP(I143,جدروظعليا,'f-travail'!$AT$3+1,FALSE)-3200),0)</f>
        <v>0</v>
      </c>
      <c r="Z143" s="672" t="str">
        <f t="shared" si="80"/>
        <v/>
      </c>
      <c r="AA143" s="671">
        <f t="shared" si="81"/>
        <v>0</v>
      </c>
      <c r="AB143" s="677" t="b">
        <f t="shared" si="70"/>
        <v>0</v>
      </c>
      <c r="AC143" s="678">
        <f t="shared" si="82"/>
        <v>0</v>
      </c>
      <c r="AD143" s="673"/>
      <c r="AE143" s="678">
        <f t="shared" si="71"/>
        <v>0</v>
      </c>
      <c r="AF143" s="678" t="e">
        <f t="shared" si="72"/>
        <v>#N/A</v>
      </c>
      <c r="AG143" s="678" t="e">
        <f t="shared" si="73"/>
        <v>#N/A</v>
      </c>
      <c r="AH143" s="673">
        <f t="shared" si="83"/>
        <v>0</v>
      </c>
      <c r="AI143" s="674" t="e">
        <f>IF(G143="مدير ولائي",(11000*35%),LOOKUP(D143,'f-travail'!A:A,'f-travail'!I:I))</f>
        <v>#N/A</v>
      </c>
      <c r="AJ143" s="673" t="e">
        <f>IF(G143="مدير ولائي",((W143+X143)*45)*80%,IF(V143&lt;8,0,IF(F143="إليزي",(LOOKUP(D143,'f-travail'!A:A,'f-travail'!O:O))*(AF143+AG143),LOOKUP(D143,'f-travail'!A:A,'f-travail'!P:P)*(AF143+AG143))))</f>
        <v>#N/A</v>
      </c>
      <c r="AK143" s="673" t="e">
        <f>IF(G143="مدير ولائي",0,LOOKUP(D143,'f-travail'!A:A,'f-travail'!Q:Q))</f>
        <v>#N/A</v>
      </c>
      <c r="AL143" s="673" t="e">
        <f>IF(G143="مدير ولائي",0,LOOKUP(D143,'f-travail'!A:A,'f-travail'!R:R)*(AF143+AG143))</f>
        <v>#N/A</v>
      </c>
      <c r="AM143" s="673" t="e">
        <f>IF(G143="مدير ولائي",0,LOOKUP(D143,'f-travail'!A:A,'f-travail'!S:S)*(AF143+AG143))</f>
        <v>#N/A</v>
      </c>
      <c r="AN143" s="673" t="e">
        <f>IF(G143="مدير ولائي",0,LOOKUP(D143,'f-travail'!A:A,'f-travail'!T:T)*(AF143+AG143))</f>
        <v>#N/A</v>
      </c>
      <c r="AO143" s="673" t="e">
        <f>IF(G143="مدير ولائي",0,LOOKUP(D143,'f-travail'!A:A,'f-travail'!U:U)*(AF143+AG143))</f>
        <v>#N/A</v>
      </c>
      <c r="AP143" s="673" t="e">
        <f>IF(G143="مدير ولائي",0,LOOKUP(D143,'f-travail'!A:A,'f-travail'!V:V)*(AF143+AG143))</f>
        <v>#N/A</v>
      </c>
      <c r="AQ143" s="673" t="e">
        <f>IF(G143="مدير ولائي",0,LOOKUP(D143,'f-travail'!A:A,'f-travail'!W:W)*(AF143+AG143))</f>
        <v>#N/A</v>
      </c>
      <c r="AR143" s="673">
        <f t="shared" si="84"/>
        <v>0</v>
      </c>
      <c r="AS143" s="673" t="e">
        <f>IF(G143="مدير ولائي",0,LOOKUP(D143,'f-travail'!A:A,'f-travail'!X:X)*(AF143+AG143))</f>
        <v>#N/A</v>
      </c>
      <c r="AT143" s="673" t="e">
        <f>IF(G143="مدير ولائي",0,LOOKUP(D143,'f-travail'!Y:Y,'f-travail'!R:R)*(AF143+AG143))</f>
        <v>#N/A</v>
      </c>
      <c r="AU143" s="673">
        <f t="shared" si="74"/>
        <v>0</v>
      </c>
      <c r="AV143" s="673">
        <f t="shared" si="75"/>
        <v>0</v>
      </c>
      <c r="AW143" s="673">
        <f t="shared" si="76"/>
        <v>0</v>
      </c>
      <c r="AY143" s="640" t="e">
        <f t="shared" si="85"/>
        <v>#N/A</v>
      </c>
      <c r="AZ143" s="673" t="e">
        <f t="shared" si="77"/>
        <v>#N/A</v>
      </c>
      <c r="BA143" s="639" t="e">
        <f t="shared" si="78"/>
        <v>#N/A</v>
      </c>
      <c r="BG143" s="639">
        <f t="shared" si="86"/>
        <v>0</v>
      </c>
      <c r="BH143" s="683">
        <f t="shared" si="87"/>
        <v>0</v>
      </c>
      <c r="BI143" s="683">
        <f t="shared" si="88"/>
        <v>0</v>
      </c>
      <c r="BJ143" s="641" t="e">
        <f t="shared" si="89"/>
        <v>#N/A</v>
      </c>
      <c r="BK143" s="641" t="e">
        <f t="shared" si="90"/>
        <v>#N/A</v>
      </c>
      <c r="BL143" s="641" t="e">
        <f t="shared" si="91"/>
        <v>#N/A</v>
      </c>
      <c r="BM143" s="684" t="e">
        <f t="shared" si="92"/>
        <v>#N/A</v>
      </c>
      <c r="BO143" s="682" t="e">
        <f>CONCATENATE(Z143," ",LOOKUP(D143,'f-travail'!A:A,'f-travail'!F:F))</f>
        <v>#N/A</v>
      </c>
      <c r="BP143" s="669" t="e">
        <f t="shared" si="79"/>
        <v>#N/A</v>
      </c>
    </row>
    <row r="144" spans="1:68">
      <c r="A144" s="636">
        <f t="shared" si="93"/>
        <v>143</v>
      </c>
      <c r="B144" s="637"/>
      <c r="C144" s="637"/>
      <c r="D144" s="652"/>
      <c r="E144" s="679" t="e">
        <f>LOOKUP(D144,'f-travail'!A:A,'f-travail'!B:B)</f>
        <v>#N/A</v>
      </c>
      <c r="F144" s="650"/>
      <c r="G144" s="650"/>
      <c r="H144" s="653"/>
      <c r="I144" s="653"/>
      <c r="J144" s="654"/>
      <c r="K144" s="650"/>
      <c r="L144" s="650"/>
      <c r="M144" s="650">
        <v>0</v>
      </c>
      <c r="N144" s="654"/>
      <c r="O144" s="654"/>
      <c r="P144" s="654"/>
      <c r="Q144" s="654"/>
      <c r="R144" s="676"/>
      <c r="S144" s="654"/>
      <c r="T144" s="675"/>
      <c r="U144" s="675"/>
      <c r="V144" s="670" t="e">
        <f>LOOKUP(D144,'f-travail'!A:A,'f-travail'!E:E)</f>
        <v>#N/A</v>
      </c>
      <c r="W144" s="670" t="e">
        <f>VLOOKUP(V144,جرقمإستدلالي,'f-travail'!$AD$4+1,FALSE)</f>
        <v>#N/A</v>
      </c>
      <c r="X144" s="671" t="e">
        <f t="shared" si="69"/>
        <v>#N/A</v>
      </c>
      <c r="Y144" s="671">
        <f>IF(G144="مدير ولائي",(HLOOKUP(I144,جدروظعليا,'f-travail'!$AT$3+1,FALSE)-3200),0)</f>
        <v>0</v>
      </c>
      <c r="Z144" s="672" t="str">
        <f t="shared" si="80"/>
        <v/>
      </c>
      <c r="AA144" s="671">
        <f t="shared" si="81"/>
        <v>0</v>
      </c>
      <c r="AB144" s="677" t="b">
        <f t="shared" si="70"/>
        <v>0</v>
      </c>
      <c r="AC144" s="678">
        <f t="shared" si="82"/>
        <v>0</v>
      </c>
      <c r="AD144" s="673"/>
      <c r="AE144" s="678">
        <f t="shared" si="71"/>
        <v>0</v>
      </c>
      <c r="AF144" s="678" t="e">
        <f t="shared" si="72"/>
        <v>#N/A</v>
      </c>
      <c r="AG144" s="678" t="e">
        <f t="shared" si="73"/>
        <v>#N/A</v>
      </c>
      <c r="AH144" s="673">
        <f t="shared" si="83"/>
        <v>0</v>
      </c>
      <c r="AI144" s="674" t="e">
        <f>IF(G144="مدير ولائي",(11000*35%),LOOKUP(D144,'f-travail'!A:A,'f-travail'!I:I))</f>
        <v>#N/A</v>
      </c>
      <c r="AJ144" s="673" t="e">
        <f>IF(G144="مدير ولائي",((W144+X144)*45)*80%,IF(V144&lt;8,0,IF(F144="إليزي",(LOOKUP(D144,'f-travail'!A:A,'f-travail'!O:O))*(AF144+AG144),LOOKUP(D144,'f-travail'!A:A,'f-travail'!P:P)*(AF144+AG144))))</f>
        <v>#N/A</v>
      </c>
      <c r="AK144" s="673" t="e">
        <f>IF(G144="مدير ولائي",0,LOOKUP(D144,'f-travail'!A:A,'f-travail'!Q:Q))</f>
        <v>#N/A</v>
      </c>
      <c r="AL144" s="673" t="e">
        <f>IF(G144="مدير ولائي",0,LOOKUP(D144,'f-travail'!A:A,'f-travail'!R:R)*(AF144+AG144))</f>
        <v>#N/A</v>
      </c>
      <c r="AM144" s="673" t="e">
        <f>IF(G144="مدير ولائي",0,LOOKUP(D144,'f-travail'!A:A,'f-travail'!S:S)*(AF144+AG144))</f>
        <v>#N/A</v>
      </c>
      <c r="AN144" s="673" t="e">
        <f>IF(G144="مدير ولائي",0,LOOKUP(D144,'f-travail'!A:A,'f-travail'!T:T)*(AF144+AG144))</f>
        <v>#N/A</v>
      </c>
      <c r="AO144" s="673" t="e">
        <f>IF(G144="مدير ولائي",0,LOOKUP(D144,'f-travail'!A:A,'f-travail'!U:U)*(AF144+AG144))</f>
        <v>#N/A</v>
      </c>
      <c r="AP144" s="673" t="e">
        <f>IF(G144="مدير ولائي",0,LOOKUP(D144,'f-travail'!A:A,'f-travail'!V:V)*(AF144+AG144))</f>
        <v>#N/A</v>
      </c>
      <c r="AQ144" s="673" t="e">
        <f>IF(G144="مدير ولائي",0,LOOKUP(D144,'f-travail'!A:A,'f-travail'!W:W)*(AF144+AG144))</f>
        <v>#N/A</v>
      </c>
      <c r="AR144" s="673">
        <f t="shared" si="84"/>
        <v>0</v>
      </c>
      <c r="AS144" s="673" t="e">
        <f>IF(G144="مدير ولائي",0,LOOKUP(D144,'f-travail'!A:A,'f-travail'!X:X)*(AF144+AG144))</f>
        <v>#N/A</v>
      </c>
      <c r="AT144" s="673" t="e">
        <f>IF(G144="مدير ولائي",0,LOOKUP(D144,'f-travail'!Y:Y,'f-travail'!R:R)*(AF144+AG144))</f>
        <v>#N/A</v>
      </c>
      <c r="AU144" s="673">
        <f t="shared" si="74"/>
        <v>0</v>
      </c>
      <c r="AV144" s="673">
        <f t="shared" si="75"/>
        <v>0</v>
      </c>
      <c r="AW144" s="673">
        <f t="shared" si="76"/>
        <v>0</v>
      </c>
      <c r="AY144" s="640" t="e">
        <f t="shared" si="85"/>
        <v>#N/A</v>
      </c>
      <c r="AZ144" s="673" t="e">
        <f t="shared" si="77"/>
        <v>#N/A</v>
      </c>
      <c r="BA144" s="639" t="e">
        <f t="shared" si="78"/>
        <v>#N/A</v>
      </c>
      <c r="BG144" s="639">
        <f t="shared" si="86"/>
        <v>0</v>
      </c>
      <c r="BH144" s="683">
        <f t="shared" si="87"/>
        <v>0</v>
      </c>
      <c r="BI144" s="683">
        <f t="shared" si="88"/>
        <v>0</v>
      </c>
      <c r="BJ144" s="641" t="e">
        <f t="shared" si="89"/>
        <v>#N/A</v>
      </c>
      <c r="BK144" s="641" t="e">
        <f t="shared" si="90"/>
        <v>#N/A</v>
      </c>
      <c r="BL144" s="641" t="e">
        <f t="shared" si="91"/>
        <v>#N/A</v>
      </c>
      <c r="BM144" s="684" t="e">
        <f t="shared" si="92"/>
        <v>#N/A</v>
      </c>
      <c r="BO144" s="682" t="e">
        <f>CONCATENATE(Z144," ",LOOKUP(D144,'f-travail'!A:A,'f-travail'!F:F))</f>
        <v>#N/A</v>
      </c>
      <c r="BP144" s="669" t="e">
        <f t="shared" si="79"/>
        <v>#N/A</v>
      </c>
    </row>
    <row r="145" spans="1:68">
      <c r="A145" s="636">
        <f t="shared" si="93"/>
        <v>144</v>
      </c>
      <c r="B145" s="637"/>
      <c r="C145" s="637"/>
      <c r="D145" s="652"/>
      <c r="E145" s="679" t="e">
        <f>LOOKUP(D145,'f-travail'!A:A,'f-travail'!B:B)</f>
        <v>#N/A</v>
      </c>
      <c r="F145" s="650"/>
      <c r="G145" s="650"/>
      <c r="H145" s="653"/>
      <c r="I145" s="653"/>
      <c r="J145" s="654"/>
      <c r="K145" s="650"/>
      <c r="L145" s="650"/>
      <c r="M145" s="650">
        <v>0</v>
      </c>
      <c r="N145" s="654"/>
      <c r="O145" s="654"/>
      <c r="P145" s="654"/>
      <c r="Q145" s="654"/>
      <c r="R145" s="676"/>
      <c r="S145" s="654"/>
      <c r="T145" s="675"/>
      <c r="U145" s="675"/>
      <c r="V145" s="670" t="e">
        <f>LOOKUP(D145,'f-travail'!A:A,'f-travail'!E:E)</f>
        <v>#N/A</v>
      </c>
      <c r="W145" s="670" t="e">
        <f>VLOOKUP(V145,جرقمإستدلالي,'f-travail'!$AD$4+1,FALSE)</f>
        <v>#N/A</v>
      </c>
      <c r="X145" s="671" t="e">
        <f t="shared" si="69"/>
        <v>#N/A</v>
      </c>
      <c r="Y145" s="671">
        <f>IF(G145="مدير ولائي",(HLOOKUP(I145,جدروظعليا,'f-travail'!$AT$3+1,FALSE)-3200),0)</f>
        <v>0</v>
      </c>
      <c r="Z145" s="672" t="str">
        <f t="shared" si="80"/>
        <v/>
      </c>
      <c r="AA145" s="671">
        <f t="shared" si="81"/>
        <v>0</v>
      </c>
      <c r="AB145" s="677" t="b">
        <f t="shared" si="70"/>
        <v>0</v>
      </c>
      <c r="AC145" s="678">
        <f t="shared" si="82"/>
        <v>0</v>
      </c>
      <c r="AD145" s="673"/>
      <c r="AE145" s="678">
        <f t="shared" si="71"/>
        <v>0</v>
      </c>
      <c r="AF145" s="678" t="e">
        <f t="shared" si="72"/>
        <v>#N/A</v>
      </c>
      <c r="AG145" s="678" t="e">
        <f t="shared" si="73"/>
        <v>#N/A</v>
      </c>
      <c r="AH145" s="673">
        <f t="shared" si="83"/>
        <v>0</v>
      </c>
      <c r="AI145" s="674" t="e">
        <f>IF(G145="مدير ولائي",(11000*35%),LOOKUP(D145,'f-travail'!A:A,'f-travail'!I:I))</f>
        <v>#N/A</v>
      </c>
      <c r="AJ145" s="673" t="e">
        <f>IF(G145="مدير ولائي",((W145+X145)*45)*80%,IF(V145&lt;8,0,IF(F145="إليزي",(LOOKUP(D145,'f-travail'!A:A,'f-travail'!O:O))*(AF145+AG145),LOOKUP(D145,'f-travail'!A:A,'f-travail'!P:P)*(AF145+AG145))))</f>
        <v>#N/A</v>
      </c>
      <c r="AK145" s="673" t="e">
        <f>IF(G145="مدير ولائي",0,LOOKUP(D145,'f-travail'!A:A,'f-travail'!Q:Q))</f>
        <v>#N/A</v>
      </c>
      <c r="AL145" s="673" t="e">
        <f>IF(G145="مدير ولائي",0,LOOKUP(D145,'f-travail'!A:A,'f-travail'!R:R)*(AF145+AG145))</f>
        <v>#N/A</v>
      </c>
      <c r="AM145" s="673" t="e">
        <f>IF(G145="مدير ولائي",0,LOOKUP(D145,'f-travail'!A:A,'f-travail'!S:S)*(AF145+AG145))</f>
        <v>#N/A</v>
      </c>
      <c r="AN145" s="673" t="e">
        <f>IF(G145="مدير ولائي",0,LOOKUP(D145,'f-travail'!A:A,'f-travail'!T:T)*(AF145+AG145))</f>
        <v>#N/A</v>
      </c>
      <c r="AO145" s="673" t="e">
        <f>IF(G145="مدير ولائي",0,LOOKUP(D145,'f-travail'!A:A,'f-travail'!U:U)*(AF145+AG145))</f>
        <v>#N/A</v>
      </c>
      <c r="AP145" s="673" t="e">
        <f>IF(G145="مدير ولائي",0,LOOKUP(D145,'f-travail'!A:A,'f-travail'!V:V)*(AF145+AG145))</f>
        <v>#N/A</v>
      </c>
      <c r="AQ145" s="673" t="e">
        <f>IF(G145="مدير ولائي",0,LOOKUP(D145,'f-travail'!A:A,'f-travail'!W:W)*(AF145+AG145))</f>
        <v>#N/A</v>
      </c>
      <c r="AR145" s="673">
        <f t="shared" si="84"/>
        <v>0</v>
      </c>
      <c r="AS145" s="673" t="e">
        <f>IF(G145="مدير ولائي",0,LOOKUP(D145,'f-travail'!A:A,'f-travail'!X:X)*(AF145+AG145))</f>
        <v>#N/A</v>
      </c>
      <c r="AT145" s="673" t="e">
        <f>IF(G145="مدير ولائي",0,LOOKUP(D145,'f-travail'!Y:Y,'f-travail'!R:R)*(AF145+AG145))</f>
        <v>#N/A</v>
      </c>
      <c r="AU145" s="673">
        <f t="shared" si="74"/>
        <v>0</v>
      </c>
      <c r="AV145" s="673">
        <f t="shared" si="75"/>
        <v>0</v>
      </c>
      <c r="AW145" s="673">
        <f t="shared" si="76"/>
        <v>0</v>
      </c>
      <c r="AY145" s="640" t="e">
        <f t="shared" si="85"/>
        <v>#N/A</v>
      </c>
      <c r="AZ145" s="673" t="e">
        <f t="shared" si="77"/>
        <v>#N/A</v>
      </c>
      <c r="BA145" s="639" t="e">
        <f t="shared" si="78"/>
        <v>#N/A</v>
      </c>
      <c r="BG145" s="639">
        <f t="shared" si="86"/>
        <v>0</v>
      </c>
      <c r="BH145" s="683">
        <f t="shared" si="87"/>
        <v>0</v>
      </c>
      <c r="BI145" s="683">
        <f t="shared" si="88"/>
        <v>0</v>
      </c>
      <c r="BJ145" s="641" t="e">
        <f t="shared" si="89"/>
        <v>#N/A</v>
      </c>
      <c r="BK145" s="641" t="e">
        <f t="shared" si="90"/>
        <v>#N/A</v>
      </c>
      <c r="BL145" s="641" t="e">
        <f t="shared" si="91"/>
        <v>#N/A</v>
      </c>
      <c r="BM145" s="684" t="e">
        <f t="shared" si="92"/>
        <v>#N/A</v>
      </c>
      <c r="BO145" s="682" t="e">
        <f>CONCATENATE(Z145," ",LOOKUP(D145,'f-travail'!A:A,'f-travail'!F:F))</f>
        <v>#N/A</v>
      </c>
      <c r="BP145" s="669" t="e">
        <f t="shared" si="79"/>
        <v>#N/A</v>
      </c>
    </row>
    <row r="146" spans="1:68">
      <c r="A146" s="636">
        <f t="shared" si="93"/>
        <v>145</v>
      </c>
      <c r="B146" s="637"/>
      <c r="C146" s="637"/>
      <c r="D146" s="652"/>
      <c r="E146" s="679" t="e">
        <f>LOOKUP(D146,'f-travail'!A:A,'f-travail'!B:B)</f>
        <v>#N/A</v>
      </c>
      <c r="F146" s="650"/>
      <c r="G146" s="650"/>
      <c r="H146" s="653"/>
      <c r="I146" s="653"/>
      <c r="J146" s="654"/>
      <c r="K146" s="650"/>
      <c r="L146" s="650"/>
      <c r="M146" s="650">
        <v>0</v>
      </c>
      <c r="N146" s="654"/>
      <c r="O146" s="654"/>
      <c r="P146" s="654"/>
      <c r="Q146" s="654"/>
      <c r="R146" s="676"/>
      <c r="S146" s="654"/>
      <c r="T146" s="675"/>
      <c r="U146" s="675"/>
      <c r="V146" s="670" t="e">
        <f>LOOKUP(D146,'f-travail'!A:A,'f-travail'!E:E)</f>
        <v>#N/A</v>
      </c>
      <c r="W146" s="670" t="e">
        <f>VLOOKUP(V146,جرقمإستدلالي,'f-travail'!$AD$4+1,FALSE)</f>
        <v>#N/A</v>
      </c>
      <c r="X146" s="671" t="e">
        <f t="shared" si="69"/>
        <v>#N/A</v>
      </c>
      <c r="Y146" s="671">
        <f>IF(G146="مدير ولائي",(HLOOKUP(I146,جدروظعليا,'f-travail'!$AT$3+1,FALSE)-3200),0)</f>
        <v>0</v>
      </c>
      <c r="Z146" s="672" t="str">
        <f t="shared" si="80"/>
        <v/>
      </c>
      <c r="AA146" s="671">
        <f t="shared" si="81"/>
        <v>0</v>
      </c>
      <c r="AB146" s="677" t="b">
        <f t="shared" si="70"/>
        <v>0</v>
      </c>
      <c r="AC146" s="678">
        <f t="shared" si="82"/>
        <v>0</v>
      </c>
      <c r="AD146" s="673"/>
      <c r="AE146" s="678">
        <f t="shared" si="71"/>
        <v>0</v>
      </c>
      <c r="AF146" s="678" t="e">
        <f t="shared" si="72"/>
        <v>#N/A</v>
      </c>
      <c r="AG146" s="678" t="e">
        <f t="shared" si="73"/>
        <v>#N/A</v>
      </c>
      <c r="AH146" s="673">
        <f t="shared" si="83"/>
        <v>0</v>
      </c>
      <c r="AI146" s="674" t="e">
        <f>IF(G146="مدير ولائي",(11000*35%),LOOKUP(D146,'f-travail'!A:A,'f-travail'!I:I))</f>
        <v>#N/A</v>
      </c>
      <c r="AJ146" s="673" t="e">
        <f>IF(G146="مدير ولائي",((W146+X146)*45)*80%,IF(V146&lt;8,0,IF(F146="إليزي",(LOOKUP(D146,'f-travail'!A:A,'f-travail'!O:O))*(AF146+AG146),LOOKUP(D146,'f-travail'!A:A,'f-travail'!P:P)*(AF146+AG146))))</f>
        <v>#N/A</v>
      </c>
      <c r="AK146" s="673" t="e">
        <f>IF(G146="مدير ولائي",0,LOOKUP(D146,'f-travail'!A:A,'f-travail'!Q:Q))</f>
        <v>#N/A</v>
      </c>
      <c r="AL146" s="673" t="e">
        <f>IF(G146="مدير ولائي",0,LOOKUP(D146,'f-travail'!A:A,'f-travail'!R:R)*(AF146+AG146))</f>
        <v>#N/A</v>
      </c>
      <c r="AM146" s="673" t="e">
        <f>IF(G146="مدير ولائي",0,LOOKUP(D146,'f-travail'!A:A,'f-travail'!S:S)*(AF146+AG146))</f>
        <v>#N/A</v>
      </c>
      <c r="AN146" s="673" t="e">
        <f>IF(G146="مدير ولائي",0,LOOKUP(D146,'f-travail'!A:A,'f-travail'!T:T)*(AF146+AG146))</f>
        <v>#N/A</v>
      </c>
      <c r="AO146" s="673" t="e">
        <f>IF(G146="مدير ولائي",0,LOOKUP(D146,'f-travail'!A:A,'f-travail'!U:U)*(AF146+AG146))</f>
        <v>#N/A</v>
      </c>
      <c r="AP146" s="673" t="e">
        <f>IF(G146="مدير ولائي",0,LOOKUP(D146,'f-travail'!A:A,'f-travail'!V:V)*(AF146+AG146))</f>
        <v>#N/A</v>
      </c>
      <c r="AQ146" s="673" t="e">
        <f>IF(G146="مدير ولائي",0,LOOKUP(D146,'f-travail'!A:A,'f-travail'!W:W)*(AF146+AG146))</f>
        <v>#N/A</v>
      </c>
      <c r="AR146" s="673">
        <f t="shared" si="84"/>
        <v>0</v>
      </c>
      <c r="AS146" s="673" t="e">
        <f>IF(G146="مدير ولائي",0,LOOKUP(D146,'f-travail'!A:A,'f-travail'!X:X)*(AF146+AG146))</f>
        <v>#N/A</v>
      </c>
      <c r="AT146" s="673" t="e">
        <f>IF(G146="مدير ولائي",0,LOOKUP(D146,'f-travail'!Y:Y,'f-travail'!R:R)*(AF146+AG146))</f>
        <v>#N/A</v>
      </c>
      <c r="AU146" s="673">
        <f t="shared" si="74"/>
        <v>0</v>
      </c>
      <c r="AV146" s="673">
        <f t="shared" si="75"/>
        <v>0</v>
      </c>
      <c r="AW146" s="673">
        <f t="shared" si="76"/>
        <v>0</v>
      </c>
      <c r="AY146" s="640" t="e">
        <f t="shared" si="85"/>
        <v>#N/A</v>
      </c>
      <c r="AZ146" s="673" t="e">
        <f t="shared" si="77"/>
        <v>#N/A</v>
      </c>
      <c r="BA146" s="639" t="e">
        <f t="shared" si="78"/>
        <v>#N/A</v>
      </c>
      <c r="BG146" s="639">
        <f t="shared" si="86"/>
        <v>0</v>
      </c>
      <c r="BH146" s="683">
        <f t="shared" si="87"/>
        <v>0</v>
      </c>
      <c r="BI146" s="683">
        <f t="shared" si="88"/>
        <v>0</v>
      </c>
      <c r="BJ146" s="641" t="e">
        <f t="shared" si="89"/>
        <v>#N/A</v>
      </c>
      <c r="BK146" s="641" t="e">
        <f t="shared" si="90"/>
        <v>#N/A</v>
      </c>
      <c r="BL146" s="641" t="e">
        <f t="shared" si="91"/>
        <v>#N/A</v>
      </c>
      <c r="BM146" s="684" t="e">
        <f t="shared" si="92"/>
        <v>#N/A</v>
      </c>
      <c r="BO146" s="682" t="e">
        <f>CONCATENATE(Z146," ",LOOKUP(D146,'f-travail'!A:A,'f-travail'!F:F))</f>
        <v>#N/A</v>
      </c>
      <c r="BP146" s="669" t="e">
        <f t="shared" si="79"/>
        <v>#N/A</v>
      </c>
    </row>
    <row r="147" spans="1:68">
      <c r="A147" s="636">
        <f t="shared" si="93"/>
        <v>146</v>
      </c>
      <c r="B147" s="637"/>
      <c r="C147" s="637"/>
      <c r="D147" s="652"/>
      <c r="E147" s="679" t="e">
        <f>LOOKUP(D147,'f-travail'!A:A,'f-travail'!B:B)</f>
        <v>#N/A</v>
      </c>
      <c r="F147" s="650"/>
      <c r="G147" s="650"/>
      <c r="H147" s="653"/>
      <c r="I147" s="653"/>
      <c r="J147" s="654"/>
      <c r="K147" s="650"/>
      <c r="L147" s="650"/>
      <c r="M147" s="650">
        <v>0</v>
      </c>
      <c r="N147" s="654"/>
      <c r="O147" s="654"/>
      <c r="P147" s="654"/>
      <c r="Q147" s="654"/>
      <c r="R147" s="676"/>
      <c r="S147" s="654"/>
      <c r="T147" s="675"/>
      <c r="U147" s="675"/>
      <c r="V147" s="670" t="e">
        <f>LOOKUP(D147,'f-travail'!A:A,'f-travail'!E:E)</f>
        <v>#N/A</v>
      </c>
      <c r="W147" s="670" t="e">
        <f>VLOOKUP(V147,جرقمإستدلالي,'f-travail'!$AD$4+1,FALSE)</f>
        <v>#N/A</v>
      </c>
      <c r="X147" s="671" t="e">
        <f t="shared" si="69"/>
        <v>#N/A</v>
      </c>
      <c r="Y147" s="671">
        <f>IF(G147="مدير ولائي",(HLOOKUP(I147,جدروظعليا,'f-travail'!$AT$3+1,FALSE)-3200),0)</f>
        <v>0</v>
      </c>
      <c r="Z147" s="672" t="str">
        <f t="shared" si="80"/>
        <v/>
      </c>
      <c r="AA147" s="671">
        <f t="shared" si="81"/>
        <v>0</v>
      </c>
      <c r="AB147" s="677" t="b">
        <f t="shared" si="70"/>
        <v>0</v>
      </c>
      <c r="AC147" s="678">
        <f t="shared" si="82"/>
        <v>0</v>
      </c>
      <c r="AD147" s="673"/>
      <c r="AE147" s="678">
        <f t="shared" si="71"/>
        <v>0</v>
      </c>
      <c r="AF147" s="678" t="e">
        <f t="shared" si="72"/>
        <v>#N/A</v>
      </c>
      <c r="AG147" s="678" t="e">
        <f t="shared" si="73"/>
        <v>#N/A</v>
      </c>
      <c r="AH147" s="673">
        <f t="shared" si="83"/>
        <v>0</v>
      </c>
      <c r="AI147" s="674" t="e">
        <f>IF(G147="مدير ولائي",(11000*35%),LOOKUP(D147,'f-travail'!A:A,'f-travail'!I:I))</f>
        <v>#N/A</v>
      </c>
      <c r="AJ147" s="673" t="e">
        <f>IF(G147="مدير ولائي",((W147+X147)*45)*80%,IF(V147&lt;8,0,IF(F147="إليزي",(LOOKUP(D147,'f-travail'!A:A,'f-travail'!O:O))*(AF147+AG147),LOOKUP(D147,'f-travail'!A:A,'f-travail'!P:P)*(AF147+AG147))))</f>
        <v>#N/A</v>
      </c>
      <c r="AK147" s="673" t="e">
        <f>IF(G147="مدير ولائي",0,LOOKUP(D147,'f-travail'!A:A,'f-travail'!Q:Q))</f>
        <v>#N/A</v>
      </c>
      <c r="AL147" s="673" t="e">
        <f>IF(G147="مدير ولائي",0,LOOKUP(D147,'f-travail'!A:A,'f-travail'!R:R)*(AF147+AG147))</f>
        <v>#N/A</v>
      </c>
      <c r="AM147" s="673" t="e">
        <f>IF(G147="مدير ولائي",0,LOOKUP(D147,'f-travail'!A:A,'f-travail'!S:S)*(AF147+AG147))</f>
        <v>#N/A</v>
      </c>
      <c r="AN147" s="673" t="e">
        <f>IF(G147="مدير ولائي",0,LOOKUP(D147,'f-travail'!A:A,'f-travail'!T:T)*(AF147+AG147))</f>
        <v>#N/A</v>
      </c>
      <c r="AO147" s="673" t="e">
        <f>IF(G147="مدير ولائي",0,LOOKUP(D147,'f-travail'!A:A,'f-travail'!U:U)*(AF147+AG147))</f>
        <v>#N/A</v>
      </c>
      <c r="AP147" s="673" t="e">
        <f>IF(G147="مدير ولائي",0,LOOKUP(D147,'f-travail'!A:A,'f-travail'!V:V)*(AF147+AG147))</f>
        <v>#N/A</v>
      </c>
      <c r="AQ147" s="673" t="e">
        <f>IF(G147="مدير ولائي",0,LOOKUP(D147,'f-travail'!A:A,'f-travail'!W:W)*(AF147+AG147))</f>
        <v>#N/A</v>
      </c>
      <c r="AR147" s="673">
        <f t="shared" si="84"/>
        <v>0</v>
      </c>
      <c r="AS147" s="673" t="e">
        <f>IF(G147="مدير ولائي",0,LOOKUP(D147,'f-travail'!A:A,'f-travail'!X:X)*(AF147+AG147))</f>
        <v>#N/A</v>
      </c>
      <c r="AT147" s="673" t="e">
        <f>IF(G147="مدير ولائي",0,LOOKUP(D147,'f-travail'!Y:Y,'f-travail'!R:R)*(AF147+AG147))</f>
        <v>#N/A</v>
      </c>
      <c r="AU147" s="673">
        <f t="shared" si="74"/>
        <v>0</v>
      </c>
      <c r="AV147" s="673">
        <f t="shared" si="75"/>
        <v>0</v>
      </c>
      <c r="AW147" s="673">
        <f t="shared" si="76"/>
        <v>0</v>
      </c>
      <c r="AY147" s="640" t="e">
        <f t="shared" si="85"/>
        <v>#N/A</v>
      </c>
      <c r="AZ147" s="673" t="e">
        <f t="shared" si="77"/>
        <v>#N/A</v>
      </c>
      <c r="BA147" s="639" t="e">
        <f t="shared" si="78"/>
        <v>#N/A</v>
      </c>
      <c r="BG147" s="639">
        <f t="shared" si="86"/>
        <v>0</v>
      </c>
      <c r="BH147" s="683">
        <f t="shared" si="87"/>
        <v>0</v>
      </c>
      <c r="BI147" s="683">
        <f t="shared" si="88"/>
        <v>0</v>
      </c>
      <c r="BJ147" s="641" t="e">
        <f t="shared" si="89"/>
        <v>#N/A</v>
      </c>
      <c r="BK147" s="641" t="e">
        <f t="shared" si="90"/>
        <v>#N/A</v>
      </c>
      <c r="BL147" s="641" t="e">
        <f t="shared" si="91"/>
        <v>#N/A</v>
      </c>
      <c r="BM147" s="684" t="e">
        <f t="shared" si="92"/>
        <v>#N/A</v>
      </c>
      <c r="BO147" s="682" t="e">
        <f>CONCATENATE(Z147," ",LOOKUP(D147,'f-travail'!A:A,'f-travail'!F:F))</f>
        <v>#N/A</v>
      </c>
      <c r="BP147" s="669" t="e">
        <f t="shared" si="79"/>
        <v>#N/A</v>
      </c>
    </row>
    <row r="148" spans="1:68">
      <c r="A148" s="636">
        <f t="shared" si="93"/>
        <v>147</v>
      </c>
      <c r="B148" s="637"/>
      <c r="C148" s="637"/>
      <c r="D148" s="652"/>
      <c r="E148" s="679" t="e">
        <f>LOOKUP(D148,'f-travail'!A:A,'f-travail'!B:B)</f>
        <v>#N/A</v>
      </c>
      <c r="F148" s="650"/>
      <c r="G148" s="650"/>
      <c r="H148" s="653"/>
      <c r="I148" s="653"/>
      <c r="J148" s="654"/>
      <c r="K148" s="650"/>
      <c r="L148" s="650"/>
      <c r="M148" s="650">
        <v>0</v>
      </c>
      <c r="N148" s="654"/>
      <c r="O148" s="654"/>
      <c r="P148" s="654"/>
      <c r="Q148" s="654"/>
      <c r="R148" s="676"/>
      <c r="S148" s="654"/>
      <c r="T148" s="675"/>
      <c r="U148" s="675"/>
      <c r="V148" s="670" t="e">
        <f>LOOKUP(D148,'f-travail'!A:A,'f-travail'!E:E)</f>
        <v>#N/A</v>
      </c>
      <c r="W148" s="670" t="e">
        <f>VLOOKUP(V148,جرقمإستدلالي,'f-travail'!$AD$4+1,FALSE)</f>
        <v>#N/A</v>
      </c>
      <c r="X148" s="671" t="e">
        <f t="shared" si="69"/>
        <v>#N/A</v>
      </c>
      <c r="Y148" s="671">
        <f>IF(G148="مدير ولائي",(HLOOKUP(I148,جدروظعليا,'f-travail'!$AT$3+1,FALSE)-3200),0)</f>
        <v>0</v>
      </c>
      <c r="Z148" s="672" t="str">
        <f t="shared" si="80"/>
        <v/>
      </c>
      <c r="AA148" s="671">
        <f t="shared" si="81"/>
        <v>0</v>
      </c>
      <c r="AB148" s="677" t="b">
        <f t="shared" si="70"/>
        <v>0</v>
      </c>
      <c r="AC148" s="678">
        <f t="shared" si="82"/>
        <v>0</v>
      </c>
      <c r="AD148" s="673"/>
      <c r="AE148" s="678">
        <f t="shared" si="71"/>
        <v>0</v>
      </c>
      <c r="AF148" s="678" t="e">
        <f t="shared" si="72"/>
        <v>#N/A</v>
      </c>
      <c r="AG148" s="678" t="e">
        <f t="shared" si="73"/>
        <v>#N/A</v>
      </c>
      <c r="AH148" s="673">
        <f t="shared" si="83"/>
        <v>0</v>
      </c>
      <c r="AI148" s="674" t="e">
        <f>IF(G148="مدير ولائي",(11000*35%),LOOKUP(D148,'f-travail'!A:A,'f-travail'!I:I))</f>
        <v>#N/A</v>
      </c>
      <c r="AJ148" s="673" t="e">
        <f>IF(G148="مدير ولائي",((W148+X148)*45)*80%,IF(V148&lt;8,0,IF(F148="إليزي",(LOOKUP(D148,'f-travail'!A:A,'f-travail'!O:O))*(AF148+AG148),LOOKUP(D148,'f-travail'!A:A,'f-travail'!P:P)*(AF148+AG148))))</f>
        <v>#N/A</v>
      </c>
      <c r="AK148" s="673" t="e">
        <f>IF(G148="مدير ولائي",0,LOOKUP(D148,'f-travail'!A:A,'f-travail'!Q:Q))</f>
        <v>#N/A</v>
      </c>
      <c r="AL148" s="673" t="e">
        <f>IF(G148="مدير ولائي",0,LOOKUP(D148,'f-travail'!A:A,'f-travail'!R:R)*(AF148+AG148))</f>
        <v>#N/A</v>
      </c>
      <c r="AM148" s="673" t="e">
        <f>IF(G148="مدير ولائي",0,LOOKUP(D148,'f-travail'!A:A,'f-travail'!S:S)*(AF148+AG148))</f>
        <v>#N/A</v>
      </c>
      <c r="AN148" s="673" t="e">
        <f>IF(G148="مدير ولائي",0,LOOKUP(D148,'f-travail'!A:A,'f-travail'!T:T)*(AF148+AG148))</f>
        <v>#N/A</v>
      </c>
      <c r="AO148" s="673" t="e">
        <f>IF(G148="مدير ولائي",0,LOOKUP(D148,'f-travail'!A:A,'f-travail'!U:U)*(AF148+AG148))</f>
        <v>#N/A</v>
      </c>
      <c r="AP148" s="673" t="e">
        <f>IF(G148="مدير ولائي",0,LOOKUP(D148,'f-travail'!A:A,'f-travail'!V:V)*(AF148+AG148))</f>
        <v>#N/A</v>
      </c>
      <c r="AQ148" s="673" t="e">
        <f>IF(G148="مدير ولائي",0,LOOKUP(D148,'f-travail'!A:A,'f-travail'!W:W)*(AF148+AG148))</f>
        <v>#N/A</v>
      </c>
      <c r="AR148" s="673">
        <f t="shared" si="84"/>
        <v>0</v>
      </c>
      <c r="AS148" s="673" t="e">
        <f>IF(G148="مدير ولائي",0,LOOKUP(D148,'f-travail'!A:A,'f-travail'!X:X)*(AF148+AG148))</f>
        <v>#N/A</v>
      </c>
      <c r="AT148" s="673" t="e">
        <f>IF(G148="مدير ولائي",0,LOOKUP(D148,'f-travail'!Y:Y,'f-travail'!R:R)*(AF148+AG148))</f>
        <v>#N/A</v>
      </c>
      <c r="AU148" s="673">
        <f t="shared" si="74"/>
        <v>0</v>
      </c>
      <c r="AV148" s="673">
        <f t="shared" si="75"/>
        <v>0</v>
      </c>
      <c r="AW148" s="673">
        <f t="shared" si="76"/>
        <v>0</v>
      </c>
      <c r="AY148" s="640" t="e">
        <f t="shared" si="85"/>
        <v>#N/A</v>
      </c>
      <c r="AZ148" s="673" t="e">
        <f t="shared" si="77"/>
        <v>#N/A</v>
      </c>
      <c r="BA148" s="639" t="e">
        <f t="shared" si="78"/>
        <v>#N/A</v>
      </c>
      <c r="BG148" s="639">
        <f t="shared" si="86"/>
        <v>0</v>
      </c>
      <c r="BH148" s="683">
        <f t="shared" si="87"/>
        <v>0</v>
      </c>
      <c r="BI148" s="683">
        <f t="shared" si="88"/>
        <v>0</v>
      </c>
      <c r="BJ148" s="641" t="e">
        <f t="shared" si="89"/>
        <v>#N/A</v>
      </c>
      <c r="BK148" s="641" t="e">
        <f t="shared" si="90"/>
        <v>#N/A</v>
      </c>
      <c r="BL148" s="641" t="e">
        <f t="shared" si="91"/>
        <v>#N/A</v>
      </c>
      <c r="BM148" s="684" t="e">
        <f t="shared" si="92"/>
        <v>#N/A</v>
      </c>
      <c r="BO148" s="682" t="e">
        <f>CONCATENATE(Z148," ",LOOKUP(D148,'f-travail'!A:A,'f-travail'!F:F))</f>
        <v>#N/A</v>
      </c>
      <c r="BP148" s="669" t="e">
        <f t="shared" si="79"/>
        <v>#N/A</v>
      </c>
    </row>
    <row r="149" spans="1:68">
      <c r="A149" s="636">
        <f t="shared" si="93"/>
        <v>148</v>
      </c>
      <c r="B149" s="637"/>
      <c r="C149" s="637"/>
      <c r="D149" s="652"/>
      <c r="E149" s="679" t="e">
        <f>LOOKUP(D149,'f-travail'!A:A,'f-travail'!B:B)</f>
        <v>#N/A</v>
      </c>
      <c r="F149" s="650"/>
      <c r="G149" s="650"/>
      <c r="H149" s="653"/>
      <c r="I149" s="653"/>
      <c r="J149" s="654"/>
      <c r="K149" s="650"/>
      <c r="L149" s="650"/>
      <c r="M149" s="650">
        <v>0</v>
      </c>
      <c r="N149" s="654"/>
      <c r="O149" s="654"/>
      <c r="P149" s="654"/>
      <c r="Q149" s="654"/>
      <c r="R149" s="676"/>
      <c r="S149" s="654"/>
      <c r="T149" s="675"/>
      <c r="U149" s="675"/>
      <c r="V149" s="670" t="e">
        <f>LOOKUP(D149,'f-travail'!A:A,'f-travail'!E:E)</f>
        <v>#N/A</v>
      </c>
      <c r="W149" s="670" t="e">
        <f>VLOOKUP(V149,جرقمإستدلالي,'f-travail'!$AD$4+1,FALSE)</f>
        <v>#N/A</v>
      </c>
      <c r="X149" s="671" t="e">
        <f t="shared" si="69"/>
        <v>#N/A</v>
      </c>
      <c r="Y149" s="671">
        <f>IF(G149="مدير ولائي",(HLOOKUP(I149,جدروظعليا,'f-travail'!$AT$3+1,FALSE)-3200),0)</f>
        <v>0</v>
      </c>
      <c r="Z149" s="672" t="str">
        <f t="shared" si="80"/>
        <v/>
      </c>
      <c r="AA149" s="671">
        <f t="shared" si="81"/>
        <v>0</v>
      </c>
      <c r="AB149" s="677" t="b">
        <f t="shared" si="70"/>
        <v>0</v>
      </c>
      <c r="AC149" s="678">
        <f t="shared" si="82"/>
        <v>0</v>
      </c>
      <c r="AD149" s="673"/>
      <c r="AE149" s="678">
        <f t="shared" si="71"/>
        <v>0</v>
      </c>
      <c r="AF149" s="678" t="e">
        <f t="shared" si="72"/>
        <v>#N/A</v>
      </c>
      <c r="AG149" s="678" t="e">
        <f t="shared" si="73"/>
        <v>#N/A</v>
      </c>
      <c r="AH149" s="673">
        <f t="shared" si="83"/>
        <v>0</v>
      </c>
      <c r="AI149" s="674" t="e">
        <f>IF(G149="مدير ولائي",(11000*35%),LOOKUP(D149,'f-travail'!A:A,'f-travail'!I:I))</f>
        <v>#N/A</v>
      </c>
      <c r="AJ149" s="673" t="e">
        <f>IF(G149="مدير ولائي",((W149+X149)*45)*80%,IF(V149&lt;8,0,IF(F149="إليزي",(LOOKUP(D149,'f-travail'!A:A,'f-travail'!O:O))*(AF149+AG149),LOOKUP(D149,'f-travail'!A:A,'f-travail'!P:P)*(AF149+AG149))))</f>
        <v>#N/A</v>
      </c>
      <c r="AK149" s="673" t="e">
        <f>IF(G149="مدير ولائي",0,LOOKUP(D149,'f-travail'!A:A,'f-travail'!Q:Q))</f>
        <v>#N/A</v>
      </c>
      <c r="AL149" s="673" t="e">
        <f>IF(G149="مدير ولائي",0,LOOKUP(D149,'f-travail'!A:A,'f-travail'!R:R)*(AF149+AG149))</f>
        <v>#N/A</v>
      </c>
      <c r="AM149" s="673" t="e">
        <f>IF(G149="مدير ولائي",0,LOOKUP(D149,'f-travail'!A:A,'f-travail'!S:S)*(AF149+AG149))</f>
        <v>#N/A</v>
      </c>
      <c r="AN149" s="673" t="e">
        <f>IF(G149="مدير ولائي",0,LOOKUP(D149,'f-travail'!A:A,'f-travail'!T:T)*(AF149+AG149))</f>
        <v>#N/A</v>
      </c>
      <c r="AO149" s="673" t="e">
        <f>IF(G149="مدير ولائي",0,LOOKUP(D149,'f-travail'!A:A,'f-travail'!U:U)*(AF149+AG149))</f>
        <v>#N/A</v>
      </c>
      <c r="AP149" s="673" t="e">
        <f>IF(G149="مدير ولائي",0,LOOKUP(D149,'f-travail'!A:A,'f-travail'!V:V)*(AF149+AG149))</f>
        <v>#N/A</v>
      </c>
      <c r="AQ149" s="673" t="e">
        <f>IF(G149="مدير ولائي",0,LOOKUP(D149,'f-travail'!A:A,'f-travail'!W:W)*(AF149+AG149))</f>
        <v>#N/A</v>
      </c>
      <c r="AR149" s="673">
        <f t="shared" si="84"/>
        <v>0</v>
      </c>
      <c r="AS149" s="673" t="e">
        <f>IF(G149="مدير ولائي",0,LOOKUP(D149,'f-travail'!A:A,'f-travail'!X:X)*(AF149+AG149))</f>
        <v>#N/A</v>
      </c>
      <c r="AT149" s="673" t="e">
        <f>IF(G149="مدير ولائي",0,LOOKUP(D149,'f-travail'!Y:Y,'f-travail'!R:R)*(AF149+AG149))</f>
        <v>#N/A</v>
      </c>
      <c r="AU149" s="673">
        <f t="shared" si="74"/>
        <v>0</v>
      </c>
      <c r="AV149" s="673">
        <f t="shared" si="75"/>
        <v>0</v>
      </c>
      <c r="AW149" s="673">
        <f t="shared" si="76"/>
        <v>0</v>
      </c>
      <c r="AY149" s="640" t="e">
        <f t="shared" si="85"/>
        <v>#N/A</v>
      </c>
      <c r="AZ149" s="673" t="e">
        <f t="shared" si="77"/>
        <v>#N/A</v>
      </c>
      <c r="BA149" s="639" t="e">
        <f t="shared" si="78"/>
        <v>#N/A</v>
      </c>
      <c r="BG149" s="639">
        <f t="shared" si="86"/>
        <v>0</v>
      </c>
      <c r="BH149" s="683">
        <f t="shared" si="87"/>
        <v>0</v>
      </c>
      <c r="BI149" s="683">
        <f t="shared" si="88"/>
        <v>0</v>
      </c>
      <c r="BJ149" s="641" t="e">
        <f t="shared" si="89"/>
        <v>#N/A</v>
      </c>
      <c r="BK149" s="641" t="e">
        <f t="shared" si="90"/>
        <v>#N/A</v>
      </c>
      <c r="BL149" s="641" t="e">
        <f t="shared" si="91"/>
        <v>#N/A</v>
      </c>
      <c r="BM149" s="684" t="e">
        <f t="shared" si="92"/>
        <v>#N/A</v>
      </c>
      <c r="BO149" s="682" t="e">
        <f>CONCATENATE(Z149," ",LOOKUP(D149,'f-travail'!A:A,'f-travail'!F:F))</f>
        <v>#N/A</v>
      </c>
      <c r="BP149" s="669" t="e">
        <f t="shared" si="79"/>
        <v>#N/A</v>
      </c>
    </row>
    <row r="150" spans="1:68">
      <c r="A150" s="636">
        <f t="shared" si="93"/>
        <v>149</v>
      </c>
      <c r="B150" s="637"/>
      <c r="C150" s="637"/>
      <c r="D150" s="652"/>
      <c r="E150" s="679" t="e">
        <f>LOOKUP(D150,'f-travail'!A:A,'f-travail'!B:B)</f>
        <v>#N/A</v>
      </c>
      <c r="F150" s="650"/>
      <c r="G150" s="650"/>
      <c r="H150" s="653"/>
      <c r="I150" s="653"/>
      <c r="J150" s="654"/>
      <c r="K150" s="650"/>
      <c r="L150" s="650"/>
      <c r="M150" s="650">
        <v>0</v>
      </c>
      <c r="N150" s="654"/>
      <c r="O150" s="654"/>
      <c r="P150" s="654"/>
      <c r="Q150" s="654"/>
      <c r="R150" s="676"/>
      <c r="S150" s="654"/>
      <c r="T150" s="675"/>
      <c r="U150" s="675"/>
      <c r="V150" s="670" t="e">
        <f>LOOKUP(D150,'f-travail'!A:A,'f-travail'!E:E)</f>
        <v>#N/A</v>
      </c>
      <c r="W150" s="670" t="e">
        <f>VLOOKUP(V150,جرقمإستدلالي,'f-travail'!$AD$4+1,FALSE)</f>
        <v>#N/A</v>
      </c>
      <c r="X150" s="671" t="e">
        <f t="shared" si="69"/>
        <v>#N/A</v>
      </c>
      <c r="Y150" s="671">
        <f>IF(G150="مدير ولائي",(HLOOKUP(I150,جدروظعليا,'f-travail'!$AT$3+1,FALSE)-3200),0)</f>
        <v>0</v>
      </c>
      <c r="Z150" s="672" t="str">
        <f t="shared" si="80"/>
        <v/>
      </c>
      <c r="AA150" s="671">
        <f t="shared" si="81"/>
        <v>0</v>
      </c>
      <c r="AB150" s="677" t="b">
        <f t="shared" si="70"/>
        <v>0</v>
      </c>
      <c r="AC150" s="678">
        <f t="shared" si="82"/>
        <v>0</v>
      </c>
      <c r="AD150" s="673"/>
      <c r="AE150" s="678">
        <f t="shared" si="71"/>
        <v>0</v>
      </c>
      <c r="AF150" s="678" t="e">
        <f t="shared" si="72"/>
        <v>#N/A</v>
      </c>
      <c r="AG150" s="678" t="e">
        <f t="shared" si="73"/>
        <v>#N/A</v>
      </c>
      <c r="AH150" s="673">
        <f t="shared" si="83"/>
        <v>0</v>
      </c>
      <c r="AI150" s="674" t="e">
        <f>IF(G150="مدير ولائي",(11000*35%),LOOKUP(D150,'f-travail'!A:A,'f-travail'!I:I))</f>
        <v>#N/A</v>
      </c>
      <c r="AJ150" s="673" t="e">
        <f>IF(G150="مدير ولائي",((W150+X150)*45)*80%,IF(V150&lt;8,0,IF(F150="إليزي",(LOOKUP(D150,'f-travail'!A:A,'f-travail'!O:O))*(AF150+AG150),LOOKUP(D150,'f-travail'!A:A,'f-travail'!P:P)*(AF150+AG150))))</f>
        <v>#N/A</v>
      </c>
      <c r="AK150" s="673" t="e">
        <f>IF(G150="مدير ولائي",0,LOOKUP(D150,'f-travail'!A:A,'f-travail'!Q:Q))</f>
        <v>#N/A</v>
      </c>
      <c r="AL150" s="673" t="e">
        <f>IF(G150="مدير ولائي",0,LOOKUP(D150,'f-travail'!A:A,'f-travail'!R:R)*(AF150+AG150))</f>
        <v>#N/A</v>
      </c>
      <c r="AM150" s="673" t="e">
        <f>IF(G150="مدير ولائي",0,LOOKUP(D150,'f-travail'!A:A,'f-travail'!S:S)*(AF150+AG150))</f>
        <v>#N/A</v>
      </c>
      <c r="AN150" s="673" t="e">
        <f>IF(G150="مدير ولائي",0,LOOKUP(D150,'f-travail'!A:A,'f-travail'!T:T)*(AF150+AG150))</f>
        <v>#N/A</v>
      </c>
      <c r="AO150" s="673" t="e">
        <f>IF(G150="مدير ولائي",0,LOOKUP(D150,'f-travail'!A:A,'f-travail'!U:U)*(AF150+AG150))</f>
        <v>#N/A</v>
      </c>
      <c r="AP150" s="673" t="e">
        <f>IF(G150="مدير ولائي",0,LOOKUP(D150,'f-travail'!A:A,'f-travail'!V:V)*(AF150+AG150))</f>
        <v>#N/A</v>
      </c>
      <c r="AQ150" s="673" t="e">
        <f>IF(G150="مدير ولائي",0,LOOKUP(D150,'f-travail'!A:A,'f-travail'!W:W)*(AF150+AG150))</f>
        <v>#N/A</v>
      </c>
      <c r="AR150" s="673">
        <f t="shared" si="84"/>
        <v>0</v>
      </c>
      <c r="AS150" s="673" t="e">
        <f>IF(G150="مدير ولائي",0,LOOKUP(D150,'f-travail'!A:A,'f-travail'!X:X)*(AF150+AG150))</f>
        <v>#N/A</v>
      </c>
      <c r="AT150" s="673" t="e">
        <f>IF(G150="مدير ولائي",0,LOOKUP(D150,'f-travail'!Y:Y,'f-travail'!R:R)*(AF150+AG150))</f>
        <v>#N/A</v>
      </c>
      <c r="AU150" s="673">
        <f t="shared" si="74"/>
        <v>0</v>
      </c>
      <c r="AV150" s="673">
        <f t="shared" si="75"/>
        <v>0</v>
      </c>
      <c r="AW150" s="673">
        <f t="shared" si="76"/>
        <v>0</v>
      </c>
      <c r="AY150" s="640" t="e">
        <f t="shared" si="85"/>
        <v>#N/A</v>
      </c>
      <c r="AZ150" s="673" t="e">
        <f t="shared" si="77"/>
        <v>#N/A</v>
      </c>
      <c r="BA150" s="639" t="e">
        <f t="shared" si="78"/>
        <v>#N/A</v>
      </c>
      <c r="BG150" s="639">
        <f t="shared" si="86"/>
        <v>0</v>
      </c>
      <c r="BH150" s="683">
        <f t="shared" si="87"/>
        <v>0</v>
      </c>
      <c r="BI150" s="683">
        <f t="shared" si="88"/>
        <v>0</v>
      </c>
      <c r="BJ150" s="641" t="e">
        <f t="shared" si="89"/>
        <v>#N/A</v>
      </c>
      <c r="BK150" s="641" t="e">
        <f t="shared" si="90"/>
        <v>#N/A</v>
      </c>
      <c r="BL150" s="641" t="e">
        <f t="shared" si="91"/>
        <v>#N/A</v>
      </c>
      <c r="BM150" s="684" t="e">
        <f t="shared" si="92"/>
        <v>#N/A</v>
      </c>
      <c r="BO150" s="682" t="e">
        <f>CONCATENATE(Z150," ",LOOKUP(D150,'f-travail'!A:A,'f-travail'!F:F))</f>
        <v>#N/A</v>
      </c>
      <c r="BP150" s="669" t="e">
        <f t="shared" si="79"/>
        <v>#N/A</v>
      </c>
    </row>
    <row r="151" spans="1:68">
      <c r="A151" s="636">
        <f t="shared" si="93"/>
        <v>150</v>
      </c>
      <c r="B151" s="637"/>
      <c r="C151" s="637"/>
      <c r="D151" s="652"/>
      <c r="E151" s="679" t="e">
        <f>LOOKUP(D151,'f-travail'!A:A,'f-travail'!B:B)</f>
        <v>#N/A</v>
      </c>
      <c r="F151" s="650"/>
      <c r="G151" s="650"/>
      <c r="H151" s="653"/>
      <c r="I151" s="653"/>
      <c r="J151" s="654"/>
      <c r="K151" s="650"/>
      <c r="L151" s="650"/>
      <c r="M151" s="650">
        <v>0</v>
      </c>
      <c r="N151" s="654"/>
      <c r="O151" s="654"/>
      <c r="P151" s="654"/>
      <c r="Q151" s="654"/>
      <c r="R151" s="676"/>
      <c r="S151" s="654"/>
      <c r="T151" s="675"/>
      <c r="U151" s="675"/>
      <c r="V151" s="670" t="e">
        <f>LOOKUP(D151,'f-travail'!A:A,'f-travail'!E:E)</f>
        <v>#N/A</v>
      </c>
      <c r="W151" s="670" t="e">
        <f>VLOOKUP(V151,جرقمإستدلالي,'f-travail'!$AD$4+1,FALSE)</f>
        <v>#N/A</v>
      </c>
      <c r="X151" s="671" t="e">
        <f t="shared" si="69"/>
        <v>#N/A</v>
      </c>
      <c r="Y151" s="671">
        <f>IF(G151="مدير ولائي",(HLOOKUP(I151,جدروظعليا,'f-travail'!$AT$3+1,FALSE)-3200),0)</f>
        <v>0</v>
      </c>
      <c r="Z151" s="672" t="str">
        <f t="shared" si="80"/>
        <v/>
      </c>
      <c r="AA151" s="671">
        <f t="shared" si="81"/>
        <v>0</v>
      </c>
      <c r="AB151" s="677" t="b">
        <f t="shared" si="70"/>
        <v>0</v>
      </c>
      <c r="AC151" s="678">
        <f t="shared" si="82"/>
        <v>0</v>
      </c>
      <c r="AD151" s="673"/>
      <c r="AE151" s="678">
        <f t="shared" si="71"/>
        <v>0</v>
      </c>
      <c r="AF151" s="678" t="e">
        <f t="shared" si="72"/>
        <v>#N/A</v>
      </c>
      <c r="AG151" s="678" t="e">
        <f t="shared" si="73"/>
        <v>#N/A</v>
      </c>
      <c r="AH151" s="673">
        <f t="shared" si="83"/>
        <v>0</v>
      </c>
      <c r="AI151" s="674" t="e">
        <f>IF(G151="مدير ولائي",(11000*35%),LOOKUP(D151,'f-travail'!A:A,'f-travail'!I:I))</f>
        <v>#N/A</v>
      </c>
      <c r="AJ151" s="673" t="e">
        <f>IF(G151="مدير ولائي",((W151+X151)*45)*80%,IF(V151&lt;8,0,IF(F151="إليزي",(LOOKUP(D151,'f-travail'!A:A,'f-travail'!O:O))*(AF151+AG151),LOOKUP(D151,'f-travail'!A:A,'f-travail'!P:P)*(AF151+AG151))))</f>
        <v>#N/A</v>
      </c>
      <c r="AK151" s="673" t="e">
        <f>IF(G151="مدير ولائي",0,LOOKUP(D151,'f-travail'!A:A,'f-travail'!Q:Q))</f>
        <v>#N/A</v>
      </c>
      <c r="AL151" s="673" t="e">
        <f>IF(G151="مدير ولائي",0,LOOKUP(D151,'f-travail'!A:A,'f-travail'!R:R)*(AF151+AG151))</f>
        <v>#N/A</v>
      </c>
      <c r="AM151" s="673" t="e">
        <f>IF(G151="مدير ولائي",0,LOOKUP(D151,'f-travail'!A:A,'f-travail'!S:S)*(AF151+AG151))</f>
        <v>#N/A</v>
      </c>
      <c r="AN151" s="673" t="e">
        <f>IF(G151="مدير ولائي",0,LOOKUP(D151,'f-travail'!A:A,'f-travail'!T:T)*(AF151+AG151))</f>
        <v>#N/A</v>
      </c>
      <c r="AO151" s="673" t="e">
        <f>IF(G151="مدير ولائي",0,LOOKUP(D151,'f-travail'!A:A,'f-travail'!U:U)*(AF151+AG151))</f>
        <v>#N/A</v>
      </c>
      <c r="AP151" s="673" t="e">
        <f>IF(G151="مدير ولائي",0,LOOKUP(D151,'f-travail'!A:A,'f-travail'!V:V)*(AF151+AG151))</f>
        <v>#N/A</v>
      </c>
      <c r="AQ151" s="673" t="e">
        <f>IF(G151="مدير ولائي",0,LOOKUP(D151,'f-travail'!A:A,'f-travail'!W:W)*(AF151+AG151))</f>
        <v>#N/A</v>
      </c>
      <c r="AR151" s="673">
        <f t="shared" si="84"/>
        <v>0</v>
      </c>
      <c r="AS151" s="673" t="e">
        <f>IF(G151="مدير ولائي",0,LOOKUP(D151,'f-travail'!A:A,'f-travail'!X:X)*(AF151+AG151))</f>
        <v>#N/A</v>
      </c>
      <c r="AT151" s="673" t="e">
        <f>IF(G151="مدير ولائي",0,LOOKUP(D151,'f-travail'!Y:Y,'f-travail'!R:R)*(AF151+AG151))</f>
        <v>#N/A</v>
      </c>
      <c r="AU151" s="673">
        <f t="shared" si="74"/>
        <v>0</v>
      </c>
      <c r="AV151" s="673">
        <f t="shared" si="75"/>
        <v>0</v>
      </c>
      <c r="AW151" s="673">
        <f t="shared" si="76"/>
        <v>0</v>
      </c>
      <c r="AY151" s="640" t="e">
        <f t="shared" si="85"/>
        <v>#N/A</v>
      </c>
      <c r="AZ151" s="673" t="e">
        <f t="shared" si="77"/>
        <v>#N/A</v>
      </c>
      <c r="BA151" s="639" t="e">
        <f t="shared" si="78"/>
        <v>#N/A</v>
      </c>
      <c r="BG151" s="639">
        <f t="shared" si="86"/>
        <v>0</v>
      </c>
      <c r="BH151" s="683">
        <f t="shared" si="87"/>
        <v>0</v>
      </c>
      <c r="BI151" s="683">
        <f t="shared" si="88"/>
        <v>0</v>
      </c>
      <c r="BJ151" s="641" t="e">
        <f t="shared" si="89"/>
        <v>#N/A</v>
      </c>
      <c r="BK151" s="641" t="e">
        <f t="shared" si="90"/>
        <v>#N/A</v>
      </c>
      <c r="BL151" s="641" t="e">
        <f t="shared" si="91"/>
        <v>#N/A</v>
      </c>
      <c r="BM151" s="684" t="e">
        <f t="shared" si="92"/>
        <v>#N/A</v>
      </c>
      <c r="BO151" s="682" t="e">
        <f>CONCATENATE(Z151," ",LOOKUP(D151,'f-travail'!A:A,'f-travail'!F:F))</f>
        <v>#N/A</v>
      </c>
      <c r="BP151" s="669" t="e">
        <f t="shared" si="79"/>
        <v>#N/A</v>
      </c>
    </row>
    <row r="152" spans="1:68">
      <c r="A152" s="636">
        <f t="shared" si="93"/>
        <v>151</v>
      </c>
      <c r="B152" s="637"/>
      <c r="C152" s="637"/>
      <c r="D152" s="652"/>
      <c r="E152" s="679" t="e">
        <f>LOOKUP(D152,'f-travail'!A:A,'f-travail'!B:B)</f>
        <v>#N/A</v>
      </c>
      <c r="F152" s="650"/>
      <c r="G152" s="650"/>
      <c r="H152" s="653"/>
      <c r="I152" s="653"/>
      <c r="J152" s="654"/>
      <c r="K152" s="650"/>
      <c r="L152" s="650"/>
      <c r="M152" s="650">
        <v>0</v>
      </c>
      <c r="N152" s="654"/>
      <c r="O152" s="654"/>
      <c r="P152" s="654"/>
      <c r="Q152" s="654"/>
      <c r="R152" s="676"/>
      <c r="S152" s="654"/>
      <c r="T152" s="675"/>
      <c r="U152" s="675"/>
      <c r="V152" s="670" t="e">
        <f>LOOKUP(D152,'f-travail'!A:A,'f-travail'!E:E)</f>
        <v>#N/A</v>
      </c>
      <c r="W152" s="670" t="e">
        <f>VLOOKUP(V152,جرقمإستدلالي,'f-travail'!$AD$4+1,FALSE)</f>
        <v>#N/A</v>
      </c>
      <c r="X152" s="671" t="e">
        <f t="shared" si="69"/>
        <v>#N/A</v>
      </c>
      <c r="Y152" s="671">
        <f>IF(G152="مدير ولائي",(HLOOKUP(I152,جدروظعليا,'f-travail'!$AT$3+1,FALSE)-3200),0)</f>
        <v>0</v>
      </c>
      <c r="Z152" s="672" t="str">
        <f t="shared" si="80"/>
        <v/>
      </c>
      <c r="AA152" s="671">
        <f t="shared" si="81"/>
        <v>0</v>
      </c>
      <c r="AB152" s="677" t="b">
        <f t="shared" si="70"/>
        <v>0</v>
      </c>
      <c r="AC152" s="678">
        <f t="shared" si="82"/>
        <v>0</v>
      </c>
      <c r="AD152" s="673"/>
      <c r="AE152" s="678">
        <f t="shared" si="71"/>
        <v>0</v>
      </c>
      <c r="AF152" s="678" t="e">
        <f t="shared" si="72"/>
        <v>#N/A</v>
      </c>
      <c r="AG152" s="678" t="e">
        <f t="shared" si="73"/>
        <v>#N/A</v>
      </c>
      <c r="AH152" s="673">
        <f t="shared" si="83"/>
        <v>0</v>
      </c>
      <c r="AI152" s="674" t="e">
        <f>IF(G152="مدير ولائي",(11000*35%),LOOKUP(D152,'f-travail'!A:A,'f-travail'!I:I))</f>
        <v>#N/A</v>
      </c>
      <c r="AJ152" s="673" t="e">
        <f>IF(G152="مدير ولائي",((W152+X152)*45)*80%,IF(V152&lt;8,0,IF(F152="إليزي",(LOOKUP(D152,'f-travail'!A:A,'f-travail'!O:O))*(AF152+AG152),LOOKUP(D152,'f-travail'!A:A,'f-travail'!P:P)*(AF152+AG152))))</f>
        <v>#N/A</v>
      </c>
      <c r="AK152" s="673" t="e">
        <f>IF(G152="مدير ولائي",0,LOOKUP(D152,'f-travail'!A:A,'f-travail'!Q:Q))</f>
        <v>#N/A</v>
      </c>
      <c r="AL152" s="673" t="e">
        <f>IF(G152="مدير ولائي",0,LOOKUP(D152,'f-travail'!A:A,'f-travail'!R:R)*(AF152+AG152))</f>
        <v>#N/A</v>
      </c>
      <c r="AM152" s="673" t="e">
        <f>IF(G152="مدير ولائي",0,LOOKUP(D152,'f-travail'!A:A,'f-travail'!S:S)*(AF152+AG152))</f>
        <v>#N/A</v>
      </c>
      <c r="AN152" s="673" t="e">
        <f>IF(G152="مدير ولائي",0,LOOKUP(D152,'f-travail'!A:A,'f-travail'!T:T)*(AF152+AG152))</f>
        <v>#N/A</v>
      </c>
      <c r="AO152" s="673" t="e">
        <f>IF(G152="مدير ولائي",0,LOOKUP(D152,'f-travail'!A:A,'f-travail'!U:U)*(AF152+AG152))</f>
        <v>#N/A</v>
      </c>
      <c r="AP152" s="673" t="e">
        <f>IF(G152="مدير ولائي",0,LOOKUP(D152,'f-travail'!A:A,'f-travail'!V:V)*(AF152+AG152))</f>
        <v>#N/A</v>
      </c>
      <c r="AQ152" s="673" t="e">
        <f>IF(G152="مدير ولائي",0,LOOKUP(D152,'f-travail'!A:A,'f-travail'!W:W)*(AF152+AG152))</f>
        <v>#N/A</v>
      </c>
      <c r="AR152" s="673">
        <f t="shared" si="84"/>
        <v>0</v>
      </c>
      <c r="AS152" s="673" t="e">
        <f>IF(G152="مدير ولائي",0,LOOKUP(D152,'f-travail'!A:A,'f-travail'!X:X)*(AF152+AG152))</f>
        <v>#N/A</v>
      </c>
      <c r="AT152" s="673" t="e">
        <f>IF(G152="مدير ولائي",0,LOOKUP(D152,'f-travail'!Y:Y,'f-travail'!R:R)*(AF152+AG152))</f>
        <v>#N/A</v>
      </c>
      <c r="AU152" s="673">
        <f t="shared" si="74"/>
        <v>0</v>
      </c>
      <c r="AV152" s="673">
        <f t="shared" si="75"/>
        <v>0</v>
      </c>
      <c r="AW152" s="673">
        <f t="shared" si="76"/>
        <v>0</v>
      </c>
      <c r="AY152" s="640" t="e">
        <f t="shared" si="85"/>
        <v>#N/A</v>
      </c>
      <c r="AZ152" s="673" t="e">
        <f t="shared" si="77"/>
        <v>#N/A</v>
      </c>
      <c r="BA152" s="639" t="e">
        <f t="shared" si="78"/>
        <v>#N/A</v>
      </c>
      <c r="BG152" s="639">
        <f t="shared" si="86"/>
        <v>0</v>
      </c>
      <c r="BH152" s="683">
        <f t="shared" si="87"/>
        <v>0</v>
      </c>
      <c r="BI152" s="683">
        <f t="shared" si="88"/>
        <v>0</v>
      </c>
      <c r="BJ152" s="641" t="e">
        <f t="shared" si="89"/>
        <v>#N/A</v>
      </c>
      <c r="BK152" s="641" t="e">
        <f t="shared" si="90"/>
        <v>#N/A</v>
      </c>
      <c r="BL152" s="641" t="e">
        <f t="shared" si="91"/>
        <v>#N/A</v>
      </c>
      <c r="BM152" s="684" t="e">
        <f t="shared" si="92"/>
        <v>#N/A</v>
      </c>
      <c r="BO152" s="682" t="e">
        <f>CONCATENATE(Z152," ",LOOKUP(D152,'f-travail'!A:A,'f-travail'!F:F))</f>
        <v>#N/A</v>
      </c>
      <c r="BP152" s="669" t="e">
        <f t="shared" si="79"/>
        <v>#N/A</v>
      </c>
    </row>
    <row r="153" spans="1:68">
      <c r="A153" s="636">
        <f t="shared" si="93"/>
        <v>152</v>
      </c>
      <c r="B153" s="637"/>
      <c r="C153" s="637"/>
      <c r="D153" s="652"/>
      <c r="E153" s="679" t="e">
        <f>LOOKUP(D153,'f-travail'!A:A,'f-travail'!B:B)</f>
        <v>#N/A</v>
      </c>
      <c r="F153" s="650"/>
      <c r="G153" s="650"/>
      <c r="H153" s="653"/>
      <c r="I153" s="653"/>
      <c r="J153" s="654"/>
      <c r="K153" s="650"/>
      <c r="L153" s="650"/>
      <c r="M153" s="650">
        <v>0</v>
      </c>
      <c r="N153" s="654"/>
      <c r="O153" s="654"/>
      <c r="P153" s="654"/>
      <c r="Q153" s="654"/>
      <c r="R153" s="676"/>
      <c r="S153" s="654"/>
      <c r="T153" s="675"/>
      <c r="U153" s="675"/>
      <c r="V153" s="670" t="e">
        <f>LOOKUP(D153,'f-travail'!A:A,'f-travail'!E:E)</f>
        <v>#N/A</v>
      </c>
      <c r="W153" s="670" t="e">
        <f>VLOOKUP(V153,جرقمإستدلالي,'f-travail'!$AD$4+1,FALSE)</f>
        <v>#N/A</v>
      </c>
      <c r="X153" s="671" t="e">
        <f t="shared" si="69"/>
        <v>#N/A</v>
      </c>
      <c r="Y153" s="671">
        <f>IF(G153="مدير ولائي",(HLOOKUP(I153,جدروظعليا,'f-travail'!$AT$3+1,FALSE)-3200),0)</f>
        <v>0</v>
      </c>
      <c r="Z153" s="672" t="str">
        <f t="shared" si="80"/>
        <v/>
      </c>
      <c r="AA153" s="671">
        <f t="shared" si="81"/>
        <v>0</v>
      </c>
      <c r="AB153" s="677" t="b">
        <f t="shared" si="70"/>
        <v>0</v>
      </c>
      <c r="AC153" s="678">
        <f t="shared" si="82"/>
        <v>0</v>
      </c>
      <c r="AD153" s="673"/>
      <c r="AE153" s="678">
        <f t="shared" si="71"/>
        <v>0</v>
      </c>
      <c r="AF153" s="678" t="e">
        <f t="shared" si="72"/>
        <v>#N/A</v>
      </c>
      <c r="AG153" s="678" t="e">
        <f t="shared" si="73"/>
        <v>#N/A</v>
      </c>
      <c r="AH153" s="673">
        <f t="shared" si="83"/>
        <v>0</v>
      </c>
      <c r="AI153" s="674" t="e">
        <f>IF(G153="مدير ولائي",(11000*35%),LOOKUP(D153,'f-travail'!A:A,'f-travail'!I:I))</f>
        <v>#N/A</v>
      </c>
      <c r="AJ153" s="673" t="e">
        <f>IF(G153="مدير ولائي",((W153+X153)*45)*80%,IF(V153&lt;8,0,IF(F153="إليزي",(LOOKUP(D153,'f-travail'!A:A,'f-travail'!O:O))*(AF153+AG153),LOOKUP(D153,'f-travail'!A:A,'f-travail'!P:P)*(AF153+AG153))))</f>
        <v>#N/A</v>
      </c>
      <c r="AK153" s="673" t="e">
        <f>IF(G153="مدير ولائي",0,LOOKUP(D153,'f-travail'!A:A,'f-travail'!Q:Q))</f>
        <v>#N/A</v>
      </c>
      <c r="AL153" s="673" t="e">
        <f>IF(G153="مدير ولائي",0,LOOKUP(D153,'f-travail'!A:A,'f-travail'!R:R)*(AF153+AG153))</f>
        <v>#N/A</v>
      </c>
      <c r="AM153" s="673" t="e">
        <f>IF(G153="مدير ولائي",0,LOOKUP(D153,'f-travail'!A:A,'f-travail'!S:S)*(AF153+AG153))</f>
        <v>#N/A</v>
      </c>
      <c r="AN153" s="673" t="e">
        <f>IF(G153="مدير ولائي",0,LOOKUP(D153,'f-travail'!A:A,'f-travail'!T:T)*(AF153+AG153))</f>
        <v>#N/A</v>
      </c>
      <c r="AO153" s="673" t="e">
        <f>IF(G153="مدير ولائي",0,LOOKUP(D153,'f-travail'!A:A,'f-travail'!U:U)*(AF153+AG153))</f>
        <v>#N/A</v>
      </c>
      <c r="AP153" s="673" t="e">
        <f>IF(G153="مدير ولائي",0,LOOKUP(D153,'f-travail'!A:A,'f-travail'!V:V)*(AF153+AG153))</f>
        <v>#N/A</v>
      </c>
      <c r="AQ153" s="673" t="e">
        <f>IF(G153="مدير ولائي",0,LOOKUP(D153,'f-travail'!A:A,'f-travail'!W:W)*(AF153+AG153))</f>
        <v>#N/A</v>
      </c>
      <c r="AR153" s="673">
        <f t="shared" si="84"/>
        <v>0</v>
      </c>
      <c r="AS153" s="673" t="e">
        <f>IF(G153="مدير ولائي",0,LOOKUP(D153,'f-travail'!A:A,'f-travail'!X:X)*(AF153+AG153))</f>
        <v>#N/A</v>
      </c>
      <c r="AT153" s="673" t="e">
        <f>IF(G153="مدير ولائي",0,LOOKUP(D153,'f-travail'!Y:Y,'f-travail'!R:R)*(AF153+AG153))</f>
        <v>#N/A</v>
      </c>
      <c r="AU153" s="673">
        <f t="shared" si="74"/>
        <v>0</v>
      </c>
      <c r="AV153" s="673">
        <f t="shared" si="75"/>
        <v>0</v>
      </c>
      <c r="AW153" s="673">
        <f t="shared" si="76"/>
        <v>0</v>
      </c>
      <c r="AY153" s="640" t="e">
        <f t="shared" si="85"/>
        <v>#N/A</v>
      </c>
      <c r="AZ153" s="673" t="e">
        <f t="shared" si="77"/>
        <v>#N/A</v>
      </c>
      <c r="BA153" s="639" t="e">
        <f t="shared" si="78"/>
        <v>#N/A</v>
      </c>
      <c r="BG153" s="639">
        <f t="shared" si="86"/>
        <v>0</v>
      </c>
      <c r="BH153" s="683">
        <f t="shared" si="87"/>
        <v>0</v>
      </c>
      <c r="BI153" s="683">
        <f t="shared" si="88"/>
        <v>0</v>
      </c>
      <c r="BJ153" s="641" t="e">
        <f t="shared" si="89"/>
        <v>#N/A</v>
      </c>
      <c r="BK153" s="641" t="e">
        <f t="shared" si="90"/>
        <v>#N/A</v>
      </c>
      <c r="BL153" s="641" t="e">
        <f t="shared" si="91"/>
        <v>#N/A</v>
      </c>
      <c r="BM153" s="684" t="e">
        <f t="shared" si="92"/>
        <v>#N/A</v>
      </c>
      <c r="BO153" s="682" t="e">
        <f>CONCATENATE(Z153," ",LOOKUP(D153,'f-travail'!A:A,'f-travail'!F:F))</f>
        <v>#N/A</v>
      </c>
      <c r="BP153" s="669" t="e">
        <f t="shared" si="79"/>
        <v>#N/A</v>
      </c>
    </row>
    <row r="154" spans="1:68">
      <c r="A154" s="636">
        <f t="shared" si="93"/>
        <v>153</v>
      </c>
      <c r="B154" s="637"/>
      <c r="C154" s="637"/>
      <c r="D154" s="652"/>
      <c r="E154" s="679" t="e">
        <f>LOOKUP(D154,'f-travail'!A:A,'f-travail'!B:B)</f>
        <v>#N/A</v>
      </c>
      <c r="F154" s="650"/>
      <c r="G154" s="650"/>
      <c r="H154" s="653"/>
      <c r="I154" s="653"/>
      <c r="J154" s="654"/>
      <c r="K154" s="650"/>
      <c r="L154" s="650"/>
      <c r="M154" s="650">
        <v>0</v>
      </c>
      <c r="N154" s="654"/>
      <c r="O154" s="654"/>
      <c r="P154" s="654"/>
      <c r="Q154" s="654"/>
      <c r="R154" s="676"/>
      <c r="S154" s="654"/>
      <c r="T154" s="675"/>
      <c r="U154" s="675"/>
      <c r="V154" s="670" t="e">
        <f>LOOKUP(D154,'f-travail'!A:A,'f-travail'!E:E)</f>
        <v>#N/A</v>
      </c>
      <c r="W154" s="670" t="e">
        <f>VLOOKUP(V154,جرقمإستدلالي,'f-travail'!$AD$4+1,FALSE)</f>
        <v>#N/A</v>
      </c>
      <c r="X154" s="671" t="e">
        <f t="shared" si="69"/>
        <v>#N/A</v>
      </c>
      <c r="Y154" s="671">
        <f>IF(G154="مدير ولائي",(HLOOKUP(I154,جدروظعليا,'f-travail'!$AT$3+1,FALSE)-3200),0)</f>
        <v>0</v>
      </c>
      <c r="Z154" s="672" t="str">
        <f t="shared" si="80"/>
        <v/>
      </c>
      <c r="AA154" s="671">
        <f t="shared" si="81"/>
        <v>0</v>
      </c>
      <c r="AB154" s="677" t="b">
        <f t="shared" si="70"/>
        <v>0</v>
      </c>
      <c r="AC154" s="678">
        <f t="shared" si="82"/>
        <v>0</v>
      </c>
      <c r="AD154" s="673"/>
      <c r="AE154" s="678">
        <f t="shared" si="71"/>
        <v>0</v>
      </c>
      <c r="AF154" s="678" t="e">
        <f t="shared" si="72"/>
        <v>#N/A</v>
      </c>
      <c r="AG154" s="678" t="e">
        <f t="shared" si="73"/>
        <v>#N/A</v>
      </c>
      <c r="AH154" s="673">
        <f t="shared" si="83"/>
        <v>0</v>
      </c>
      <c r="AI154" s="674" t="e">
        <f>IF(G154="مدير ولائي",(11000*35%),LOOKUP(D154,'f-travail'!A:A,'f-travail'!I:I))</f>
        <v>#N/A</v>
      </c>
      <c r="AJ154" s="673" t="e">
        <f>IF(G154="مدير ولائي",((W154+X154)*45)*80%,IF(V154&lt;8,0,IF(F154="إليزي",(LOOKUP(D154,'f-travail'!A:A,'f-travail'!O:O))*(AF154+AG154),LOOKUP(D154,'f-travail'!A:A,'f-travail'!P:P)*(AF154+AG154))))</f>
        <v>#N/A</v>
      </c>
      <c r="AK154" s="673" t="e">
        <f>IF(G154="مدير ولائي",0,LOOKUP(D154,'f-travail'!A:A,'f-travail'!Q:Q))</f>
        <v>#N/A</v>
      </c>
      <c r="AL154" s="673" t="e">
        <f>IF(G154="مدير ولائي",0,LOOKUP(D154,'f-travail'!A:A,'f-travail'!R:R)*(AF154+AG154))</f>
        <v>#N/A</v>
      </c>
      <c r="AM154" s="673" t="e">
        <f>IF(G154="مدير ولائي",0,LOOKUP(D154,'f-travail'!A:A,'f-travail'!S:S)*(AF154+AG154))</f>
        <v>#N/A</v>
      </c>
      <c r="AN154" s="673" t="e">
        <f>IF(G154="مدير ولائي",0,LOOKUP(D154,'f-travail'!A:A,'f-travail'!T:T)*(AF154+AG154))</f>
        <v>#N/A</v>
      </c>
      <c r="AO154" s="673" t="e">
        <f>IF(G154="مدير ولائي",0,LOOKUP(D154,'f-travail'!A:A,'f-travail'!U:U)*(AF154+AG154))</f>
        <v>#N/A</v>
      </c>
      <c r="AP154" s="673" t="e">
        <f>IF(G154="مدير ولائي",0,LOOKUP(D154,'f-travail'!A:A,'f-travail'!V:V)*(AF154+AG154))</f>
        <v>#N/A</v>
      </c>
      <c r="AQ154" s="673" t="e">
        <f>IF(G154="مدير ولائي",0,LOOKUP(D154,'f-travail'!A:A,'f-travail'!W:W)*(AF154+AG154))</f>
        <v>#N/A</v>
      </c>
      <c r="AR154" s="673">
        <f t="shared" si="84"/>
        <v>0</v>
      </c>
      <c r="AS154" s="673" t="e">
        <f>IF(G154="مدير ولائي",0,LOOKUP(D154,'f-travail'!A:A,'f-travail'!X:X)*(AF154+AG154))</f>
        <v>#N/A</v>
      </c>
      <c r="AT154" s="673" t="e">
        <f>IF(G154="مدير ولائي",0,LOOKUP(D154,'f-travail'!Y:Y,'f-travail'!R:R)*(AF154+AG154))</f>
        <v>#N/A</v>
      </c>
      <c r="AU154" s="673">
        <f t="shared" si="74"/>
        <v>0</v>
      </c>
      <c r="AV154" s="673">
        <f t="shared" si="75"/>
        <v>0</v>
      </c>
      <c r="AW154" s="673">
        <f t="shared" si="76"/>
        <v>0</v>
      </c>
      <c r="AY154" s="640" t="e">
        <f t="shared" si="85"/>
        <v>#N/A</v>
      </c>
      <c r="AZ154" s="673" t="e">
        <f t="shared" si="77"/>
        <v>#N/A</v>
      </c>
      <c r="BA154" s="639" t="e">
        <f t="shared" si="78"/>
        <v>#N/A</v>
      </c>
      <c r="BG154" s="639">
        <f t="shared" si="86"/>
        <v>0</v>
      </c>
      <c r="BH154" s="683">
        <f t="shared" si="87"/>
        <v>0</v>
      </c>
      <c r="BI154" s="683">
        <f t="shared" si="88"/>
        <v>0</v>
      </c>
      <c r="BJ154" s="641" t="e">
        <f t="shared" si="89"/>
        <v>#N/A</v>
      </c>
      <c r="BK154" s="641" t="e">
        <f t="shared" si="90"/>
        <v>#N/A</v>
      </c>
      <c r="BL154" s="641" t="e">
        <f t="shared" si="91"/>
        <v>#N/A</v>
      </c>
      <c r="BM154" s="684" t="e">
        <f t="shared" si="92"/>
        <v>#N/A</v>
      </c>
      <c r="BO154" s="682" t="e">
        <f>CONCATENATE(Z154," ",LOOKUP(D154,'f-travail'!A:A,'f-travail'!F:F))</f>
        <v>#N/A</v>
      </c>
      <c r="BP154" s="669" t="e">
        <f t="shared" si="79"/>
        <v>#N/A</v>
      </c>
    </row>
    <row r="155" spans="1:68">
      <c r="A155" s="636">
        <f t="shared" si="93"/>
        <v>154</v>
      </c>
      <c r="B155" s="637"/>
      <c r="C155" s="637"/>
      <c r="D155" s="652"/>
      <c r="E155" s="679" t="e">
        <f>LOOKUP(D155,'f-travail'!A:A,'f-travail'!B:B)</f>
        <v>#N/A</v>
      </c>
      <c r="F155" s="650"/>
      <c r="G155" s="650"/>
      <c r="H155" s="653"/>
      <c r="I155" s="653"/>
      <c r="J155" s="654"/>
      <c r="K155" s="650"/>
      <c r="L155" s="650"/>
      <c r="M155" s="650">
        <v>0</v>
      </c>
      <c r="N155" s="654"/>
      <c r="O155" s="654"/>
      <c r="P155" s="654"/>
      <c r="Q155" s="654"/>
      <c r="R155" s="676"/>
      <c r="S155" s="654"/>
      <c r="T155" s="675"/>
      <c r="U155" s="675"/>
      <c r="V155" s="670" t="e">
        <f>LOOKUP(D155,'f-travail'!A:A,'f-travail'!E:E)</f>
        <v>#N/A</v>
      </c>
      <c r="W155" s="670" t="e">
        <f>VLOOKUP(V155,جرقمإستدلالي,'f-travail'!$AD$4+1,FALSE)</f>
        <v>#N/A</v>
      </c>
      <c r="X155" s="671" t="e">
        <f t="shared" si="69"/>
        <v>#N/A</v>
      </c>
      <c r="Y155" s="671">
        <f>IF(G155="مدير ولائي",(HLOOKUP(I155,جدروظعليا,'f-travail'!$AT$3+1,FALSE)-3200),0)</f>
        <v>0</v>
      </c>
      <c r="Z155" s="672" t="str">
        <f t="shared" si="80"/>
        <v/>
      </c>
      <c r="AA155" s="671">
        <f t="shared" si="81"/>
        <v>0</v>
      </c>
      <c r="AB155" s="677" t="b">
        <f t="shared" si="70"/>
        <v>0</v>
      </c>
      <c r="AC155" s="678">
        <f t="shared" si="82"/>
        <v>0</v>
      </c>
      <c r="AD155" s="673"/>
      <c r="AE155" s="678">
        <f t="shared" si="71"/>
        <v>0</v>
      </c>
      <c r="AF155" s="678" t="e">
        <f t="shared" si="72"/>
        <v>#N/A</v>
      </c>
      <c r="AG155" s="678" t="e">
        <f t="shared" si="73"/>
        <v>#N/A</v>
      </c>
      <c r="AH155" s="673">
        <f t="shared" si="83"/>
        <v>0</v>
      </c>
      <c r="AI155" s="674" t="e">
        <f>IF(G155="مدير ولائي",(11000*35%),LOOKUP(D155,'f-travail'!A:A,'f-travail'!I:I))</f>
        <v>#N/A</v>
      </c>
      <c r="AJ155" s="673" t="e">
        <f>IF(G155="مدير ولائي",((W155+X155)*45)*80%,IF(V155&lt;8,0,IF(F155="إليزي",(LOOKUP(D155,'f-travail'!A:A,'f-travail'!O:O))*(AF155+AG155),LOOKUP(D155,'f-travail'!A:A,'f-travail'!P:P)*(AF155+AG155))))</f>
        <v>#N/A</v>
      </c>
      <c r="AK155" s="673" t="e">
        <f>IF(G155="مدير ولائي",0,LOOKUP(D155,'f-travail'!A:A,'f-travail'!Q:Q))</f>
        <v>#N/A</v>
      </c>
      <c r="AL155" s="673" t="e">
        <f>IF(G155="مدير ولائي",0,LOOKUP(D155,'f-travail'!A:A,'f-travail'!R:R)*(AF155+AG155))</f>
        <v>#N/A</v>
      </c>
      <c r="AM155" s="673" t="e">
        <f>IF(G155="مدير ولائي",0,LOOKUP(D155,'f-travail'!A:A,'f-travail'!S:S)*(AF155+AG155))</f>
        <v>#N/A</v>
      </c>
      <c r="AN155" s="673" t="e">
        <f>IF(G155="مدير ولائي",0,LOOKUP(D155,'f-travail'!A:A,'f-travail'!T:T)*(AF155+AG155))</f>
        <v>#N/A</v>
      </c>
      <c r="AO155" s="673" t="e">
        <f>IF(G155="مدير ولائي",0,LOOKUP(D155,'f-travail'!A:A,'f-travail'!U:U)*(AF155+AG155))</f>
        <v>#N/A</v>
      </c>
      <c r="AP155" s="673" t="e">
        <f>IF(G155="مدير ولائي",0,LOOKUP(D155,'f-travail'!A:A,'f-travail'!V:V)*(AF155+AG155))</f>
        <v>#N/A</v>
      </c>
      <c r="AQ155" s="673" t="e">
        <f>IF(G155="مدير ولائي",0,LOOKUP(D155,'f-travail'!A:A,'f-travail'!W:W)*(AF155+AG155))</f>
        <v>#N/A</v>
      </c>
      <c r="AR155" s="673">
        <f t="shared" si="84"/>
        <v>0</v>
      </c>
      <c r="AS155" s="673" t="e">
        <f>IF(G155="مدير ولائي",0,LOOKUP(D155,'f-travail'!A:A,'f-travail'!X:X)*(AF155+AG155))</f>
        <v>#N/A</v>
      </c>
      <c r="AT155" s="673" t="e">
        <f>IF(G155="مدير ولائي",0,LOOKUP(D155,'f-travail'!Y:Y,'f-travail'!R:R)*(AF155+AG155))</f>
        <v>#N/A</v>
      </c>
      <c r="AU155" s="673">
        <f t="shared" si="74"/>
        <v>0</v>
      </c>
      <c r="AV155" s="673">
        <f t="shared" si="75"/>
        <v>0</v>
      </c>
      <c r="AW155" s="673">
        <f t="shared" si="76"/>
        <v>0</v>
      </c>
      <c r="AY155" s="640" t="e">
        <f t="shared" si="85"/>
        <v>#N/A</v>
      </c>
      <c r="AZ155" s="673" t="e">
        <f t="shared" si="77"/>
        <v>#N/A</v>
      </c>
      <c r="BA155" s="639" t="e">
        <f t="shared" si="78"/>
        <v>#N/A</v>
      </c>
      <c r="BG155" s="639">
        <f t="shared" si="86"/>
        <v>0</v>
      </c>
      <c r="BH155" s="683">
        <f t="shared" si="87"/>
        <v>0</v>
      </c>
      <c r="BI155" s="683">
        <f t="shared" si="88"/>
        <v>0</v>
      </c>
      <c r="BJ155" s="641" t="e">
        <f t="shared" si="89"/>
        <v>#N/A</v>
      </c>
      <c r="BK155" s="641" t="e">
        <f t="shared" si="90"/>
        <v>#N/A</v>
      </c>
      <c r="BL155" s="641" t="e">
        <f t="shared" si="91"/>
        <v>#N/A</v>
      </c>
      <c r="BM155" s="684" t="e">
        <f t="shared" si="92"/>
        <v>#N/A</v>
      </c>
      <c r="BO155" s="682" t="e">
        <f>CONCATENATE(Z155," ",LOOKUP(D155,'f-travail'!A:A,'f-travail'!F:F))</f>
        <v>#N/A</v>
      </c>
      <c r="BP155" s="669" t="e">
        <f t="shared" si="79"/>
        <v>#N/A</v>
      </c>
    </row>
    <row r="156" spans="1:68">
      <c r="A156" s="636">
        <f t="shared" si="93"/>
        <v>155</v>
      </c>
      <c r="B156" s="637"/>
      <c r="C156" s="637"/>
      <c r="D156" s="652"/>
      <c r="E156" s="679" t="e">
        <f>LOOKUP(D156,'f-travail'!A:A,'f-travail'!B:B)</f>
        <v>#N/A</v>
      </c>
      <c r="F156" s="650"/>
      <c r="G156" s="650"/>
      <c r="H156" s="653"/>
      <c r="I156" s="653"/>
      <c r="J156" s="654"/>
      <c r="K156" s="650"/>
      <c r="L156" s="650"/>
      <c r="M156" s="650">
        <v>0</v>
      </c>
      <c r="N156" s="654"/>
      <c r="O156" s="654"/>
      <c r="P156" s="654"/>
      <c r="Q156" s="654"/>
      <c r="R156" s="676"/>
      <c r="S156" s="654"/>
      <c r="T156" s="675"/>
      <c r="U156" s="675"/>
      <c r="V156" s="670" t="e">
        <f>LOOKUP(D156,'f-travail'!A:A,'f-travail'!E:E)</f>
        <v>#N/A</v>
      </c>
      <c r="W156" s="670" t="e">
        <f>VLOOKUP(V156,جرقمإستدلالي,'f-travail'!$AD$4+1,FALSE)</f>
        <v>#N/A</v>
      </c>
      <c r="X156" s="671" t="e">
        <f t="shared" si="69"/>
        <v>#N/A</v>
      </c>
      <c r="Y156" s="671">
        <f>IF(G156="مدير ولائي",(HLOOKUP(I156,جدروظعليا,'f-travail'!$AT$3+1,FALSE)-3200),0)</f>
        <v>0</v>
      </c>
      <c r="Z156" s="672" t="str">
        <f t="shared" si="80"/>
        <v/>
      </c>
      <c r="AA156" s="671">
        <f t="shared" si="81"/>
        <v>0</v>
      </c>
      <c r="AB156" s="677" t="b">
        <f t="shared" si="70"/>
        <v>0</v>
      </c>
      <c r="AC156" s="678">
        <f t="shared" si="82"/>
        <v>0</v>
      </c>
      <c r="AD156" s="673"/>
      <c r="AE156" s="678">
        <f t="shared" si="71"/>
        <v>0</v>
      </c>
      <c r="AF156" s="678" t="e">
        <f t="shared" si="72"/>
        <v>#N/A</v>
      </c>
      <c r="AG156" s="678" t="e">
        <f t="shared" si="73"/>
        <v>#N/A</v>
      </c>
      <c r="AH156" s="673">
        <f t="shared" si="83"/>
        <v>0</v>
      </c>
      <c r="AI156" s="674" t="e">
        <f>IF(G156="مدير ولائي",(11000*35%),LOOKUP(D156,'f-travail'!A:A,'f-travail'!I:I))</f>
        <v>#N/A</v>
      </c>
      <c r="AJ156" s="673" t="e">
        <f>IF(G156="مدير ولائي",((W156+X156)*45)*80%,IF(V156&lt;8,0,IF(F156="إليزي",(LOOKUP(D156,'f-travail'!A:A,'f-travail'!O:O))*(AF156+AG156),LOOKUP(D156,'f-travail'!A:A,'f-travail'!P:P)*(AF156+AG156))))</f>
        <v>#N/A</v>
      </c>
      <c r="AK156" s="673" t="e">
        <f>IF(G156="مدير ولائي",0,LOOKUP(D156,'f-travail'!A:A,'f-travail'!Q:Q))</f>
        <v>#N/A</v>
      </c>
      <c r="AL156" s="673" t="e">
        <f>IF(G156="مدير ولائي",0,LOOKUP(D156,'f-travail'!A:A,'f-travail'!R:R)*(AF156+AG156))</f>
        <v>#N/A</v>
      </c>
      <c r="AM156" s="673" t="e">
        <f>IF(G156="مدير ولائي",0,LOOKUP(D156,'f-travail'!A:A,'f-travail'!S:S)*(AF156+AG156))</f>
        <v>#N/A</v>
      </c>
      <c r="AN156" s="673" t="e">
        <f>IF(G156="مدير ولائي",0,LOOKUP(D156,'f-travail'!A:A,'f-travail'!T:T)*(AF156+AG156))</f>
        <v>#N/A</v>
      </c>
      <c r="AO156" s="673" t="e">
        <f>IF(G156="مدير ولائي",0,LOOKUP(D156,'f-travail'!A:A,'f-travail'!U:U)*(AF156+AG156))</f>
        <v>#N/A</v>
      </c>
      <c r="AP156" s="673" t="e">
        <f>IF(G156="مدير ولائي",0,LOOKUP(D156,'f-travail'!A:A,'f-travail'!V:V)*(AF156+AG156))</f>
        <v>#N/A</v>
      </c>
      <c r="AQ156" s="673" t="e">
        <f>IF(G156="مدير ولائي",0,LOOKUP(D156,'f-travail'!A:A,'f-travail'!W:W)*(AF156+AG156))</f>
        <v>#N/A</v>
      </c>
      <c r="AR156" s="673">
        <f t="shared" si="84"/>
        <v>0</v>
      </c>
      <c r="AS156" s="673" t="e">
        <f>IF(G156="مدير ولائي",0,LOOKUP(D156,'f-travail'!A:A,'f-travail'!X:X)*(AF156+AG156))</f>
        <v>#N/A</v>
      </c>
      <c r="AT156" s="673" t="e">
        <f>IF(G156="مدير ولائي",0,LOOKUP(D156,'f-travail'!Y:Y,'f-travail'!R:R)*(AF156+AG156))</f>
        <v>#N/A</v>
      </c>
      <c r="AU156" s="673">
        <f t="shared" si="74"/>
        <v>0</v>
      </c>
      <c r="AV156" s="673">
        <f t="shared" si="75"/>
        <v>0</v>
      </c>
      <c r="AW156" s="673">
        <f t="shared" si="76"/>
        <v>0</v>
      </c>
      <c r="AY156" s="640" t="e">
        <f t="shared" si="85"/>
        <v>#N/A</v>
      </c>
      <c r="AZ156" s="673" t="e">
        <f t="shared" si="77"/>
        <v>#N/A</v>
      </c>
      <c r="BA156" s="639" t="e">
        <f t="shared" si="78"/>
        <v>#N/A</v>
      </c>
      <c r="BG156" s="639">
        <f t="shared" si="86"/>
        <v>0</v>
      </c>
      <c r="BH156" s="683">
        <f t="shared" si="87"/>
        <v>0</v>
      </c>
      <c r="BI156" s="683">
        <f t="shared" si="88"/>
        <v>0</v>
      </c>
      <c r="BJ156" s="641" t="e">
        <f t="shared" si="89"/>
        <v>#N/A</v>
      </c>
      <c r="BK156" s="641" t="e">
        <f t="shared" si="90"/>
        <v>#N/A</v>
      </c>
      <c r="BL156" s="641" t="e">
        <f t="shared" si="91"/>
        <v>#N/A</v>
      </c>
      <c r="BM156" s="684" t="e">
        <f t="shared" si="92"/>
        <v>#N/A</v>
      </c>
      <c r="BO156" s="682" t="e">
        <f>CONCATENATE(Z156," ",LOOKUP(D156,'f-travail'!A:A,'f-travail'!F:F))</f>
        <v>#N/A</v>
      </c>
      <c r="BP156" s="669" t="e">
        <f t="shared" si="79"/>
        <v>#N/A</v>
      </c>
    </row>
    <row r="157" spans="1:68">
      <c r="A157" s="636">
        <f t="shared" si="93"/>
        <v>156</v>
      </c>
      <c r="B157" s="637"/>
      <c r="C157" s="637"/>
      <c r="D157" s="652"/>
      <c r="E157" s="679" t="e">
        <f>LOOKUP(D157,'f-travail'!A:A,'f-travail'!B:B)</f>
        <v>#N/A</v>
      </c>
      <c r="F157" s="650"/>
      <c r="G157" s="650"/>
      <c r="H157" s="653"/>
      <c r="I157" s="653"/>
      <c r="J157" s="654"/>
      <c r="K157" s="650"/>
      <c r="L157" s="650"/>
      <c r="M157" s="650">
        <v>0</v>
      </c>
      <c r="N157" s="654"/>
      <c r="O157" s="654"/>
      <c r="P157" s="654"/>
      <c r="Q157" s="654"/>
      <c r="R157" s="676"/>
      <c r="S157" s="654"/>
      <c r="T157" s="675"/>
      <c r="U157" s="675"/>
      <c r="V157" s="670" t="e">
        <f>LOOKUP(D157,'f-travail'!A:A,'f-travail'!E:E)</f>
        <v>#N/A</v>
      </c>
      <c r="W157" s="670" t="e">
        <f>VLOOKUP(V157,جرقمإستدلالي,'f-travail'!$AD$4+1,FALSE)</f>
        <v>#N/A</v>
      </c>
      <c r="X157" s="671" t="e">
        <f t="shared" si="69"/>
        <v>#N/A</v>
      </c>
      <c r="Y157" s="671">
        <f>IF(G157="مدير ولائي",(HLOOKUP(I157,جدروظعليا,'f-travail'!$AT$3+1,FALSE)-3200),0)</f>
        <v>0</v>
      </c>
      <c r="Z157" s="672" t="str">
        <f t="shared" si="80"/>
        <v/>
      </c>
      <c r="AA157" s="671">
        <f t="shared" si="81"/>
        <v>0</v>
      </c>
      <c r="AB157" s="677" t="b">
        <f t="shared" si="70"/>
        <v>0</v>
      </c>
      <c r="AC157" s="678">
        <f t="shared" si="82"/>
        <v>0</v>
      </c>
      <c r="AD157" s="673"/>
      <c r="AE157" s="678">
        <f t="shared" si="71"/>
        <v>0</v>
      </c>
      <c r="AF157" s="678" t="e">
        <f t="shared" si="72"/>
        <v>#N/A</v>
      </c>
      <c r="AG157" s="678" t="e">
        <f t="shared" si="73"/>
        <v>#N/A</v>
      </c>
      <c r="AH157" s="673">
        <f t="shared" si="83"/>
        <v>0</v>
      </c>
      <c r="AI157" s="674" t="e">
        <f>IF(G157="مدير ولائي",(11000*35%),LOOKUP(D157,'f-travail'!A:A,'f-travail'!I:I))</f>
        <v>#N/A</v>
      </c>
      <c r="AJ157" s="673" t="e">
        <f>IF(G157="مدير ولائي",((W157+X157)*45)*80%,IF(V157&lt;8,0,IF(F157="إليزي",(LOOKUP(D157,'f-travail'!A:A,'f-travail'!O:O))*(AF157+AG157),LOOKUP(D157,'f-travail'!A:A,'f-travail'!P:P)*(AF157+AG157))))</f>
        <v>#N/A</v>
      </c>
      <c r="AK157" s="673" t="e">
        <f>IF(G157="مدير ولائي",0,LOOKUP(D157,'f-travail'!A:A,'f-travail'!Q:Q))</f>
        <v>#N/A</v>
      </c>
      <c r="AL157" s="673" t="e">
        <f>IF(G157="مدير ولائي",0,LOOKUP(D157,'f-travail'!A:A,'f-travail'!R:R)*(AF157+AG157))</f>
        <v>#N/A</v>
      </c>
      <c r="AM157" s="673" t="e">
        <f>IF(G157="مدير ولائي",0,LOOKUP(D157,'f-travail'!A:A,'f-travail'!S:S)*(AF157+AG157))</f>
        <v>#N/A</v>
      </c>
      <c r="AN157" s="673" t="e">
        <f>IF(G157="مدير ولائي",0,LOOKUP(D157,'f-travail'!A:A,'f-travail'!T:T)*(AF157+AG157))</f>
        <v>#N/A</v>
      </c>
      <c r="AO157" s="673" t="e">
        <f>IF(G157="مدير ولائي",0,LOOKUP(D157,'f-travail'!A:A,'f-travail'!U:U)*(AF157+AG157))</f>
        <v>#N/A</v>
      </c>
      <c r="AP157" s="673" t="e">
        <f>IF(G157="مدير ولائي",0,LOOKUP(D157,'f-travail'!A:A,'f-travail'!V:V)*(AF157+AG157))</f>
        <v>#N/A</v>
      </c>
      <c r="AQ157" s="673" t="e">
        <f>IF(G157="مدير ولائي",0,LOOKUP(D157,'f-travail'!A:A,'f-travail'!W:W)*(AF157+AG157))</f>
        <v>#N/A</v>
      </c>
      <c r="AR157" s="673">
        <f t="shared" si="84"/>
        <v>0</v>
      </c>
      <c r="AS157" s="673" t="e">
        <f>IF(G157="مدير ولائي",0,LOOKUP(D157,'f-travail'!A:A,'f-travail'!X:X)*(AF157+AG157))</f>
        <v>#N/A</v>
      </c>
      <c r="AT157" s="673" t="e">
        <f>IF(G157="مدير ولائي",0,LOOKUP(D157,'f-travail'!Y:Y,'f-travail'!R:R)*(AF157+AG157))</f>
        <v>#N/A</v>
      </c>
      <c r="AU157" s="673">
        <f t="shared" si="74"/>
        <v>0</v>
      </c>
      <c r="AV157" s="673">
        <f t="shared" si="75"/>
        <v>0</v>
      </c>
      <c r="AW157" s="673">
        <f t="shared" si="76"/>
        <v>0</v>
      </c>
      <c r="AY157" s="640" t="e">
        <f t="shared" si="85"/>
        <v>#N/A</v>
      </c>
      <c r="AZ157" s="673" t="e">
        <f t="shared" si="77"/>
        <v>#N/A</v>
      </c>
      <c r="BA157" s="639" t="e">
        <f t="shared" si="78"/>
        <v>#N/A</v>
      </c>
      <c r="BG157" s="639">
        <f t="shared" si="86"/>
        <v>0</v>
      </c>
      <c r="BH157" s="683">
        <f t="shared" si="87"/>
        <v>0</v>
      </c>
      <c r="BI157" s="683">
        <f t="shared" si="88"/>
        <v>0</v>
      </c>
      <c r="BJ157" s="641" t="e">
        <f t="shared" si="89"/>
        <v>#N/A</v>
      </c>
      <c r="BK157" s="641" t="e">
        <f t="shared" si="90"/>
        <v>#N/A</v>
      </c>
      <c r="BL157" s="641" t="e">
        <f t="shared" si="91"/>
        <v>#N/A</v>
      </c>
      <c r="BM157" s="684" t="e">
        <f t="shared" si="92"/>
        <v>#N/A</v>
      </c>
      <c r="BO157" s="682" t="e">
        <f>CONCATENATE(Z157," ",LOOKUP(D157,'f-travail'!A:A,'f-travail'!F:F))</f>
        <v>#N/A</v>
      </c>
      <c r="BP157" s="669" t="e">
        <f t="shared" si="79"/>
        <v>#N/A</v>
      </c>
    </row>
    <row r="158" spans="1:68">
      <c r="A158" s="636">
        <f t="shared" si="93"/>
        <v>157</v>
      </c>
      <c r="B158" s="637"/>
      <c r="C158" s="637"/>
      <c r="D158" s="652"/>
      <c r="E158" s="679" t="e">
        <f>LOOKUP(D158,'f-travail'!A:A,'f-travail'!B:B)</f>
        <v>#N/A</v>
      </c>
      <c r="F158" s="650"/>
      <c r="G158" s="650"/>
      <c r="H158" s="653"/>
      <c r="I158" s="653"/>
      <c r="J158" s="654"/>
      <c r="K158" s="650"/>
      <c r="L158" s="650"/>
      <c r="M158" s="650">
        <v>0</v>
      </c>
      <c r="N158" s="654"/>
      <c r="O158" s="654"/>
      <c r="P158" s="654"/>
      <c r="Q158" s="654"/>
      <c r="R158" s="676"/>
      <c r="S158" s="654"/>
      <c r="T158" s="675"/>
      <c r="U158" s="675"/>
      <c r="V158" s="670" t="e">
        <f>LOOKUP(D158,'f-travail'!A:A,'f-travail'!E:E)</f>
        <v>#N/A</v>
      </c>
      <c r="W158" s="670" t="e">
        <f>VLOOKUP(V158,جرقمإستدلالي,'f-travail'!$AD$4+1,FALSE)</f>
        <v>#N/A</v>
      </c>
      <c r="X158" s="671" t="e">
        <f t="shared" si="69"/>
        <v>#N/A</v>
      </c>
      <c r="Y158" s="671">
        <f>IF(G158="مدير ولائي",(HLOOKUP(I158,جدروظعليا,'f-travail'!$AT$3+1,FALSE)-3200),0)</f>
        <v>0</v>
      </c>
      <c r="Z158" s="672" t="str">
        <f t="shared" si="80"/>
        <v/>
      </c>
      <c r="AA158" s="671">
        <f t="shared" si="81"/>
        <v>0</v>
      </c>
      <c r="AB158" s="677" t="b">
        <f t="shared" si="70"/>
        <v>0</v>
      </c>
      <c r="AC158" s="678">
        <f t="shared" si="82"/>
        <v>0</v>
      </c>
      <c r="AD158" s="673"/>
      <c r="AE158" s="678">
        <f t="shared" si="71"/>
        <v>0</v>
      </c>
      <c r="AF158" s="678" t="e">
        <f t="shared" si="72"/>
        <v>#N/A</v>
      </c>
      <c r="AG158" s="678" t="e">
        <f t="shared" si="73"/>
        <v>#N/A</v>
      </c>
      <c r="AH158" s="673">
        <f t="shared" si="83"/>
        <v>0</v>
      </c>
      <c r="AI158" s="674" t="e">
        <f>IF(G158="مدير ولائي",(11000*35%),LOOKUP(D158,'f-travail'!A:A,'f-travail'!I:I))</f>
        <v>#N/A</v>
      </c>
      <c r="AJ158" s="673" t="e">
        <f>IF(G158="مدير ولائي",((W158+X158)*45)*80%,IF(V158&lt;8,0,IF(F158="إليزي",(LOOKUP(D158,'f-travail'!A:A,'f-travail'!O:O))*(AF158+AG158),LOOKUP(D158,'f-travail'!A:A,'f-travail'!P:P)*(AF158+AG158))))</f>
        <v>#N/A</v>
      </c>
      <c r="AK158" s="673" t="e">
        <f>IF(G158="مدير ولائي",0,LOOKUP(D158,'f-travail'!A:A,'f-travail'!Q:Q))</f>
        <v>#N/A</v>
      </c>
      <c r="AL158" s="673" t="e">
        <f>IF(G158="مدير ولائي",0,LOOKUP(D158,'f-travail'!A:A,'f-travail'!R:R)*(AF158+AG158))</f>
        <v>#N/A</v>
      </c>
      <c r="AM158" s="673" t="e">
        <f>IF(G158="مدير ولائي",0,LOOKUP(D158,'f-travail'!A:A,'f-travail'!S:S)*(AF158+AG158))</f>
        <v>#N/A</v>
      </c>
      <c r="AN158" s="673" t="e">
        <f>IF(G158="مدير ولائي",0,LOOKUP(D158,'f-travail'!A:A,'f-travail'!T:T)*(AF158+AG158))</f>
        <v>#N/A</v>
      </c>
      <c r="AO158" s="673" t="e">
        <f>IF(G158="مدير ولائي",0,LOOKUP(D158,'f-travail'!A:A,'f-travail'!U:U)*(AF158+AG158))</f>
        <v>#N/A</v>
      </c>
      <c r="AP158" s="673" t="e">
        <f>IF(G158="مدير ولائي",0,LOOKUP(D158,'f-travail'!A:A,'f-travail'!V:V)*(AF158+AG158))</f>
        <v>#N/A</v>
      </c>
      <c r="AQ158" s="673" t="e">
        <f>IF(G158="مدير ولائي",0,LOOKUP(D158,'f-travail'!A:A,'f-travail'!W:W)*(AF158+AG158))</f>
        <v>#N/A</v>
      </c>
      <c r="AR158" s="673">
        <f t="shared" si="84"/>
        <v>0</v>
      </c>
      <c r="AS158" s="673" t="e">
        <f>IF(G158="مدير ولائي",0,LOOKUP(D158,'f-travail'!A:A,'f-travail'!X:X)*(AF158+AG158))</f>
        <v>#N/A</v>
      </c>
      <c r="AT158" s="673" t="e">
        <f>IF(G158="مدير ولائي",0,LOOKUP(D158,'f-travail'!Y:Y,'f-travail'!R:R)*(AF158+AG158))</f>
        <v>#N/A</v>
      </c>
      <c r="AU158" s="673">
        <f t="shared" si="74"/>
        <v>0</v>
      </c>
      <c r="AV158" s="673">
        <f t="shared" si="75"/>
        <v>0</v>
      </c>
      <c r="AW158" s="673">
        <f t="shared" si="76"/>
        <v>0</v>
      </c>
      <c r="AY158" s="640" t="e">
        <f t="shared" si="85"/>
        <v>#N/A</v>
      </c>
      <c r="AZ158" s="673" t="e">
        <f t="shared" si="77"/>
        <v>#N/A</v>
      </c>
      <c r="BA158" s="639" t="e">
        <f t="shared" si="78"/>
        <v>#N/A</v>
      </c>
      <c r="BG158" s="639">
        <f t="shared" si="86"/>
        <v>0</v>
      </c>
      <c r="BH158" s="683">
        <f t="shared" si="87"/>
        <v>0</v>
      </c>
      <c r="BI158" s="683">
        <f t="shared" si="88"/>
        <v>0</v>
      </c>
      <c r="BJ158" s="641" t="e">
        <f t="shared" si="89"/>
        <v>#N/A</v>
      </c>
      <c r="BK158" s="641" t="e">
        <f t="shared" si="90"/>
        <v>#N/A</v>
      </c>
      <c r="BL158" s="641" t="e">
        <f t="shared" si="91"/>
        <v>#N/A</v>
      </c>
      <c r="BM158" s="684" t="e">
        <f t="shared" si="92"/>
        <v>#N/A</v>
      </c>
      <c r="BO158" s="682" t="e">
        <f>CONCATENATE(Z158," ",LOOKUP(D158,'f-travail'!A:A,'f-travail'!F:F))</f>
        <v>#N/A</v>
      </c>
      <c r="BP158" s="669" t="e">
        <f t="shared" si="79"/>
        <v>#N/A</v>
      </c>
    </row>
    <row r="159" spans="1:68">
      <c r="A159" s="636">
        <f t="shared" si="93"/>
        <v>158</v>
      </c>
      <c r="B159" s="637"/>
      <c r="C159" s="637"/>
      <c r="D159" s="652"/>
      <c r="E159" s="679" t="e">
        <f>LOOKUP(D159,'f-travail'!A:A,'f-travail'!B:B)</f>
        <v>#N/A</v>
      </c>
      <c r="F159" s="650"/>
      <c r="G159" s="650"/>
      <c r="H159" s="653"/>
      <c r="I159" s="653"/>
      <c r="J159" s="654"/>
      <c r="K159" s="650"/>
      <c r="L159" s="650"/>
      <c r="M159" s="650">
        <v>0</v>
      </c>
      <c r="N159" s="654"/>
      <c r="O159" s="654"/>
      <c r="P159" s="654"/>
      <c r="Q159" s="654"/>
      <c r="R159" s="676"/>
      <c r="S159" s="654"/>
      <c r="T159" s="675"/>
      <c r="U159" s="675"/>
      <c r="V159" s="670" t="e">
        <f>LOOKUP(D159,'f-travail'!A:A,'f-travail'!E:E)</f>
        <v>#N/A</v>
      </c>
      <c r="W159" s="670" t="e">
        <f>VLOOKUP(V159,جرقمإستدلالي,'f-travail'!$AD$4+1,FALSE)</f>
        <v>#N/A</v>
      </c>
      <c r="X159" s="671" t="e">
        <f t="shared" si="69"/>
        <v>#N/A</v>
      </c>
      <c r="Y159" s="671">
        <f>IF(G159="مدير ولائي",(HLOOKUP(I159,جدروظعليا,'f-travail'!$AT$3+1,FALSE)-3200),0)</f>
        <v>0</v>
      </c>
      <c r="Z159" s="672" t="str">
        <f t="shared" si="80"/>
        <v/>
      </c>
      <c r="AA159" s="671">
        <f t="shared" si="81"/>
        <v>0</v>
      </c>
      <c r="AB159" s="677" t="b">
        <f t="shared" si="70"/>
        <v>0</v>
      </c>
      <c r="AC159" s="678">
        <f t="shared" si="82"/>
        <v>0</v>
      </c>
      <c r="AD159" s="673"/>
      <c r="AE159" s="678">
        <f t="shared" si="71"/>
        <v>0</v>
      </c>
      <c r="AF159" s="678" t="e">
        <f t="shared" si="72"/>
        <v>#N/A</v>
      </c>
      <c r="AG159" s="678" t="e">
        <f t="shared" si="73"/>
        <v>#N/A</v>
      </c>
      <c r="AH159" s="673">
        <f t="shared" si="83"/>
        <v>0</v>
      </c>
      <c r="AI159" s="674" t="e">
        <f>IF(G159="مدير ولائي",(11000*35%),LOOKUP(D159,'f-travail'!A:A,'f-travail'!I:I))</f>
        <v>#N/A</v>
      </c>
      <c r="AJ159" s="673" t="e">
        <f>IF(G159="مدير ولائي",((W159+X159)*45)*80%,IF(V159&lt;8,0,IF(F159="إليزي",(LOOKUP(D159,'f-travail'!A:A,'f-travail'!O:O))*(AF159+AG159),LOOKUP(D159,'f-travail'!A:A,'f-travail'!P:P)*(AF159+AG159))))</f>
        <v>#N/A</v>
      </c>
      <c r="AK159" s="673" t="e">
        <f>IF(G159="مدير ولائي",0,LOOKUP(D159,'f-travail'!A:A,'f-travail'!Q:Q))</f>
        <v>#N/A</v>
      </c>
      <c r="AL159" s="673" t="e">
        <f>IF(G159="مدير ولائي",0,LOOKUP(D159,'f-travail'!A:A,'f-travail'!R:R)*(AF159+AG159))</f>
        <v>#N/A</v>
      </c>
      <c r="AM159" s="673" t="e">
        <f>IF(G159="مدير ولائي",0,LOOKUP(D159,'f-travail'!A:A,'f-travail'!S:S)*(AF159+AG159))</f>
        <v>#N/A</v>
      </c>
      <c r="AN159" s="673" t="e">
        <f>IF(G159="مدير ولائي",0,LOOKUP(D159,'f-travail'!A:A,'f-travail'!T:T)*(AF159+AG159))</f>
        <v>#N/A</v>
      </c>
      <c r="AO159" s="673" t="e">
        <f>IF(G159="مدير ولائي",0,LOOKUP(D159,'f-travail'!A:A,'f-travail'!U:U)*(AF159+AG159))</f>
        <v>#N/A</v>
      </c>
      <c r="AP159" s="673" t="e">
        <f>IF(G159="مدير ولائي",0,LOOKUP(D159,'f-travail'!A:A,'f-travail'!V:V)*(AF159+AG159))</f>
        <v>#N/A</v>
      </c>
      <c r="AQ159" s="673" t="e">
        <f>IF(G159="مدير ولائي",0,LOOKUP(D159,'f-travail'!A:A,'f-travail'!W:W)*(AF159+AG159))</f>
        <v>#N/A</v>
      </c>
      <c r="AR159" s="673">
        <f t="shared" si="84"/>
        <v>0</v>
      </c>
      <c r="AS159" s="673" t="e">
        <f>IF(G159="مدير ولائي",0,LOOKUP(D159,'f-travail'!A:A,'f-travail'!X:X)*(AF159+AG159))</f>
        <v>#N/A</v>
      </c>
      <c r="AT159" s="673" t="e">
        <f>IF(G159="مدير ولائي",0,LOOKUP(D159,'f-travail'!Y:Y,'f-travail'!R:R)*(AF159+AG159))</f>
        <v>#N/A</v>
      </c>
      <c r="AU159" s="673">
        <f t="shared" si="74"/>
        <v>0</v>
      </c>
      <c r="AV159" s="673">
        <f t="shared" si="75"/>
        <v>0</v>
      </c>
      <c r="AW159" s="673">
        <f t="shared" si="76"/>
        <v>0</v>
      </c>
      <c r="AY159" s="640" t="e">
        <f t="shared" si="85"/>
        <v>#N/A</v>
      </c>
      <c r="AZ159" s="673" t="e">
        <f t="shared" si="77"/>
        <v>#N/A</v>
      </c>
      <c r="BA159" s="639" t="e">
        <f t="shared" si="78"/>
        <v>#N/A</v>
      </c>
      <c r="BG159" s="639">
        <f t="shared" si="86"/>
        <v>0</v>
      </c>
      <c r="BH159" s="683">
        <f t="shared" si="87"/>
        <v>0</v>
      </c>
      <c r="BI159" s="683">
        <f t="shared" si="88"/>
        <v>0</v>
      </c>
      <c r="BJ159" s="641" t="e">
        <f t="shared" si="89"/>
        <v>#N/A</v>
      </c>
      <c r="BK159" s="641" t="e">
        <f t="shared" si="90"/>
        <v>#N/A</v>
      </c>
      <c r="BL159" s="641" t="e">
        <f t="shared" si="91"/>
        <v>#N/A</v>
      </c>
      <c r="BM159" s="684" t="e">
        <f t="shared" si="92"/>
        <v>#N/A</v>
      </c>
      <c r="BO159" s="682" t="e">
        <f>CONCATENATE(Z159," ",LOOKUP(D159,'f-travail'!A:A,'f-travail'!F:F))</f>
        <v>#N/A</v>
      </c>
      <c r="BP159" s="669" t="e">
        <f t="shared" si="79"/>
        <v>#N/A</v>
      </c>
    </row>
    <row r="160" spans="1:68">
      <c r="A160" s="636">
        <f t="shared" si="93"/>
        <v>159</v>
      </c>
      <c r="B160" s="637"/>
      <c r="C160" s="637"/>
      <c r="D160" s="652"/>
      <c r="E160" s="679" t="e">
        <f>LOOKUP(D160,'f-travail'!A:A,'f-travail'!B:B)</f>
        <v>#N/A</v>
      </c>
      <c r="F160" s="650"/>
      <c r="G160" s="650"/>
      <c r="H160" s="653"/>
      <c r="I160" s="653"/>
      <c r="J160" s="654"/>
      <c r="K160" s="650"/>
      <c r="L160" s="650"/>
      <c r="M160" s="650">
        <v>0</v>
      </c>
      <c r="N160" s="654"/>
      <c r="O160" s="654"/>
      <c r="P160" s="654"/>
      <c r="Q160" s="654"/>
      <c r="R160" s="676"/>
      <c r="S160" s="654"/>
      <c r="T160" s="675"/>
      <c r="U160" s="675"/>
      <c r="V160" s="670" t="e">
        <f>LOOKUP(D160,'f-travail'!A:A,'f-travail'!E:E)</f>
        <v>#N/A</v>
      </c>
      <c r="W160" s="670" t="e">
        <f>VLOOKUP(V160,جرقمإستدلالي,'f-travail'!$AD$4+1,FALSE)</f>
        <v>#N/A</v>
      </c>
      <c r="X160" s="671" t="e">
        <f t="shared" si="69"/>
        <v>#N/A</v>
      </c>
      <c r="Y160" s="671">
        <f>IF(G160="مدير ولائي",(HLOOKUP(I160,جدروظعليا,'f-travail'!$AT$3+1,FALSE)-3200),0)</f>
        <v>0</v>
      </c>
      <c r="Z160" s="672" t="str">
        <f t="shared" si="80"/>
        <v/>
      </c>
      <c r="AA160" s="671">
        <f t="shared" si="81"/>
        <v>0</v>
      </c>
      <c r="AB160" s="677" t="b">
        <f t="shared" si="70"/>
        <v>0</v>
      </c>
      <c r="AC160" s="678">
        <f t="shared" si="82"/>
        <v>0</v>
      </c>
      <c r="AD160" s="673"/>
      <c r="AE160" s="678">
        <f t="shared" si="71"/>
        <v>0</v>
      </c>
      <c r="AF160" s="678" t="e">
        <f t="shared" si="72"/>
        <v>#N/A</v>
      </c>
      <c r="AG160" s="678" t="e">
        <f t="shared" si="73"/>
        <v>#N/A</v>
      </c>
      <c r="AH160" s="673">
        <f t="shared" si="83"/>
        <v>0</v>
      </c>
      <c r="AI160" s="674" t="e">
        <f>IF(G160="مدير ولائي",(11000*35%),LOOKUP(D160,'f-travail'!A:A,'f-travail'!I:I))</f>
        <v>#N/A</v>
      </c>
      <c r="AJ160" s="673" t="e">
        <f>IF(G160="مدير ولائي",((W160+X160)*45)*80%,IF(V160&lt;8,0,IF(F160="إليزي",(LOOKUP(D160,'f-travail'!A:A,'f-travail'!O:O))*(AF160+AG160),LOOKUP(D160,'f-travail'!A:A,'f-travail'!P:P)*(AF160+AG160))))</f>
        <v>#N/A</v>
      </c>
      <c r="AK160" s="673" t="e">
        <f>IF(G160="مدير ولائي",0,LOOKUP(D160,'f-travail'!A:A,'f-travail'!Q:Q))</f>
        <v>#N/A</v>
      </c>
      <c r="AL160" s="673" t="e">
        <f>IF(G160="مدير ولائي",0,LOOKUP(D160,'f-travail'!A:A,'f-travail'!R:R)*(AF160+AG160))</f>
        <v>#N/A</v>
      </c>
      <c r="AM160" s="673" t="e">
        <f>IF(G160="مدير ولائي",0,LOOKUP(D160,'f-travail'!A:A,'f-travail'!S:S)*(AF160+AG160))</f>
        <v>#N/A</v>
      </c>
      <c r="AN160" s="673" t="e">
        <f>IF(G160="مدير ولائي",0,LOOKUP(D160,'f-travail'!A:A,'f-travail'!T:T)*(AF160+AG160))</f>
        <v>#N/A</v>
      </c>
      <c r="AO160" s="673" t="e">
        <f>IF(G160="مدير ولائي",0,LOOKUP(D160,'f-travail'!A:A,'f-travail'!U:U)*(AF160+AG160))</f>
        <v>#N/A</v>
      </c>
      <c r="AP160" s="673" t="e">
        <f>IF(G160="مدير ولائي",0,LOOKUP(D160,'f-travail'!A:A,'f-travail'!V:V)*(AF160+AG160))</f>
        <v>#N/A</v>
      </c>
      <c r="AQ160" s="673" t="e">
        <f>IF(G160="مدير ولائي",0,LOOKUP(D160,'f-travail'!A:A,'f-travail'!W:W)*(AF160+AG160))</f>
        <v>#N/A</v>
      </c>
      <c r="AR160" s="673">
        <f t="shared" si="84"/>
        <v>0</v>
      </c>
      <c r="AS160" s="673" t="e">
        <f>IF(G160="مدير ولائي",0,LOOKUP(D160,'f-travail'!A:A,'f-travail'!X:X)*(AF160+AG160))</f>
        <v>#N/A</v>
      </c>
      <c r="AT160" s="673" t="e">
        <f>IF(G160="مدير ولائي",0,LOOKUP(D160,'f-travail'!Y:Y,'f-travail'!R:R)*(AF160+AG160))</f>
        <v>#N/A</v>
      </c>
      <c r="AU160" s="673">
        <f t="shared" si="74"/>
        <v>0</v>
      </c>
      <c r="AV160" s="673">
        <f t="shared" si="75"/>
        <v>0</v>
      </c>
      <c r="AW160" s="673">
        <f t="shared" si="76"/>
        <v>0</v>
      </c>
      <c r="AY160" s="640" t="e">
        <f t="shared" si="85"/>
        <v>#N/A</v>
      </c>
      <c r="AZ160" s="673" t="e">
        <f t="shared" si="77"/>
        <v>#N/A</v>
      </c>
      <c r="BA160" s="639" t="e">
        <f t="shared" si="78"/>
        <v>#N/A</v>
      </c>
      <c r="BG160" s="639">
        <f t="shared" si="86"/>
        <v>0</v>
      </c>
      <c r="BH160" s="683">
        <f t="shared" si="87"/>
        <v>0</v>
      </c>
      <c r="BI160" s="683">
        <f t="shared" si="88"/>
        <v>0</v>
      </c>
      <c r="BJ160" s="641" t="e">
        <f t="shared" si="89"/>
        <v>#N/A</v>
      </c>
      <c r="BK160" s="641" t="e">
        <f t="shared" si="90"/>
        <v>#N/A</v>
      </c>
      <c r="BL160" s="641" t="e">
        <f t="shared" si="91"/>
        <v>#N/A</v>
      </c>
      <c r="BM160" s="684" t="e">
        <f t="shared" si="92"/>
        <v>#N/A</v>
      </c>
      <c r="BO160" s="682" t="e">
        <f>CONCATENATE(Z160," ",LOOKUP(D160,'f-travail'!A:A,'f-travail'!F:F))</f>
        <v>#N/A</v>
      </c>
      <c r="BP160" s="669" t="e">
        <f t="shared" si="79"/>
        <v>#N/A</v>
      </c>
    </row>
    <row r="161" spans="1:68">
      <c r="A161" s="636">
        <f t="shared" si="93"/>
        <v>160</v>
      </c>
      <c r="B161" s="637"/>
      <c r="C161" s="637"/>
      <c r="D161" s="652"/>
      <c r="E161" s="679" t="e">
        <f>LOOKUP(D161,'f-travail'!A:A,'f-travail'!B:B)</f>
        <v>#N/A</v>
      </c>
      <c r="F161" s="650"/>
      <c r="G161" s="650"/>
      <c r="H161" s="653"/>
      <c r="I161" s="653"/>
      <c r="J161" s="654"/>
      <c r="K161" s="650"/>
      <c r="L161" s="650"/>
      <c r="M161" s="650">
        <v>0</v>
      </c>
      <c r="N161" s="654"/>
      <c r="O161" s="654"/>
      <c r="P161" s="654"/>
      <c r="Q161" s="654"/>
      <c r="R161" s="676"/>
      <c r="S161" s="654"/>
      <c r="T161" s="675"/>
      <c r="U161" s="675"/>
      <c r="V161" s="670" t="e">
        <f>LOOKUP(D161,'f-travail'!A:A,'f-travail'!E:E)</f>
        <v>#N/A</v>
      </c>
      <c r="W161" s="670" t="e">
        <f>VLOOKUP(V161,جرقمإستدلالي,'f-travail'!$AD$4+1,FALSE)</f>
        <v>#N/A</v>
      </c>
      <c r="X161" s="671" t="e">
        <f t="shared" si="69"/>
        <v>#N/A</v>
      </c>
      <c r="Y161" s="671">
        <f>IF(G161="مدير ولائي",(HLOOKUP(I161,جدروظعليا,'f-travail'!$AT$3+1,FALSE)-3200),0)</f>
        <v>0</v>
      </c>
      <c r="Z161" s="672" t="str">
        <f t="shared" si="80"/>
        <v/>
      </c>
      <c r="AA161" s="671">
        <f t="shared" si="81"/>
        <v>0</v>
      </c>
      <c r="AB161" s="677" t="b">
        <f t="shared" si="70"/>
        <v>0</v>
      </c>
      <c r="AC161" s="678">
        <f t="shared" si="82"/>
        <v>0</v>
      </c>
      <c r="AD161" s="673"/>
      <c r="AE161" s="678">
        <f t="shared" si="71"/>
        <v>0</v>
      </c>
      <c r="AF161" s="678" t="e">
        <f t="shared" si="72"/>
        <v>#N/A</v>
      </c>
      <c r="AG161" s="678" t="e">
        <f t="shared" si="73"/>
        <v>#N/A</v>
      </c>
      <c r="AH161" s="673">
        <f t="shared" si="83"/>
        <v>0</v>
      </c>
      <c r="AI161" s="674" t="e">
        <f>IF(G161="مدير ولائي",(11000*35%),LOOKUP(D161,'f-travail'!A:A,'f-travail'!I:I))</f>
        <v>#N/A</v>
      </c>
      <c r="AJ161" s="673" t="e">
        <f>IF(G161="مدير ولائي",((W161+X161)*45)*80%,IF(V161&lt;8,0,IF(F161="إليزي",(LOOKUP(D161,'f-travail'!A:A,'f-travail'!O:O))*(AF161+AG161),LOOKUP(D161,'f-travail'!A:A,'f-travail'!P:P)*(AF161+AG161))))</f>
        <v>#N/A</v>
      </c>
      <c r="AK161" s="673" t="e">
        <f>IF(G161="مدير ولائي",0,LOOKUP(D161,'f-travail'!A:A,'f-travail'!Q:Q))</f>
        <v>#N/A</v>
      </c>
      <c r="AL161" s="673" t="e">
        <f>IF(G161="مدير ولائي",0,LOOKUP(D161,'f-travail'!A:A,'f-travail'!R:R)*(AF161+AG161))</f>
        <v>#N/A</v>
      </c>
      <c r="AM161" s="673" t="e">
        <f>IF(G161="مدير ولائي",0,LOOKUP(D161,'f-travail'!A:A,'f-travail'!S:S)*(AF161+AG161))</f>
        <v>#N/A</v>
      </c>
      <c r="AN161" s="673" t="e">
        <f>IF(G161="مدير ولائي",0,LOOKUP(D161,'f-travail'!A:A,'f-travail'!T:T)*(AF161+AG161))</f>
        <v>#N/A</v>
      </c>
      <c r="AO161" s="673" t="e">
        <f>IF(G161="مدير ولائي",0,LOOKUP(D161,'f-travail'!A:A,'f-travail'!U:U)*(AF161+AG161))</f>
        <v>#N/A</v>
      </c>
      <c r="AP161" s="673" t="e">
        <f>IF(G161="مدير ولائي",0,LOOKUP(D161,'f-travail'!A:A,'f-travail'!V:V)*(AF161+AG161))</f>
        <v>#N/A</v>
      </c>
      <c r="AQ161" s="673" t="e">
        <f>IF(G161="مدير ولائي",0,LOOKUP(D161,'f-travail'!A:A,'f-travail'!W:W)*(AF161+AG161))</f>
        <v>#N/A</v>
      </c>
      <c r="AR161" s="673">
        <f t="shared" si="84"/>
        <v>0</v>
      </c>
      <c r="AS161" s="673" t="e">
        <f>IF(G161="مدير ولائي",0,LOOKUP(D161,'f-travail'!A:A,'f-travail'!X:X)*(AF161+AG161))</f>
        <v>#N/A</v>
      </c>
      <c r="AT161" s="673" t="e">
        <f>IF(G161="مدير ولائي",0,LOOKUP(D161,'f-travail'!Y:Y,'f-travail'!R:R)*(AF161+AG161))</f>
        <v>#N/A</v>
      </c>
      <c r="AU161" s="673">
        <f t="shared" si="74"/>
        <v>0</v>
      </c>
      <c r="AV161" s="673">
        <f t="shared" si="75"/>
        <v>0</v>
      </c>
      <c r="AW161" s="673">
        <f t="shared" si="76"/>
        <v>0</v>
      </c>
      <c r="AY161" s="640" t="e">
        <f t="shared" si="85"/>
        <v>#N/A</v>
      </c>
      <c r="AZ161" s="673" t="e">
        <f t="shared" si="77"/>
        <v>#N/A</v>
      </c>
      <c r="BA161" s="639" t="e">
        <f t="shared" si="78"/>
        <v>#N/A</v>
      </c>
      <c r="BG161" s="639">
        <f t="shared" si="86"/>
        <v>0</v>
      </c>
      <c r="BH161" s="683">
        <f t="shared" si="87"/>
        <v>0</v>
      </c>
      <c r="BI161" s="683">
        <f t="shared" si="88"/>
        <v>0</v>
      </c>
      <c r="BJ161" s="641" t="e">
        <f t="shared" si="89"/>
        <v>#N/A</v>
      </c>
      <c r="BK161" s="641" t="e">
        <f t="shared" si="90"/>
        <v>#N/A</v>
      </c>
      <c r="BL161" s="641" t="e">
        <f t="shared" si="91"/>
        <v>#N/A</v>
      </c>
      <c r="BM161" s="684" t="e">
        <f t="shared" si="92"/>
        <v>#N/A</v>
      </c>
      <c r="BO161" s="682" t="e">
        <f>CONCATENATE(Z161," ",LOOKUP(D161,'f-travail'!A:A,'f-travail'!F:F))</f>
        <v>#N/A</v>
      </c>
      <c r="BP161" s="669" t="e">
        <f t="shared" si="79"/>
        <v>#N/A</v>
      </c>
    </row>
    <row r="162" spans="1:68">
      <c r="A162" s="636">
        <f t="shared" si="93"/>
        <v>161</v>
      </c>
      <c r="B162" s="637"/>
      <c r="C162" s="637"/>
      <c r="D162" s="652"/>
      <c r="E162" s="679" t="e">
        <f>LOOKUP(D162,'f-travail'!A:A,'f-travail'!B:B)</f>
        <v>#N/A</v>
      </c>
      <c r="F162" s="650"/>
      <c r="G162" s="650"/>
      <c r="H162" s="653"/>
      <c r="I162" s="653"/>
      <c r="J162" s="654"/>
      <c r="K162" s="650"/>
      <c r="L162" s="650"/>
      <c r="M162" s="650">
        <v>0</v>
      </c>
      <c r="N162" s="654"/>
      <c r="O162" s="654"/>
      <c r="P162" s="654"/>
      <c r="Q162" s="654"/>
      <c r="R162" s="676"/>
      <c r="S162" s="654"/>
      <c r="T162" s="675"/>
      <c r="U162" s="675"/>
      <c r="V162" s="670" t="e">
        <f>LOOKUP(D162,'f-travail'!A:A,'f-travail'!E:E)</f>
        <v>#N/A</v>
      </c>
      <c r="W162" s="670" t="e">
        <f>VLOOKUP(V162,جرقمإستدلالي,'f-travail'!$AD$4+1,FALSE)</f>
        <v>#N/A</v>
      </c>
      <c r="X162" s="671" t="e">
        <f t="shared" si="69"/>
        <v>#N/A</v>
      </c>
      <c r="Y162" s="671">
        <f>IF(G162="مدير ولائي",(HLOOKUP(I162,جدروظعليا,'f-travail'!$AT$3+1,FALSE)-3200),0)</f>
        <v>0</v>
      </c>
      <c r="Z162" s="672" t="str">
        <f t="shared" si="80"/>
        <v/>
      </c>
      <c r="AA162" s="671">
        <f t="shared" si="81"/>
        <v>0</v>
      </c>
      <c r="AB162" s="677" t="b">
        <f t="shared" si="70"/>
        <v>0</v>
      </c>
      <c r="AC162" s="678">
        <f t="shared" si="82"/>
        <v>0</v>
      </c>
      <c r="AD162" s="673"/>
      <c r="AE162" s="678">
        <f t="shared" si="71"/>
        <v>0</v>
      </c>
      <c r="AF162" s="678" t="e">
        <f t="shared" si="72"/>
        <v>#N/A</v>
      </c>
      <c r="AG162" s="678" t="e">
        <f t="shared" si="73"/>
        <v>#N/A</v>
      </c>
      <c r="AH162" s="673">
        <f t="shared" si="83"/>
        <v>0</v>
      </c>
      <c r="AI162" s="674" t="e">
        <f>IF(G162="مدير ولائي",(11000*35%),LOOKUP(D162,'f-travail'!A:A,'f-travail'!I:I))</f>
        <v>#N/A</v>
      </c>
      <c r="AJ162" s="673" t="e">
        <f>IF(G162="مدير ولائي",((W162+X162)*45)*80%,IF(V162&lt;8,0,IF(F162="إليزي",(LOOKUP(D162,'f-travail'!A:A,'f-travail'!O:O))*(AF162+AG162),LOOKUP(D162,'f-travail'!A:A,'f-travail'!P:P)*(AF162+AG162))))</f>
        <v>#N/A</v>
      </c>
      <c r="AK162" s="673" t="e">
        <f>IF(G162="مدير ولائي",0,LOOKUP(D162,'f-travail'!A:A,'f-travail'!Q:Q))</f>
        <v>#N/A</v>
      </c>
      <c r="AL162" s="673" t="e">
        <f>IF(G162="مدير ولائي",0,LOOKUP(D162,'f-travail'!A:A,'f-travail'!R:R)*(AF162+AG162))</f>
        <v>#N/A</v>
      </c>
      <c r="AM162" s="673" t="e">
        <f>IF(G162="مدير ولائي",0,LOOKUP(D162,'f-travail'!A:A,'f-travail'!S:S)*(AF162+AG162))</f>
        <v>#N/A</v>
      </c>
      <c r="AN162" s="673" t="e">
        <f>IF(G162="مدير ولائي",0,LOOKUP(D162,'f-travail'!A:A,'f-travail'!T:T)*(AF162+AG162))</f>
        <v>#N/A</v>
      </c>
      <c r="AO162" s="673" t="e">
        <f>IF(G162="مدير ولائي",0,LOOKUP(D162,'f-travail'!A:A,'f-travail'!U:U)*(AF162+AG162))</f>
        <v>#N/A</v>
      </c>
      <c r="AP162" s="673" t="e">
        <f>IF(G162="مدير ولائي",0,LOOKUP(D162,'f-travail'!A:A,'f-travail'!V:V)*(AF162+AG162))</f>
        <v>#N/A</v>
      </c>
      <c r="AQ162" s="673" t="e">
        <f>IF(G162="مدير ولائي",0,LOOKUP(D162,'f-travail'!A:A,'f-travail'!W:W)*(AF162+AG162))</f>
        <v>#N/A</v>
      </c>
      <c r="AR162" s="673">
        <f t="shared" si="84"/>
        <v>0</v>
      </c>
      <c r="AS162" s="673" t="e">
        <f>IF(G162="مدير ولائي",0,LOOKUP(D162,'f-travail'!A:A,'f-travail'!X:X)*(AF162+AG162))</f>
        <v>#N/A</v>
      </c>
      <c r="AT162" s="673" t="e">
        <f>IF(G162="مدير ولائي",0,LOOKUP(D162,'f-travail'!Y:Y,'f-travail'!R:R)*(AF162+AG162))</f>
        <v>#N/A</v>
      </c>
      <c r="AU162" s="673">
        <f t="shared" si="74"/>
        <v>0</v>
      </c>
      <c r="AV162" s="673">
        <f t="shared" si="75"/>
        <v>0</v>
      </c>
      <c r="AW162" s="673">
        <f t="shared" si="76"/>
        <v>0</v>
      </c>
      <c r="AY162" s="640" t="e">
        <f t="shared" si="85"/>
        <v>#N/A</v>
      </c>
      <c r="AZ162" s="673" t="e">
        <f t="shared" si="77"/>
        <v>#N/A</v>
      </c>
      <c r="BA162" s="639" t="e">
        <f t="shared" si="78"/>
        <v>#N/A</v>
      </c>
      <c r="BG162" s="639">
        <f t="shared" si="86"/>
        <v>0</v>
      </c>
      <c r="BH162" s="683">
        <f t="shared" si="87"/>
        <v>0</v>
      </c>
      <c r="BI162" s="683">
        <f t="shared" si="88"/>
        <v>0</v>
      </c>
      <c r="BJ162" s="641" t="e">
        <f t="shared" si="89"/>
        <v>#N/A</v>
      </c>
      <c r="BK162" s="641" t="e">
        <f t="shared" si="90"/>
        <v>#N/A</v>
      </c>
      <c r="BL162" s="641" t="e">
        <f t="shared" si="91"/>
        <v>#N/A</v>
      </c>
      <c r="BM162" s="684" t="e">
        <f t="shared" si="92"/>
        <v>#N/A</v>
      </c>
      <c r="BO162" s="682" t="e">
        <f>CONCATENATE(Z162," ",LOOKUP(D162,'f-travail'!A:A,'f-travail'!F:F))</f>
        <v>#N/A</v>
      </c>
      <c r="BP162" s="669" t="e">
        <f t="shared" si="79"/>
        <v>#N/A</v>
      </c>
    </row>
    <row r="163" spans="1:68">
      <c r="A163" s="636">
        <f t="shared" si="93"/>
        <v>162</v>
      </c>
      <c r="B163" s="637"/>
      <c r="C163" s="637"/>
      <c r="D163" s="652"/>
      <c r="E163" s="679" t="e">
        <f>LOOKUP(D163,'f-travail'!A:A,'f-travail'!B:B)</f>
        <v>#N/A</v>
      </c>
      <c r="F163" s="650"/>
      <c r="G163" s="650"/>
      <c r="H163" s="653"/>
      <c r="I163" s="653"/>
      <c r="J163" s="654"/>
      <c r="K163" s="650"/>
      <c r="L163" s="650"/>
      <c r="M163" s="650">
        <v>0</v>
      </c>
      <c r="N163" s="654"/>
      <c r="O163" s="654"/>
      <c r="P163" s="654"/>
      <c r="Q163" s="654"/>
      <c r="R163" s="676"/>
      <c r="S163" s="654"/>
      <c r="T163" s="675"/>
      <c r="U163" s="675"/>
      <c r="V163" s="670" t="e">
        <f>LOOKUP(D163,'f-travail'!A:A,'f-travail'!E:E)</f>
        <v>#N/A</v>
      </c>
      <c r="W163" s="670" t="e">
        <f>VLOOKUP(V163,جرقمإستدلالي,'f-travail'!$AD$4+1,FALSE)</f>
        <v>#N/A</v>
      </c>
      <c r="X163" s="671" t="e">
        <f t="shared" si="69"/>
        <v>#N/A</v>
      </c>
      <c r="Y163" s="671">
        <f>IF(G163="مدير ولائي",(HLOOKUP(I163,جدروظعليا,'f-travail'!$AT$3+1,FALSE)-3200),0)</f>
        <v>0</v>
      </c>
      <c r="Z163" s="672" t="str">
        <f t="shared" si="80"/>
        <v/>
      </c>
      <c r="AA163" s="671">
        <f t="shared" si="81"/>
        <v>0</v>
      </c>
      <c r="AB163" s="677" t="b">
        <f t="shared" si="70"/>
        <v>0</v>
      </c>
      <c r="AC163" s="678">
        <f t="shared" si="82"/>
        <v>0</v>
      </c>
      <c r="AD163" s="673"/>
      <c r="AE163" s="678">
        <f t="shared" si="71"/>
        <v>0</v>
      </c>
      <c r="AF163" s="678" t="e">
        <f t="shared" si="72"/>
        <v>#N/A</v>
      </c>
      <c r="AG163" s="678" t="e">
        <f t="shared" si="73"/>
        <v>#N/A</v>
      </c>
      <c r="AH163" s="673">
        <f t="shared" si="83"/>
        <v>0</v>
      </c>
      <c r="AI163" s="674" t="e">
        <f>IF(G163="مدير ولائي",(11000*35%),LOOKUP(D163,'f-travail'!A:A,'f-travail'!I:I))</f>
        <v>#N/A</v>
      </c>
      <c r="AJ163" s="673" t="e">
        <f>IF(G163="مدير ولائي",((W163+X163)*45)*80%,IF(V163&lt;8,0,IF(F163="إليزي",(LOOKUP(D163,'f-travail'!A:A,'f-travail'!O:O))*(AF163+AG163),LOOKUP(D163,'f-travail'!A:A,'f-travail'!P:P)*(AF163+AG163))))</f>
        <v>#N/A</v>
      </c>
      <c r="AK163" s="673" t="e">
        <f>IF(G163="مدير ولائي",0,LOOKUP(D163,'f-travail'!A:A,'f-travail'!Q:Q))</f>
        <v>#N/A</v>
      </c>
      <c r="AL163" s="673" t="e">
        <f>IF(G163="مدير ولائي",0,LOOKUP(D163,'f-travail'!A:A,'f-travail'!R:R)*(AF163+AG163))</f>
        <v>#N/A</v>
      </c>
      <c r="AM163" s="673" t="e">
        <f>IF(G163="مدير ولائي",0,LOOKUP(D163,'f-travail'!A:A,'f-travail'!S:S)*(AF163+AG163))</f>
        <v>#N/A</v>
      </c>
      <c r="AN163" s="673" t="e">
        <f>IF(G163="مدير ولائي",0,LOOKUP(D163,'f-travail'!A:A,'f-travail'!T:T)*(AF163+AG163))</f>
        <v>#N/A</v>
      </c>
      <c r="AO163" s="673" t="e">
        <f>IF(G163="مدير ولائي",0,LOOKUP(D163,'f-travail'!A:A,'f-travail'!U:U)*(AF163+AG163))</f>
        <v>#N/A</v>
      </c>
      <c r="AP163" s="673" t="e">
        <f>IF(G163="مدير ولائي",0,LOOKUP(D163,'f-travail'!A:A,'f-travail'!V:V)*(AF163+AG163))</f>
        <v>#N/A</v>
      </c>
      <c r="AQ163" s="673" t="e">
        <f>IF(G163="مدير ولائي",0,LOOKUP(D163,'f-travail'!A:A,'f-travail'!W:W)*(AF163+AG163))</f>
        <v>#N/A</v>
      </c>
      <c r="AR163" s="673">
        <f t="shared" si="84"/>
        <v>0</v>
      </c>
      <c r="AS163" s="673" t="e">
        <f>IF(G163="مدير ولائي",0,LOOKUP(D163,'f-travail'!A:A,'f-travail'!X:X)*(AF163+AG163))</f>
        <v>#N/A</v>
      </c>
      <c r="AT163" s="673" t="e">
        <f>IF(G163="مدير ولائي",0,LOOKUP(D163,'f-travail'!Y:Y,'f-travail'!R:R)*(AF163+AG163))</f>
        <v>#N/A</v>
      </c>
      <c r="AU163" s="673">
        <f t="shared" si="74"/>
        <v>0</v>
      </c>
      <c r="AV163" s="673">
        <f t="shared" si="75"/>
        <v>0</v>
      </c>
      <c r="AW163" s="673">
        <f t="shared" si="76"/>
        <v>0</v>
      </c>
      <c r="AY163" s="640" t="e">
        <f t="shared" si="85"/>
        <v>#N/A</v>
      </c>
      <c r="AZ163" s="673" t="e">
        <f t="shared" si="77"/>
        <v>#N/A</v>
      </c>
      <c r="BA163" s="639" t="e">
        <f t="shared" si="78"/>
        <v>#N/A</v>
      </c>
      <c r="BG163" s="639">
        <f t="shared" si="86"/>
        <v>0</v>
      </c>
      <c r="BH163" s="683">
        <f t="shared" si="87"/>
        <v>0</v>
      </c>
      <c r="BI163" s="683">
        <f t="shared" si="88"/>
        <v>0</v>
      </c>
      <c r="BJ163" s="641" t="e">
        <f t="shared" si="89"/>
        <v>#N/A</v>
      </c>
      <c r="BK163" s="641" t="e">
        <f t="shared" si="90"/>
        <v>#N/A</v>
      </c>
      <c r="BL163" s="641" t="e">
        <f t="shared" si="91"/>
        <v>#N/A</v>
      </c>
      <c r="BM163" s="684" t="e">
        <f t="shared" si="92"/>
        <v>#N/A</v>
      </c>
      <c r="BO163" s="682" t="e">
        <f>CONCATENATE(Z163," ",LOOKUP(D163,'f-travail'!A:A,'f-travail'!F:F))</f>
        <v>#N/A</v>
      </c>
      <c r="BP163" s="669" t="e">
        <f t="shared" si="79"/>
        <v>#N/A</v>
      </c>
    </row>
    <row r="164" spans="1:68">
      <c r="A164" s="636">
        <f t="shared" si="93"/>
        <v>163</v>
      </c>
      <c r="B164" s="637"/>
      <c r="C164" s="637"/>
      <c r="D164" s="652"/>
      <c r="E164" s="679" t="e">
        <f>LOOKUP(D164,'f-travail'!A:A,'f-travail'!B:B)</f>
        <v>#N/A</v>
      </c>
      <c r="F164" s="650"/>
      <c r="G164" s="650"/>
      <c r="H164" s="653"/>
      <c r="I164" s="653"/>
      <c r="J164" s="654"/>
      <c r="K164" s="650"/>
      <c r="L164" s="650"/>
      <c r="M164" s="650">
        <v>0</v>
      </c>
      <c r="N164" s="654"/>
      <c r="O164" s="654"/>
      <c r="P164" s="654"/>
      <c r="Q164" s="654"/>
      <c r="R164" s="676"/>
      <c r="S164" s="654"/>
      <c r="T164" s="675"/>
      <c r="U164" s="675"/>
      <c r="V164" s="670" t="e">
        <f>LOOKUP(D164,'f-travail'!A:A,'f-travail'!E:E)</f>
        <v>#N/A</v>
      </c>
      <c r="W164" s="670" t="e">
        <f>VLOOKUP(V164,جرقمإستدلالي,'f-travail'!$AD$4+1,FALSE)</f>
        <v>#N/A</v>
      </c>
      <c r="X164" s="671" t="e">
        <f t="shared" si="69"/>
        <v>#N/A</v>
      </c>
      <c r="Y164" s="671">
        <f>IF(G164="مدير ولائي",(HLOOKUP(I164,جدروظعليا,'f-travail'!$AT$3+1,FALSE)-3200),0)</f>
        <v>0</v>
      </c>
      <c r="Z164" s="672" t="str">
        <f t="shared" si="80"/>
        <v/>
      </c>
      <c r="AA164" s="671">
        <f t="shared" si="81"/>
        <v>0</v>
      </c>
      <c r="AB164" s="677" t="b">
        <f t="shared" si="70"/>
        <v>0</v>
      </c>
      <c r="AC164" s="678">
        <f t="shared" si="82"/>
        <v>0</v>
      </c>
      <c r="AD164" s="673"/>
      <c r="AE164" s="678">
        <f t="shared" si="71"/>
        <v>0</v>
      </c>
      <c r="AF164" s="678" t="e">
        <f t="shared" si="72"/>
        <v>#N/A</v>
      </c>
      <c r="AG164" s="678" t="e">
        <f t="shared" si="73"/>
        <v>#N/A</v>
      </c>
      <c r="AH164" s="673">
        <f t="shared" si="83"/>
        <v>0</v>
      </c>
      <c r="AI164" s="674" t="e">
        <f>IF(G164="مدير ولائي",(11000*35%),LOOKUP(D164,'f-travail'!A:A,'f-travail'!I:I))</f>
        <v>#N/A</v>
      </c>
      <c r="AJ164" s="673" t="e">
        <f>IF(G164="مدير ولائي",((W164+X164)*45)*80%,IF(V164&lt;8,0,IF(F164="إليزي",(LOOKUP(D164,'f-travail'!A:A,'f-travail'!O:O))*(AF164+AG164),LOOKUP(D164,'f-travail'!A:A,'f-travail'!P:P)*(AF164+AG164))))</f>
        <v>#N/A</v>
      </c>
      <c r="AK164" s="673" t="e">
        <f>IF(G164="مدير ولائي",0,LOOKUP(D164,'f-travail'!A:A,'f-travail'!Q:Q))</f>
        <v>#N/A</v>
      </c>
      <c r="AL164" s="673" t="e">
        <f>IF(G164="مدير ولائي",0,LOOKUP(D164,'f-travail'!A:A,'f-travail'!R:R)*(AF164+AG164))</f>
        <v>#N/A</v>
      </c>
      <c r="AM164" s="673" t="e">
        <f>IF(G164="مدير ولائي",0,LOOKUP(D164,'f-travail'!A:A,'f-travail'!S:S)*(AF164+AG164))</f>
        <v>#N/A</v>
      </c>
      <c r="AN164" s="673" t="e">
        <f>IF(G164="مدير ولائي",0,LOOKUP(D164,'f-travail'!A:A,'f-travail'!T:T)*(AF164+AG164))</f>
        <v>#N/A</v>
      </c>
      <c r="AO164" s="673" t="e">
        <f>IF(G164="مدير ولائي",0,LOOKUP(D164,'f-travail'!A:A,'f-travail'!U:U)*(AF164+AG164))</f>
        <v>#N/A</v>
      </c>
      <c r="AP164" s="673" t="e">
        <f>IF(G164="مدير ولائي",0,LOOKUP(D164,'f-travail'!A:A,'f-travail'!V:V)*(AF164+AG164))</f>
        <v>#N/A</v>
      </c>
      <c r="AQ164" s="673" t="e">
        <f>IF(G164="مدير ولائي",0,LOOKUP(D164,'f-travail'!A:A,'f-travail'!W:W)*(AF164+AG164))</f>
        <v>#N/A</v>
      </c>
      <c r="AR164" s="673">
        <f t="shared" si="84"/>
        <v>0</v>
      </c>
      <c r="AS164" s="673" t="e">
        <f>IF(G164="مدير ولائي",0,LOOKUP(D164,'f-travail'!A:A,'f-travail'!X:X)*(AF164+AG164))</f>
        <v>#N/A</v>
      </c>
      <c r="AT164" s="673" t="e">
        <f>IF(G164="مدير ولائي",0,LOOKUP(D164,'f-travail'!Y:Y,'f-travail'!R:R)*(AF164+AG164))</f>
        <v>#N/A</v>
      </c>
      <c r="AU164" s="673">
        <f t="shared" si="74"/>
        <v>0</v>
      </c>
      <c r="AV164" s="673">
        <f t="shared" si="75"/>
        <v>0</v>
      </c>
      <c r="AW164" s="673">
        <f t="shared" si="76"/>
        <v>0</v>
      </c>
      <c r="AY164" s="640" t="e">
        <f t="shared" si="85"/>
        <v>#N/A</v>
      </c>
      <c r="AZ164" s="673" t="e">
        <f t="shared" si="77"/>
        <v>#N/A</v>
      </c>
      <c r="BA164" s="639" t="e">
        <f t="shared" si="78"/>
        <v>#N/A</v>
      </c>
      <c r="BG164" s="639">
        <f t="shared" si="86"/>
        <v>0</v>
      </c>
      <c r="BH164" s="683">
        <f t="shared" si="87"/>
        <v>0</v>
      </c>
      <c r="BI164" s="683">
        <f t="shared" si="88"/>
        <v>0</v>
      </c>
      <c r="BJ164" s="641" t="e">
        <f t="shared" si="89"/>
        <v>#N/A</v>
      </c>
      <c r="BK164" s="641" t="e">
        <f t="shared" si="90"/>
        <v>#N/A</v>
      </c>
      <c r="BL164" s="641" t="e">
        <f t="shared" si="91"/>
        <v>#N/A</v>
      </c>
      <c r="BM164" s="684" t="e">
        <f t="shared" si="92"/>
        <v>#N/A</v>
      </c>
      <c r="BO164" s="682" t="e">
        <f>CONCATENATE(Z164," ",LOOKUP(D164,'f-travail'!A:A,'f-travail'!F:F))</f>
        <v>#N/A</v>
      </c>
      <c r="BP164" s="669" t="e">
        <f t="shared" si="79"/>
        <v>#N/A</v>
      </c>
    </row>
    <row r="165" spans="1:68">
      <c r="A165" s="636">
        <f t="shared" si="93"/>
        <v>164</v>
      </c>
      <c r="B165" s="637"/>
      <c r="C165" s="637"/>
      <c r="D165" s="652"/>
      <c r="E165" s="679" t="e">
        <f>LOOKUP(D165,'f-travail'!A:A,'f-travail'!B:B)</f>
        <v>#N/A</v>
      </c>
      <c r="F165" s="650"/>
      <c r="G165" s="650"/>
      <c r="H165" s="653"/>
      <c r="I165" s="653"/>
      <c r="J165" s="654"/>
      <c r="K165" s="650"/>
      <c r="L165" s="650"/>
      <c r="M165" s="650">
        <v>0</v>
      </c>
      <c r="N165" s="654"/>
      <c r="O165" s="654"/>
      <c r="P165" s="654"/>
      <c r="Q165" s="654"/>
      <c r="R165" s="676"/>
      <c r="S165" s="654"/>
      <c r="T165" s="675"/>
      <c r="U165" s="675"/>
      <c r="V165" s="670" t="e">
        <f>LOOKUP(D165,'f-travail'!A:A,'f-travail'!E:E)</f>
        <v>#N/A</v>
      </c>
      <c r="W165" s="670" t="e">
        <f>VLOOKUP(V165,جرقمإستدلالي,'f-travail'!$AD$4+1,FALSE)</f>
        <v>#N/A</v>
      </c>
      <c r="X165" s="671" t="e">
        <f t="shared" si="69"/>
        <v>#N/A</v>
      </c>
      <c r="Y165" s="671">
        <f>IF(G165="مدير ولائي",(HLOOKUP(I165,جدروظعليا,'f-travail'!$AT$3+1,FALSE)-3200),0)</f>
        <v>0</v>
      </c>
      <c r="Z165" s="672" t="str">
        <f t="shared" si="80"/>
        <v/>
      </c>
      <c r="AA165" s="671">
        <f t="shared" si="81"/>
        <v>0</v>
      </c>
      <c r="AB165" s="677" t="b">
        <f t="shared" si="70"/>
        <v>0</v>
      </c>
      <c r="AC165" s="678">
        <f t="shared" si="82"/>
        <v>0</v>
      </c>
      <c r="AD165" s="673"/>
      <c r="AE165" s="678">
        <f t="shared" si="71"/>
        <v>0</v>
      </c>
      <c r="AF165" s="678" t="e">
        <f t="shared" si="72"/>
        <v>#N/A</v>
      </c>
      <c r="AG165" s="678" t="e">
        <f t="shared" si="73"/>
        <v>#N/A</v>
      </c>
      <c r="AH165" s="673">
        <f t="shared" si="83"/>
        <v>0</v>
      </c>
      <c r="AI165" s="674" t="e">
        <f>IF(G165="مدير ولائي",(11000*35%),LOOKUP(D165,'f-travail'!A:A,'f-travail'!I:I))</f>
        <v>#N/A</v>
      </c>
      <c r="AJ165" s="673" t="e">
        <f>IF(G165="مدير ولائي",((W165+X165)*45)*80%,IF(V165&lt;8,0,IF(F165="إليزي",(LOOKUP(D165,'f-travail'!A:A,'f-travail'!O:O))*(AF165+AG165),LOOKUP(D165,'f-travail'!A:A,'f-travail'!P:P)*(AF165+AG165))))</f>
        <v>#N/A</v>
      </c>
      <c r="AK165" s="673" t="e">
        <f>IF(G165="مدير ولائي",0,LOOKUP(D165,'f-travail'!A:A,'f-travail'!Q:Q))</f>
        <v>#N/A</v>
      </c>
      <c r="AL165" s="673" t="e">
        <f>IF(G165="مدير ولائي",0,LOOKUP(D165,'f-travail'!A:A,'f-travail'!R:R)*(AF165+AG165))</f>
        <v>#N/A</v>
      </c>
      <c r="AM165" s="673" t="e">
        <f>IF(G165="مدير ولائي",0,LOOKUP(D165,'f-travail'!A:A,'f-travail'!S:S)*(AF165+AG165))</f>
        <v>#N/A</v>
      </c>
      <c r="AN165" s="673" t="e">
        <f>IF(G165="مدير ولائي",0,LOOKUP(D165,'f-travail'!A:A,'f-travail'!T:T)*(AF165+AG165))</f>
        <v>#N/A</v>
      </c>
      <c r="AO165" s="673" t="e">
        <f>IF(G165="مدير ولائي",0,LOOKUP(D165,'f-travail'!A:A,'f-travail'!U:U)*(AF165+AG165))</f>
        <v>#N/A</v>
      </c>
      <c r="AP165" s="673" t="e">
        <f>IF(G165="مدير ولائي",0,LOOKUP(D165,'f-travail'!A:A,'f-travail'!V:V)*(AF165+AG165))</f>
        <v>#N/A</v>
      </c>
      <c r="AQ165" s="673" t="e">
        <f>IF(G165="مدير ولائي",0,LOOKUP(D165,'f-travail'!A:A,'f-travail'!W:W)*(AF165+AG165))</f>
        <v>#N/A</v>
      </c>
      <c r="AR165" s="673">
        <f t="shared" si="84"/>
        <v>0</v>
      </c>
      <c r="AS165" s="673" t="e">
        <f>IF(G165="مدير ولائي",0,LOOKUP(D165,'f-travail'!A:A,'f-travail'!X:X)*(AF165+AG165))</f>
        <v>#N/A</v>
      </c>
      <c r="AT165" s="673" t="e">
        <f>IF(G165="مدير ولائي",0,LOOKUP(D165,'f-travail'!Y:Y,'f-travail'!R:R)*(AF165+AG165))</f>
        <v>#N/A</v>
      </c>
      <c r="AU165" s="673">
        <f t="shared" si="74"/>
        <v>0</v>
      </c>
      <c r="AV165" s="673">
        <f t="shared" si="75"/>
        <v>0</v>
      </c>
      <c r="AW165" s="673">
        <f t="shared" si="76"/>
        <v>0</v>
      </c>
      <c r="AY165" s="640" t="e">
        <f t="shared" si="85"/>
        <v>#N/A</v>
      </c>
      <c r="AZ165" s="673" t="e">
        <f t="shared" si="77"/>
        <v>#N/A</v>
      </c>
      <c r="BA165" s="639" t="e">
        <f t="shared" si="78"/>
        <v>#N/A</v>
      </c>
      <c r="BG165" s="639">
        <f t="shared" si="86"/>
        <v>0</v>
      </c>
      <c r="BH165" s="683">
        <f t="shared" si="87"/>
        <v>0</v>
      </c>
      <c r="BI165" s="683">
        <f t="shared" si="88"/>
        <v>0</v>
      </c>
      <c r="BJ165" s="641" t="e">
        <f t="shared" si="89"/>
        <v>#N/A</v>
      </c>
      <c r="BK165" s="641" t="e">
        <f t="shared" si="90"/>
        <v>#N/A</v>
      </c>
      <c r="BL165" s="641" t="e">
        <f t="shared" si="91"/>
        <v>#N/A</v>
      </c>
      <c r="BM165" s="684" t="e">
        <f t="shared" si="92"/>
        <v>#N/A</v>
      </c>
      <c r="BO165" s="682" t="e">
        <f>CONCATENATE(Z165," ",LOOKUP(D165,'f-travail'!A:A,'f-travail'!F:F))</f>
        <v>#N/A</v>
      </c>
      <c r="BP165" s="669" t="e">
        <f t="shared" si="79"/>
        <v>#N/A</v>
      </c>
    </row>
    <row r="166" spans="1:68">
      <c r="A166" s="636">
        <f t="shared" si="93"/>
        <v>165</v>
      </c>
      <c r="B166" s="637"/>
      <c r="C166" s="637"/>
      <c r="D166" s="652"/>
      <c r="E166" s="679" t="e">
        <f>LOOKUP(D166,'f-travail'!A:A,'f-travail'!B:B)</f>
        <v>#N/A</v>
      </c>
      <c r="F166" s="650"/>
      <c r="G166" s="650"/>
      <c r="H166" s="653"/>
      <c r="I166" s="653"/>
      <c r="J166" s="654"/>
      <c r="K166" s="650"/>
      <c r="L166" s="650"/>
      <c r="M166" s="650">
        <v>0</v>
      </c>
      <c r="N166" s="654"/>
      <c r="O166" s="654"/>
      <c r="P166" s="654"/>
      <c r="Q166" s="654"/>
      <c r="R166" s="676"/>
      <c r="S166" s="654"/>
      <c r="T166" s="675"/>
      <c r="U166" s="675"/>
      <c r="V166" s="670" t="e">
        <f>LOOKUP(D166,'f-travail'!A:A,'f-travail'!E:E)</f>
        <v>#N/A</v>
      </c>
      <c r="W166" s="670" t="e">
        <f>VLOOKUP(V166,جرقمإستدلالي,'f-travail'!$AD$4+1,FALSE)</f>
        <v>#N/A</v>
      </c>
      <c r="X166" s="671" t="e">
        <f t="shared" si="69"/>
        <v>#N/A</v>
      </c>
      <c r="Y166" s="671">
        <f>IF(G166="مدير ولائي",(HLOOKUP(I166,جدروظعليا,'f-travail'!$AT$3+1,FALSE)-3200),0)</f>
        <v>0</v>
      </c>
      <c r="Z166" s="672" t="str">
        <f t="shared" si="80"/>
        <v/>
      </c>
      <c r="AA166" s="671">
        <f t="shared" si="81"/>
        <v>0</v>
      </c>
      <c r="AB166" s="677" t="b">
        <f t="shared" si="70"/>
        <v>0</v>
      </c>
      <c r="AC166" s="678">
        <f t="shared" si="82"/>
        <v>0</v>
      </c>
      <c r="AD166" s="673"/>
      <c r="AE166" s="678">
        <f t="shared" si="71"/>
        <v>0</v>
      </c>
      <c r="AF166" s="678" t="e">
        <f t="shared" si="72"/>
        <v>#N/A</v>
      </c>
      <c r="AG166" s="678" t="e">
        <f t="shared" si="73"/>
        <v>#N/A</v>
      </c>
      <c r="AH166" s="673">
        <f t="shared" si="83"/>
        <v>0</v>
      </c>
      <c r="AI166" s="674" t="e">
        <f>IF(G166="مدير ولائي",(11000*35%),LOOKUP(D166,'f-travail'!A:A,'f-travail'!I:I))</f>
        <v>#N/A</v>
      </c>
      <c r="AJ166" s="673" t="e">
        <f>IF(G166="مدير ولائي",((W166+X166)*45)*80%,IF(V166&lt;8,0,IF(F166="إليزي",(LOOKUP(D166,'f-travail'!A:A,'f-travail'!O:O))*(AF166+AG166),LOOKUP(D166,'f-travail'!A:A,'f-travail'!P:P)*(AF166+AG166))))</f>
        <v>#N/A</v>
      </c>
      <c r="AK166" s="673" t="e">
        <f>IF(G166="مدير ولائي",0,LOOKUP(D166,'f-travail'!A:A,'f-travail'!Q:Q))</f>
        <v>#N/A</v>
      </c>
      <c r="AL166" s="673" t="e">
        <f>IF(G166="مدير ولائي",0,LOOKUP(D166,'f-travail'!A:A,'f-travail'!R:R)*(AF166+AG166))</f>
        <v>#N/A</v>
      </c>
      <c r="AM166" s="673" t="e">
        <f>IF(G166="مدير ولائي",0,LOOKUP(D166,'f-travail'!A:A,'f-travail'!S:S)*(AF166+AG166))</f>
        <v>#N/A</v>
      </c>
      <c r="AN166" s="673" t="e">
        <f>IF(G166="مدير ولائي",0,LOOKUP(D166,'f-travail'!A:A,'f-travail'!T:T)*(AF166+AG166))</f>
        <v>#N/A</v>
      </c>
      <c r="AO166" s="673" t="e">
        <f>IF(G166="مدير ولائي",0,LOOKUP(D166,'f-travail'!A:A,'f-travail'!U:U)*(AF166+AG166))</f>
        <v>#N/A</v>
      </c>
      <c r="AP166" s="673" t="e">
        <f>IF(G166="مدير ولائي",0,LOOKUP(D166,'f-travail'!A:A,'f-travail'!V:V)*(AF166+AG166))</f>
        <v>#N/A</v>
      </c>
      <c r="AQ166" s="673" t="e">
        <f>IF(G166="مدير ولائي",0,LOOKUP(D166,'f-travail'!A:A,'f-travail'!W:W)*(AF166+AG166))</f>
        <v>#N/A</v>
      </c>
      <c r="AR166" s="673">
        <f t="shared" si="84"/>
        <v>0</v>
      </c>
      <c r="AS166" s="673" t="e">
        <f>IF(G166="مدير ولائي",0,LOOKUP(D166,'f-travail'!A:A,'f-travail'!X:X)*(AF166+AG166))</f>
        <v>#N/A</v>
      </c>
      <c r="AT166" s="673" t="e">
        <f>IF(G166="مدير ولائي",0,LOOKUP(D166,'f-travail'!Y:Y,'f-travail'!R:R)*(AF166+AG166))</f>
        <v>#N/A</v>
      </c>
      <c r="AU166" s="673">
        <f t="shared" si="74"/>
        <v>0</v>
      </c>
      <c r="AV166" s="673">
        <f t="shared" si="75"/>
        <v>0</v>
      </c>
      <c r="AW166" s="673">
        <f t="shared" si="76"/>
        <v>0</v>
      </c>
      <c r="AY166" s="640" t="e">
        <f t="shared" si="85"/>
        <v>#N/A</v>
      </c>
      <c r="AZ166" s="673" t="e">
        <f t="shared" si="77"/>
        <v>#N/A</v>
      </c>
      <c r="BA166" s="639" t="e">
        <f t="shared" si="78"/>
        <v>#N/A</v>
      </c>
      <c r="BG166" s="639">
        <f t="shared" si="86"/>
        <v>0</v>
      </c>
      <c r="BH166" s="683">
        <f t="shared" si="87"/>
        <v>0</v>
      </c>
      <c r="BI166" s="683">
        <f t="shared" si="88"/>
        <v>0</v>
      </c>
      <c r="BJ166" s="641" t="e">
        <f t="shared" si="89"/>
        <v>#N/A</v>
      </c>
      <c r="BK166" s="641" t="e">
        <f t="shared" si="90"/>
        <v>#N/A</v>
      </c>
      <c r="BL166" s="641" t="e">
        <f t="shared" si="91"/>
        <v>#N/A</v>
      </c>
      <c r="BM166" s="684" t="e">
        <f t="shared" si="92"/>
        <v>#N/A</v>
      </c>
      <c r="BO166" s="682" t="e">
        <f>CONCATENATE(Z166," ",LOOKUP(D166,'f-travail'!A:A,'f-travail'!F:F))</f>
        <v>#N/A</v>
      </c>
      <c r="BP166" s="669" t="e">
        <f t="shared" si="79"/>
        <v>#N/A</v>
      </c>
    </row>
    <row r="167" spans="1:68">
      <c r="A167" s="636">
        <f t="shared" si="93"/>
        <v>166</v>
      </c>
      <c r="B167" s="637"/>
      <c r="C167" s="637"/>
      <c r="D167" s="652"/>
      <c r="E167" s="679" t="e">
        <f>LOOKUP(D167,'f-travail'!A:A,'f-travail'!B:B)</f>
        <v>#N/A</v>
      </c>
      <c r="F167" s="650"/>
      <c r="G167" s="650"/>
      <c r="H167" s="653"/>
      <c r="I167" s="653"/>
      <c r="J167" s="654"/>
      <c r="K167" s="650"/>
      <c r="L167" s="650"/>
      <c r="M167" s="650">
        <v>0</v>
      </c>
      <c r="N167" s="654"/>
      <c r="O167" s="654"/>
      <c r="P167" s="654"/>
      <c r="Q167" s="654"/>
      <c r="R167" s="676"/>
      <c r="S167" s="654"/>
      <c r="T167" s="675"/>
      <c r="U167" s="675"/>
      <c r="V167" s="670" t="e">
        <f>LOOKUP(D167,'f-travail'!A:A,'f-travail'!E:E)</f>
        <v>#N/A</v>
      </c>
      <c r="W167" s="670" t="e">
        <f>VLOOKUP(V167,جرقمإستدلالي,'f-travail'!$AD$4+1,FALSE)</f>
        <v>#N/A</v>
      </c>
      <c r="X167" s="671" t="e">
        <f t="shared" si="69"/>
        <v>#N/A</v>
      </c>
      <c r="Y167" s="671">
        <f>IF(G167="مدير ولائي",(HLOOKUP(I167,جدروظعليا,'f-travail'!$AT$3+1,FALSE)-3200),0)</f>
        <v>0</v>
      </c>
      <c r="Z167" s="672" t="str">
        <f t="shared" si="80"/>
        <v/>
      </c>
      <c r="AA167" s="671">
        <f t="shared" si="81"/>
        <v>0</v>
      </c>
      <c r="AB167" s="677" t="b">
        <f t="shared" si="70"/>
        <v>0</v>
      </c>
      <c r="AC167" s="678">
        <f t="shared" si="82"/>
        <v>0</v>
      </c>
      <c r="AD167" s="673"/>
      <c r="AE167" s="678">
        <f t="shared" si="71"/>
        <v>0</v>
      </c>
      <c r="AF167" s="678" t="e">
        <f t="shared" si="72"/>
        <v>#N/A</v>
      </c>
      <c r="AG167" s="678" t="e">
        <f t="shared" si="73"/>
        <v>#N/A</v>
      </c>
      <c r="AH167" s="673">
        <f t="shared" si="83"/>
        <v>0</v>
      </c>
      <c r="AI167" s="674" t="e">
        <f>IF(G167="مدير ولائي",(11000*35%),LOOKUP(D167,'f-travail'!A:A,'f-travail'!I:I))</f>
        <v>#N/A</v>
      </c>
      <c r="AJ167" s="673" t="e">
        <f>IF(G167="مدير ولائي",((W167+X167)*45)*80%,IF(V167&lt;8,0,IF(F167="إليزي",(LOOKUP(D167,'f-travail'!A:A,'f-travail'!O:O))*(AF167+AG167),LOOKUP(D167,'f-travail'!A:A,'f-travail'!P:P)*(AF167+AG167))))</f>
        <v>#N/A</v>
      </c>
      <c r="AK167" s="673" t="e">
        <f>IF(G167="مدير ولائي",0,LOOKUP(D167,'f-travail'!A:A,'f-travail'!Q:Q))</f>
        <v>#N/A</v>
      </c>
      <c r="AL167" s="673" t="e">
        <f>IF(G167="مدير ولائي",0,LOOKUP(D167,'f-travail'!A:A,'f-travail'!R:R)*(AF167+AG167))</f>
        <v>#N/A</v>
      </c>
      <c r="AM167" s="673" t="e">
        <f>IF(G167="مدير ولائي",0,LOOKUP(D167,'f-travail'!A:A,'f-travail'!S:S)*(AF167+AG167))</f>
        <v>#N/A</v>
      </c>
      <c r="AN167" s="673" t="e">
        <f>IF(G167="مدير ولائي",0,LOOKUP(D167,'f-travail'!A:A,'f-travail'!T:T)*(AF167+AG167))</f>
        <v>#N/A</v>
      </c>
      <c r="AO167" s="673" t="e">
        <f>IF(G167="مدير ولائي",0,LOOKUP(D167,'f-travail'!A:A,'f-travail'!U:U)*(AF167+AG167))</f>
        <v>#N/A</v>
      </c>
      <c r="AP167" s="673" t="e">
        <f>IF(G167="مدير ولائي",0,LOOKUP(D167,'f-travail'!A:A,'f-travail'!V:V)*(AF167+AG167))</f>
        <v>#N/A</v>
      </c>
      <c r="AQ167" s="673" t="e">
        <f>IF(G167="مدير ولائي",0,LOOKUP(D167,'f-travail'!A:A,'f-travail'!W:W)*(AF167+AG167))</f>
        <v>#N/A</v>
      </c>
      <c r="AR167" s="673">
        <f t="shared" si="84"/>
        <v>0</v>
      </c>
      <c r="AS167" s="673" t="e">
        <f>IF(G167="مدير ولائي",0,LOOKUP(D167,'f-travail'!A:A,'f-travail'!X:X)*(AF167+AG167))</f>
        <v>#N/A</v>
      </c>
      <c r="AT167" s="673" t="e">
        <f>IF(G167="مدير ولائي",0,LOOKUP(D167,'f-travail'!Y:Y,'f-travail'!R:R)*(AF167+AG167))</f>
        <v>#N/A</v>
      </c>
      <c r="AU167" s="673">
        <f t="shared" si="74"/>
        <v>0</v>
      </c>
      <c r="AV167" s="673">
        <f t="shared" si="75"/>
        <v>0</v>
      </c>
      <c r="AW167" s="673">
        <f t="shared" si="76"/>
        <v>0</v>
      </c>
      <c r="AY167" s="640" t="e">
        <f t="shared" si="85"/>
        <v>#N/A</v>
      </c>
      <c r="AZ167" s="673" t="e">
        <f t="shared" si="77"/>
        <v>#N/A</v>
      </c>
      <c r="BA167" s="639" t="e">
        <f t="shared" si="78"/>
        <v>#N/A</v>
      </c>
      <c r="BG167" s="639">
        <f t="shared" si="86"/>
        <v>0</v>
      </c>
      <c r="BH167" s="683">
        <f t="shared" si="87"/>
        <v>0</v>
      </c>
      <c r="BI167" s="683">
        <f t="shared" si="88"/>
        <v>0</v>
      </c>
      <c r="BJ167" s="641" t="e">
        <f t="shared" si="89"/>
        <v>#N/A</v>
      </c>
      <c r="BK167" s="641" t="e">
        <f t="shared" si="90"/>
        <v>#N/A</v>
      </c>
      <c r="BL167" s="641" t="e">
        <f t="shared" si="91"/>
        <v>#N/A</v>
      </c>
      <c r="BM167" s="684" t="e">
        <f t="shared" si="92"/>
        <v>#N/A</v>
      </c>
      <c r="BO167" s="682" t="e">
        <f>CONCATENATE(Z167," ",LOOKUP(D167,'f-travail'!A:A,'f-travail'!F:F))</f>
        <v>#N/A</v>
      </c>
      <c r="BP167" s="669" t="e">
        <f t="shared" si="79"/>
        <v>#N/A</v>
      </c>
    </row>
    <row r="168" spans="1:68">
      <c r="A168" s="636">
        <f t="shared" si="93"/>
        <v>167</v>
      </c>
      <c r="B168" s="637"/>
      <c r="C168" s="637"/>
      <c r="D168" s="652"/>
      <c r="E168" s="679" t="e">
        <f>LOOKUP(D168,'f-travail'!A:A,'f-travail'!B:B)</f>
        <v>#N/A</v>
      </c>
      <c r="F168" s="650"/>
      <c r="G168" s="650"/>
      <c r="H168" s="653"/>
      <c r="I168" s="653"/>
      <c r="J168" s="654"/>
      <c r="K168" s="650"/>
      <c r="L168" s="650"/>
      <c r="M168" s="650">
        <v>0</v>
      </c>
      <c r="N168" s="654"/>
      <c r="O168" s="654"/>
      <c r="P168" s="654"/>
      <c r="Q168" s="654"/>
      <c r="R168" s="676"/>
      <c r="S168" s="654"/>
      <c r="T168" s="675"/>
      <c r="U168" s="675"/>
      <c r="V168" s="670" t="e">
        <f>LOOKUP(D168,'f-travail'!A:A,'f-travail'!E:E)</f>
        <v>#N/A</v>
      </c>
      <c r="W168" s="670" t="e">
        <f>VLOOKUP(V168,جرقمإستدلالي,'f-travail'!$AD$4+1,FALSE)</f>
        <v>#N/A</v>
      </c>
      <c r="X168" s="671" t="e">
        <f t="shared" si="69"/>
        <v>#N/A</v>
      </c>
      <c r="Y168" s="671">
        <f>IF(G168="مدير ولائي",(HLOOKUP(I168,جدروظعليا,'f-travail'!$AT$3+1,FALSE)-3200),0)</f>
        <v>0</v>
      </c>
      <c r="Z168" s="672" t="str">
        <f t="shared" si="80"/>
        <v/>
      </c>
      <c r="AA168" s="671">
        <f t="shared" si="81"/>
        <v>0</v>
      </c>
      <c r="AB168" s="677" t="b">
        <f t="shared" si="70"/>
        <v>0</v>
      </c>
      <c r="AC168" s="678">
        <f t="shared" si="82"/>
        <v>0</v>
      </c>
      <c r="AD168" s="673"/>
      <c r="AE168" s="678">
        <f t="shared" si="71"/>
        <v>0</v>
      </c>
      <c r="AF168" s="678" t="e">
        <f t="shared" si="72"/>
        <v>#N/A</v>
      </c>
      <c r="AG168" s="678" t="e">
        <f t="shared" si="73"/>
        <v>#N/A</v>
      </c>
      <c r="AH168" s="673">
        <f t="shared" si="83"/>
        <v>0</v>
      </c>
      <c r="AI168" s="674" t="e">
        <f>IF(G168="مدير ولائي",(11000*35%),LOOKUP(D168,'f-travail'!A:A,'f-travail'!I:I))</f>
        <v>#N/A</v>
      </c>
      <c r="AJ168" s="673" t="e">
        <f>IF(G168="مدير ولائي",((W168+X168)*45)*80%,IF(V168&lt;8,0,IF(F168="إليزي",(LOOKUP(D168,'f-travail'!A:A,'f-travail'!O:O))*(AF168+AG168),LOOKUP(D168,'f-travail'!A:A,'f-travail'!P:P)*(AF168+AG168))))</f>
        <v>#N/A</v>
      </c>
      <c r="AK168" s="673" t="e">
        <f>IF(G168="مدير ولائي",0,LOOKUP(D168,'f-travail'!A:A,'f-travail'!Q:Q))</f>
        <v>#N/A</v>
      </c>
      <c r="AL168" s="673" t="e">
        <f>IF(G168="مدير ولائي",0,LOOKUP(D168,'f-travail'!A:A,'f-travail'!R:R)*(AF168+AG168))</f>
        <v>#N/A</v>
      </c>
      <c r="AM168" s="673" t="e">
        <f>IF(G168="مدير ولائي",0,LOOKUP(D168,'f-travail'!A:A,'f-travail'!S:S)*(AF168+AG168))</f>
        <v>#N/A</v>
      </c>
      <c r="AN168" s="673" t="e">
        <f>IF(G168="مدير ولائي",0,LOOKUP(D168,'f-travail'!A:A,'f-travail'!T:T)*(AF168+AG168))</f>
        <v>#N/A</v>
      </c>
      <c r="AO168" s="673" t="e">
        <f>IF(G168="مدير ولائي",0,LOOKUP(D168,'f-travail'!A:A,'f-travail'!U:U)*(AF168+AG168))</f>
        <v>#N/A</v>
      </c>
      <c r="AP168" s="673" t="e">
        <f>IF(G168="مدير ولائي",0,LOOKUP(D168,'f-travail'!A:A,'f-travail'!V:V)*(AF168+AG168))</f>
        <v>#N/A</v>
      </c>
      <c r="AQ168" s="673" t="e">
        <f>IF(G168="مدير ولائي",0,LOOKUP(D168,'f-travail'!A:A,'f-travail'!W:W)*(AF168+AG168))</f>
        <v>#N/A</v>
      </c>
      <c r="AR168" s="673">
        <f t="shared" si="84"/>
        <v>0</v>
      </c>
      <c r="AS168" s="673" t="e">
        <f>IF(G168="مدير ولائي",0,LOOKUP(D168,'f-travail'!A:A,'f-travail'!X:X)*(AF168+AG168))</f>
        <v>#N/A</v>
      </c>
      <c r="AT168" s="673" t="e">
        <f>IF(G168="مدير ولائي",0,LOOKUP(D168,'f-travail'!Y:Y,'f-travail'!R:R)*(AF168+AG168))</f>
        <v>#N/A</v>
      </c>
      <c r="AU168" s="673">
        <f t="shared" si="74"/>
        <v>0</v>
      </c>
      <c r="AV168" s="673">
        <f t="shared" si="75"/>
        <v>0</v>
      </c>
      <c r="AW168" s="673">
        <f t="shared" si="76"/>
        <v>0</v>
      </c>
      <c r="AY168" s="640" t="e">
        <f t="shared" si="85"/>
        <v>#N/A</v>
      </c>
      <c r="AZ168" s="673" t="e">
        <f t="shared" si="77"/>
        <v>#N/A</v>
      </c>
      <c r="BA168" s="639" t="e">
        <f t="shared" si="78"/>
        <v>#N/A</v>
      </c>
      <c r="BG168" s="639">
        <f t="shared" si="86"/>
        <v>0</v>
      </c>
      <c r="BH168" s="683">
        <f t="shared" si="87"/>
        <v>0</v>
      </c>
      <c r="BI168" s="683">
        <f t="shared" si="88"/>
        <v>0</v>
      </c>
      <c r="BJ168" s="641" t="e">
        <f t="shared" si="89"/>
        <v>#N/A</v>
      </c>
      <c r="BK168" s="641" t="e">
        <f t="shared" si="90"/>
        <v>#N/A</v>
      </c>
      <c r="BL168" s="641" t="e">
        <f t="shared" si="91"/>
        <v>#N/A</v>
      </c>
      <c r="BM168" s="684" t="e">
        <f t="shared" si="92"/>
        <v>#N/A</v>
      </c>
      <c r="BO168" s="682" t="e">
        <f>CONCATENATE(Z168," ",LOOKUP(D168,'f-travail'!A:A,'f-travail'!F:F))</f>
        <v>#N/A</v>
      </c>
      <c r="BP168" s="669" t="e">
        <f t="shared" si="79"/>
        <v>#N/A</v>
      </c>
    </row>
    <row r="169" spans="1:68">
      <c r="A169" s="636">
        <f t="shared" si="93"/>
        <v>168</v>
      </c>
      <c r="B169" s="637"/>
      <c r="C169" s="637"/>
      <c r="D169" s="652"/>
      <c r="E169" s="679" t="e">
        <f>LOOKUP(D169,'f-travail'!A:A,'f-travail'!B:B)</f>
        <v>#N/A</v>
      </c>
      <c r="F169" s="650"/>
      <c r="G169" s="650"/>
      <c r="H169" s="653"/>
      <c r="I169" s="653"/>
      <c r="J169" s="654"/>
      <c r="K169" s="650"/>
      <c r="L169" s="650"/>
      <c r="M169" s="650">
        <v>0</v>
      </c>
      <c r="N169" s="654"/>
      <c r="O169" s="654"/>
      <c r="P169" s="654"/>
      <c r="Q169" s="654"/>
      <c r="R169" s="676"/>
      <c r="S169" s="654"/>
      <c r="T169" s="675"/>
      <c r="U169" s="675"/>
      <c r="V169" s="670" t="e">
        <f>LOOKUP(D169,'f-travail'!A:A,'f-travail'!E:E)</f>
        <v>#N/A</v>
      </c>
      <c r="W169" s="670" t="e">
        <f>VLOOKUP(V169,جرقمإستدلالي,'f-travail'!$AD$4+1,FALSE)</f>
        <v>#N/A</v>
      </c>
      <c r="X169" s="671" t="e">
        <f t="shared" si="69"/>
        <v>#N/A</v>
      </c>
      <c r="Y169" s="671">
        <f>IF(G169="مدير ولائي",(HLOOKUP(I169,جدروظعليا,'f-travail'!$AT$3+1,FALSE)-3200),0)</f>
        <v>0</v>
      </c>
      <c r="Z169" s="672" t="str">
        <f t="shared" si="80"/>
        <v/>
      </c>
      <c r="AA169" s="671">
        <f t="shared" si="81"/>
        <v>0</v>
      </c>
      <c r="AB169" s="677" t="b">
        <f t="shared" si="70"/>
        <v>0</v>
      </c>
      <c r="AC169" s="678">
        <f t="shared" si="82"/>
        <v>0</v>
      </c>
      <c r="AD169" s="673"/>
      <c r="AE169" s="678">
        <f t="shared" si="71"/>
        <v>0</v>
      </c>
      <c r="AF169" s="678" t="e">
        <f t="shared" si="72"/>
        <v>#N/A</v>
      </c>
      <c r="AG169" s="678" t="e">
        <f t="shared" si="73"/>
        <v>#N/A</v>
      </c>
      <c r="AH169" s="673">
        <f t="shared" si="83"/>
        <v>0</v>
      </c>
      <c r="AI169" s="674" t="e">
        <f>IF(G169="مدير ولائي",(11000*35%),LOOKUP(D169,'f-travail'!A:A,'f-travail'!I:I))</f>
        <v>#N/A</v>
      </c>
      <c r="AJ169" s="673" t="e">
        <f>IF(G169="مدير ولائي",((W169+X169)*45)*80%,IF(V169&lt;8,0,IF(F169="إليزي",(LOOKUP(D169,'f-travail'!A:A,'f-travail'!O:O))*(AF169+AG169),LOOKUP(D169,'f-travail'!A:A,'f-travail'!P:P)*(AF169+AG169))))</f>
        <v>#N/A</v>
      </c>
      <c r="AK169" s="673" t="e">
        <f>IF(G169="مدير ولائي",0,LOOKUP(D169,'f-travail'!A:A,'f-travail'!Q:Q))</f>
        <v>#N/A</v>
      </c>
      <c r="AL169" s="673" t="e">
        <f>IF(G169="مدير ولائي",0,LOOKUP(D169,'f-travail'!A:A,'f-travail'!R:R)*(AF169+AG169))</f>
        <v>#N/A</v>
      </c>
      <c r="AM169" s="673" t="e">
        <f>IF(G169="مدير ولائي",0,LOOKUP(D169,'f-travail'!A:A,'f-travail'!S:S)*(AF169+AG169))</f>
        <v>#N/A</v>
      </c>
      <c r="AN169" s="673" t="e">
        <f>IF(G169="مدير ولائي",0,LOOKUP(D169,'f-travail'!A:A,'f-travail'!T:T)*(AF169+AG169))</f>
        <v>#N/A</v>
      </c>
      <c r="AO169" s="673" t="e">
        <f>IF(G169="مدير ولائي",0,LOOKUP(D169,'f-travail'!A:A,'f-travail'!U:U)*(AF169+AG169))</f>
        <v>#N/A</v>
      </c>
      <c r="AP169" s="673" t="e">
        <f>IF(G169="مدير ولائي",0,LOOKUP(D169,'f-travail'!A:A,'f-travail'!V:V)*(AF169+AG169))</f>
        <v>#N/A</v>
      </c>
      <c r="AQ169" s="673" t="e">
        <f>IF(G169="مدير ولائي",0,LOOKUP(D169,'f-travail'!A:A,'f-travail'!W:W)*(AF169+AG169))</f>
        <v>#N/A</v>
      </c>
      <c r="AR169" s="673">
        <f t="shared" si="84"/>
        <v>0</v>
      </c>
      <c r="AS169" s="673" t="e">
        <f>IF(G169="مدير ولائي",0,LOOKUP(D169,'f-travail'!A:A,'f-travail'!X:X)*(AF169+AG169))</f>
        <v>#N/A</v>
      </c>
      <c r="AT169" s="673" t="e">
        <f>IF(G169="مدير ولائي",0,LOOKUP(D169,'f-travail'!Y:Y,'f-travail'!R:R)*(AF169+AG169))</f>
        <v>#N/A</v>
      </c>
      <c r="AU169" s="673">
        <f t="shared" si="74"/>
        <v>0</v>
      </c>
      <c r="AV169" s="673">
        <f t="shared" si="75"/>
        <v>0</v>
      </c>
      <c r="AW169" s="673">
        <f t="shared" si="76"/>
        <v>0</v>
      </c>
      <c r="AY169" s="640" t="e">
        <f t="shared" si="85"/>
        <v>#N/A</v>
      </c>
      <c r="AZ169" s="673" t="e">
        <f t="shared" si="77"/>
        <v>#N/A</v>
      </c>
      <c r="BA169" s="639" t="e">
        <f t="shared" si="78"/>
        <v>#N/A</v>
      </c>
      <c r="BG169" s="639">
        <f t="shared" si="86"/>
        <v>0</v>
      </c>
      <c r="BH169" s="683">
        <f t="shared" si="87"/>
        <v>0</v>
      </c>
      <c r="BI169" s="683">
        <f t="shared" si="88"/>
        <v>0</v>
      </c>
      <c r="BJ169" s="641" t="e">
        <f t="shared" si="89"/>
        <v>#N/A</v>
      </c>
      <c r="BK169" s="641" t="e">
        <f t="shared" si="90"/>
        <v>#N/A</v>
      </c>
      <c r="BL169" s="641" t="e">
        <f t="shared" si="91"/>
        <v>#N/A</v>
      </c>
      <c r="BM169" s="684" t="e">
        <f t="shared" si="92"/>
        <v>#N/A</v>
      </c>
      <c r="BO169" s="682" t="e">
        <f>CONCATENATE(Z169," ",LOOKUP(D169,'f-travail'!A:A,'f-travail'!F:F))</f>
        <v>#N/A</v>
      </c>
      <c r="BP169" s="669" t="e">
        <f t="shared" si="79"/>
        <v>#N/A</v>
      </c>
    </row>
    <row r="170" spans="1:68">
      <c r="A170" s="636">
        <f t="shared" si="93"/>
        <v>169</v>
      </c>
      <c r="B170" s="637"/>
      <c r="C170" s="637"/>
      <c r="D170" s="652"/>
      <c r="E170" s="679" t="e">
        <f>LOOKUP(D170,'f-travail'!A:A,'f-travail'!B:B)</f>
        <v>#N/A</v>
      </c>
      <c r="F170" s="650"/>
      <c r="G170" s="650"/>
      <c r="H170" s="653"/>
      <c r="I170" s="653"/>
      <c r="J170" s="654"/>
      <c r="K170" s="650"/>
      <c r="L170" s="650"/>
      <c r="M170" s="650">
        <v>0</v>
      </c>
      <c r="N170" s="654"/>
      <c r="O170" s="654"/>
      <c r="P170" s="654"/>
      <c r="Q170" s="654"/>
      <c r="R170" s="676"/>
      <c r="S170" s="654"/>
      <c r="T170" s="675"/>
      <c r="U170" s="675"/>
      <c r="V170" s="670" t="e">
        <f>LOOKUP(D170,'f-travail'!A:A,'f-travail'!E:E)</f>
        <v>#N/A</v>
      </c>
      <c r="W170" s="670" t="e">
        <f>VLOOKUP(V170,جرقمإستدلالي,'f-travail'!$AD$4+1,FALSE)</f>
        <v>#N/A</v>
      </c>
      <c r="X170" s="671" t="e">
        <f t="shared" si="69"/>
        <v>#N/A</v>
      </c>
      <c r="Y170" s="671">
        <f>IF(G170="مدير ولائي",(HLOOKUP(I170,جدروظعليا,'f-travail'!$AT$3+1,FALSE)-3200),0)</f>
        <v>0</v>
      </c>
      <c r="Z170" s="672" t="str">
        <f t="shared" si="80"/>
        <v/>
      </c>
      <c r="AA170" s="671">
        <f t="shared" si="81"/>
        <v>0</v>
      </c>
      <c r="AB170" s="677" t="b">
        <f t="shared" si="70"/>
        <v>0</v>
      </c>
      <c r="AC170" s="678">
        <f t="shared" si="82"/>
        <v>0</v>
      </c>
      <c r="AD170" s="673"/>
      <c r="AE170" s="678">
        <f t="shared" si="71"/>
        <v>0</v>
      </c>
      <c r="AF170" s="678" t="e">
        <f t="shared" si="72"/>
        <v>#N/A</v>
      </c>
      <c r="AG170" s="678" t="e">
        <f t="shared" si="73"/>
        <v>#N/A</v>
      </c>
      <c r="AH170" s="673">
        <f t="shared" si="83"/>
        <v>0</v>
      </c>
      <c r="AI170" s="674" t="e">
        <f>IF(G170="مدير ولائي",(11000*35%),LOOKUP(D170,'f-travail'!A:A,'f-travail'!I:I))</f>
        <v>#N/A</v>
      </c>
      <c r="AJ170" s="673" t="e">
        <f>IF(G170="مدير ولائي",((W170+X170)*45)*80%,IF(V170&lt;8,0,IF(F170="إليزي",(LOOKUP(D170,'f-travail'!A:A,'f-travail'!O:O))*(AF170+AG170),LOOKUP(D170,'f-travail'!A:A,'f-travail'!P:P)*(AF170+AG170))))</f>
        <v>#N/A</v>
      </c>
      <c r="AK170" s="673" t="e">
        <f>IF(G170="مدير ولائي",0,LOOKUP(D170,'f-travail'!A:A,'f-travail'!Q:Q))</f>
        <v>#N/A</v>
      </c>
      <c r="AL170" s="673" t="e">
        <f>IF(G170="مدير ولائي",0,LOOKUP(D170,'f-travail'!A:A,'f-travail'!R:R)*(AF170+AG170))</f>
        <v>#N/A</v>
      </c>
      <c r="AM170" s="673" t="e">
        <f>IF(G170="مدير ولائي",0,LOOKUP(D170,'f-travail'!A:A,'f-travail'!S:S)*(AF170+AG170))</f>
        <v>#N/A</v>
      </c>
      <c r="AN170" s="673" t="e">
        <f>IF(G170="مدير ولائي",0,LOOKUP(D170,'f-travail'!A:A,'f-travail'!T:T)*(AF170+AG170))</f>
        <v>#N/A</v>
      </c>
      <c r="AO170" s="673" t="e">
        <f>IF(G170="مدير ولائي",0,LOOKUP(D170,'f-travail'!A:A,'f-travail'!U:U)*(AF170+AG170))</f>
        <v>#N/A</v>
      </c>
      <c r="AP170" s="673" t="e">
        <f>IF(G170="مدير ولائي",0,LOOKUP(D170,'f-travail'!A:A,'f-travail'!V:V)*(AF170+AG170))</f>
        <v>#N/A</v>
      </c>
      <c r="AQ170" s="673" t="e">
        <f>IF(G170="مدير ولائي",0,LOOKUP(D170,'f-travail'!A:A,'f-travail'!W:W)*(AF170+AG170))</f>
        <v>#N/A</v>
      </c>
      <c r="AR170" s="673">
        <f t="shared" si="84"/>
        <v>0</v>
      </c>
      <c r="AS170" s="673" t="e">
        <f>IF(G170="مدير ولائي",0,LOOKUP(D170,'f-travail'!A:A,'f-travail'!X:X)*(AF170+AG170))</f>
        <v>#N/A</v>
      </c>
      <c r="AT170" s="673" t="e">
        <f>IF(G170="مدير ولائي",0,LOOKUP(D170,'f-travail'!Y:Y,'f-travail'!R:R)*(AF170+AG170))</f>
        <v>#N/A</v>
      </c>
      <c r="AU170" s="673">
        <f t="shared" si="74"/>
        <v>0</v>
      </c>
      <c r="AV170" s="673">
        <f t="shared" si="75"/>
        <v>0</v>
      </c>
      <c r="AW170" s="673">
        <f t="shared" si="76"/>
        <v>0</v>
      </c>
      <c r="AY170" s="640" t="e">
        <f t="shared" si="85"/>
        <v>#N/A</v>
      </c>
      <c r="AZ170" s="673" t="e">
        <f t="shared" si="77"/>
        <v>#N/A</v>
      </c>
      <c r="BA170" s="639" t="e">
        <f t="shared" si="78"/>
        <v>#N/A</v>
      </c>
      <c r="BG170" s="639">
        <f t="shared" si="86"/>
        <v>0</v>
      </c>
      <c r="BH170" s="683">
        <f t="shared" si="87"/>
        <v>0</v>
      </c>
      <c r="BI170" s="683">
        <f t="shared" si="88"/>
        <v>0</v>
      </c>
      <c r="BJ170" s="641" t="e">
        <f t="shared" si="89"/>
        <v>#N/A</v>
      </c>
      <c r="BK170" s="641" t="e">
        <f t="shared" si="90"/>
        <v>#N/A</v>
      </c>
      <c r="BL170" s="641" t="e">
        <f t="shared" si="91"/>
        <v>#N/A</v>
      </c>
      <c r="BM170" s="684" t="e">
        <f t="shared" si="92"/>
        <v>#N/A</v>
      </c>
      <c r="BO170" s="682" t="e">
        <f>CONCATENATE(Z170," ",LOOKUP(D170,'f-travail'!A:A,'f-travail'!F:F))</f>
        <v>#N/A</v>
      </c>
      <c r="BP170" s="669" t="e">
        <f t="shared" si="79"/>
        <v>#N/A</v>
      </c>
    </row>
    <row r="171" spans="1:68">
      <c r="A171" s="636">
        <f t="shared" si="93"/>
        <v>170</v>
      </c>
      <c r="B171" s="637"/>
      <c r="C171" s="637"/>
      <c r="D171" s="652"/>
      <c r="E171" s="679" t="e">
        <f>LOOKUP(D171,'f-travail'!A:A,'f-travail'!B:B)</f>
        <v>#N/A</v>
      </c>
      <c r="F171" s="650"/>
      <c r="G171" s="650"/>
      <c r="H171" s="653"/>
      <c r="I171" s="653"/>
      <c r="J171" s="654"/>
      <c r="K171" s="650"/>
      <c r="L171" s="650"/>
      <c r="M171" s="650">
        <v>0</v>
      </c>
      <c r="N171" s="654"/>
      <c r="O171" s="654"/>
      <c r="P171" s="654"/>
      <c r="Q171" s="654"/>
      <c r="R171" s="676"/>
      <c r="S171" s="654"/>
      <c r="T171" s="675"/>
      <c r="U171" s="675"/>
      <c r="V171" s="670" t="e">
        <f>LOOKUP(D171,'f-travail'!A:A,'f-travail'!E:E)</f>
        <v>#N/A</v>
      </c>
      <c r="W171" s="670" t="e">
        <f>VLOOKUP(V171,جرقمإستدلالي,'f-travail'!$AD$4+1,FALSE)</f>
        <v>#N/A</v>
      </c>
      <c r="X171" s="671" t="e">
        <f t="shared" si="69"/>
        <v>#N/A</v>
      </c>
      <c r="Y171" s="671">
        <f>IF(G171="مدير ولائي",(HLOOKUP(I171,جدروظعليا,'f-travail'!$AT$3+1,FALSE)-3200),0)</f>
        <v>0</v>
      </c>
      <c r="Z171" s="672" t="str">
        <f t="shared" si="80"/>
        <v/>
      </c>
      <c r="AA171" s="671">
        <f t="shared" si="81"/>
        <v>0</v>
      </c>
      <c r="AB171" s="677" t="b">
        <f t="shared" si="70"/>
        <v>0</v>
      </c>
      <c r="AC171" s="678">
        <f t="shared" si="82"/>
        <v>0</v>
      </c>
      <c r="AD171" s="673"/>
      <c r="AE171" s="678">
        <f t="shared" si="71"/>
        <v>0</v>
      </c>
      <c r="AF171" s="678" t="e">
        <f t="shared" si="72"/>
        <v>#N/A</v>
      </c>
      <c r="AG171" s="678" t="e">
        <f t="shared" si="73"/>
        <v>#N/A</v>
      </c>
      <c r="AH171" s="673">
        <f t="shared" si="83"/>
        <v>0</v>
      </c>
      <c r="AI171" s="674" t="e">
        <f>IF(G171="مدير ولائي",(11000*35%),LOOKUP(D171,'f-travail'!A:A,'f-travail'!I:I))</f>
        <v>#N/A</v>
      </c>
      <c r="AJ171" s="673" t="e">
        <f>IF(G171="مدير ولائي",((W171+X171)*45)*80%,IF(V171&lt;8,0,IF(F171="إليزي",(LOOKUP(D171,'f-travail'!A:A,'f-travail'!O:O))*(AF171+AG171),LOOKUP(D171,'f-travail'!A:A,'f-travail'!P:P)*(AF171+AG171))))</f>
        <v>#N/A</v>
      </c>
      <c r="AK171" s="673" t="e">
        <f>IF(G171="مدير ولائي",0,LOOKUP(D171,'f-travail'!A:A,'f-travail'!Q:Q))</f>
        <v>#N/A</v>
      </c>
      <c r="AL171" s="673" t="e">
        <f>IF(G171="مدير ولائي",0,LOOKUP(D171,'f-travail'!A:A,'f-travail'!R:R)*(AF171+AG171))</f>
        <v>#N/A</v>
      </c>
      <c r="AM171" s="673" t="e">
        <f>IF(G171="مدير ولائي",0,LOOKUP(D171,'f-travail'!A:A,'f-travail'!S:S)*(AF171+AG171))</f>
        <v>#N/A</v>
      </c>
      <c r="AN171" s="673" t="e">
        <f>IF(G171="مدير ولائي",0,LOOKUP(D171,'f-travail'!A:A,'f-travail'!T:T)*(AF171+AG171))</f>
        <v>#N/A</v>
      </c>
      <c r="AO171" s="673" t="e">
        <f>IF(G171="مدير ولائي",0,LOOKUP(D171,'f-travail'!A:A,'f-travail'!U:U)*(AF171+AG171))</f>
        <v>#N/A</v>
      </c>
      <c r="AP171" s="673" t="e">
        <f>IF(G171="مدير ولائي",0,LOOKUP(D171,'f-travail'!A:A,'f-travail'!V:V)*(AF171+AG171))</f>
        <v>#N/A</v>
      </c>
      <c r="AQ171" s="673" t="e">
        <f>IF(G171="مدير ولائي",0,LOOKUP(D171,'f-travail'!A:A,'f-travail'!W:W)*(AF171+AG171))</f>
        <v>#N/A</v>
      </c>
      <c r="AR171" s="673">
        <f t="shared" si="84"/>
        <v>0</v>
      </c>
      <c r="AS171" s="673" t="e">
        <f>IF(G171="مدير ولائي",0,LOOKUP(D171,'f-travail'!A:A,'f-travail'!X:X)*(AF171+AG171))</f>
        <v>#N/A</v>
      </c>
      <c r="AT171" s="673" t="e">
        <f>IF(G171="مدير ولائي",0,LOOKUP(D171,'f-travail'!Y:Y,'f-travail'!R:R)*(AF171+AG171))</f>
        <v>#N/A</v>
      </c>
      <c r="AU171" s="673">
        <f t="shared" si="74"/>
        <v>0</v>
      </c>
      <c r="AV171" s="673">
        <f t="shared" si="75"/>
        <v>0</v>
      </c>
      <c r="AW171" s="673">
        <f t="shared" si="76"/>
        <v>0</v>
      </c>
      <c r="AY171" s="640" t="e">
        <f t="shared" si="85"/>
        <v>#N/A</v>
      </c>
      <c r="AZ171" s="673" t="e">
        <f t="shared" si="77"/>
        <v>#N/A</v>
      </c>
      <c r="BA171" s="639" t="e">
        <f t="shared" si="78"/>
        <v>#N/A</v>
      </c>
      <c r="BG171" s="639">
        <f t="shared" si="86"/>
        <v>0</v>
      </c>
      <c r="BH171" s="683">
        <f t="shared" si="87"/>
        <v>0</v>
      </c>
      <c r="BI171" s="683">
        <f t="shared" si="88"/>
        <v>0</v>
      </c>
      <c r="BJ171" s="641" t="e">
        <f t="shared" si="89"/>
        <v>#N/A</v>
      </c>
      <c r="BK171" s="641" t="e">
        <f t="shared" si="90"/>
        <v>#N/A</v>
      </c>
      <c r="BL171" s="641" t="e">
        <f t="shared" si="91"/>
        <v>#N/A</v>
      </c>
      <c r="BM171" s="684" t="e">
        <f t="shared" si="92"/>
        <v>#N/A</v>
      </c>
      <c r="BO171" s="682" t="e">
        <f>CONCATENATE(Z171," ",LOOKUP(D171,'f-travail'!A:A,'f-travail'!F:F))</f>
        <v>#N/A</v>
      </c>
      <c r="BP171" s="669" t="e">
        <f t="shared" si="79"/>
        <v>#N/A</v>
      </c>
    </row>
    <row r="172" spans="1:68">
      <c r="A172" s="636">
        <f t="shared" si="93"/>
        <v>171</v>
      </c>
      <c r="B172" s="637"/>
      <c r="C172" s="637"/>
      <c r="D172" s="652"/>
      <c r="E172" s="679" t="e">
        <f>LOOKUP(D172,'f-travail'!A:A,'f-travail'!B:B)</f>
        <v>#N/A</v>
      </c>
      <c r="F172" s="650"/>
      <c r="G172" s="650"/>
      <c r="H172" s="653"/>
      <c r="I172" s="653"/>
      <c r="J172" s="654"/>
      <c r="K172" s="650"/>
      <c r="L172" s="650"/>
      <c r="M172" s="650">
        <v>0</v>
      </c>
      <c r="N172" s="654"/>
      <c r="O172" s="654"/>
      <c r="P172" s="654"/>
      <c r="Q172" s="654"/>
      <c r="R172" s="676"/>
      <c r="S172" s="654"/>
      <c r="T172" s="675"/>
      <c r="U172" s="675"/>
      <c r="V172" s="670" t="e">
        <f>LOOKUP(D172,'f-travail'!A:A,'f-travail'!E:E)</f>
        <v>#N/A</v>
      </c>
      <c r="W172" s="670" t="e">
        <f>VLOOKUP(V172,جرقمإستدلالي,'f-travail'!$AD$4+1,FALSE)</f>
        <v>#N/A</v>
      </c>
      <c r="X172" s="671" t="e">
        <f t="shared" si="69"/>
        <v>#N/A</v>
      </c>
      <c r="Y172" s="671">
        <f>IF(G172="مدير ولائي",(HLOOKUP(I172,جدروظعليا,'f-travail'!$AT$3+1,FALSE)-3200),0)</f>
        <v>0</v>
      </c>
      <c r="Z172" s="672" t="str">
        <f t="shared" si="80"/>
        <v/>
      </c>
      <c r="AA172" s="671">
        <f t="shared" si="81"/>
        <v>0</v>
      </c>
      <c r="AB172" s="677" t="b">
        <f t="shared" si="70"/>
        <v>0</v>
      </c>
      <c r="AC172" s="678">
        <f t="shared" si="82"/>
        <v>0</v>
      </c>
      <c r="AD172" s="673"/>
      <c r="AE172" s="678">
        <f t="shared" si="71"/>
        <v>0</v>
      </c>
      <c r="AF172" s="678" t="e">
        <f t="shared" si="72"/>
        <v>#N/A</v>
      </c>
      <c r="AG172" s="678" t="e">
        <f t="shared" si="73"/>
        <v>#N/A</v>
      </c>
      <c r="AH172" s="673">
        <f t="shared" si="83"/>
        <v>0</v>
      </c>
      <c r="AI172" s="674" t="e">
        <f>IF(G172="مدير ولائي",(11000*35%),LOOKUP(D172,'f-travail'!A:A,'f-travail'!I:I))</f>
        <v>#N/A</v>
      </c>
      <c r="AJ172" s="673" t="e">
        <f>IF(G172="مدير ولائي",((W172+X172)*45)*80%,IF(V172&lt;8,0,IF(F172="إليزي",(LOOKUP(D172,'f-travail'!A:A,'f-travail'!O:O))*(AF172+AG172),LOOKUP(D172,'f-travail'!A:A,'f-travail'!P:P)*(AF172+AG172))))</f>
        <v>#N/A</v>
      </c>
      <c r="AK172" s="673" t="e">
        <f>IF(G172="مدير ولائي",0,LOOKUP(D172,'f-travail'!A:A,'f-travail'!Q:Q))</f>
        <v>#N/A</v>
      </c>
      <c r="AL172" s="673" t="e">
        <f>IF(G172="مدير ولائي",0,LOOKUP(D172,'f-travail'!A:A,'f-travail'!R:R)*(AF172+AG172))</f>
        <v>#N/A</v>
      </c>
      <c r="AM172" s="673" t="e">
        <f>IF(G172="مدير ولائي",0,LOOKUP(D172,'f-travail'!A:A,'f-travail'!S:S)*(AF172+AG172))</f>
        <v>#N/A</v>
      </c>
      <c r="AN172" s="673" t="e">
        <f>IF(G172="مدير ولائي",0,LOOKUP(D172,'f-travail'!A:A,'f-travail'!T:T)*(AF172+AG172))</f>
        <v>#N/A</v>
      </c>
      <c r="AO172" s="673" t="e">
        <f>IF(G172="مدير ولائي",0,LOOKUP(D172,'f-travail'!A:A,'f-travail'!U:U)*(AF172+AG172))</f>
        <v>#N/A</v>
      </c>
      <c r="AP172" s="673" t="e">
        <f>IF(G172="مدير ولائي",0,LOOKUP(D172,'f-travail'!A:A,'f-travail'!V:V)*(AF172+AG172))</f>
        <v>#N/A</v>
      </c>
      <c r="AQ172" s="673" t="e">
        <f>IF(G172="مدير ولائي",0,LOOKUP(D172,'f-travail'!A:A,'f-travail'!W:W)*(AF172+AG172))</f>
        <v>#N/A</v>
      </c>
      <c r="AR172" s="673">
        <f t="shared" si="84"/>
        <v>0</v>
      </c>
      <c r="AS172" s="673" t="e">
        <f>IF(G172="مدير ولائي",0,LOOKUP(D172,'f-travail'!A:A,'f-travail'!X:X)*(AF172+AG172))</f>
        <v>#N/A</v>
      </c>
      <c r="AT172" s="673" t="e">
        <f>IF(G172="مدير ولائي",0,LOOKUP(D172,'f-travail'!Y:Y,'f-travail'!R:R)*(AF172+AG172))</f>
        <v>#N/A</v>
      </c>
      <c r="AU172" s="673">
        <f t="shared" si="74"/>
        <v>0</v>
      </c>
      <c r="AV172" s="673">
        <f t="shared" si="75"/>
        <v>0</v>
      </c>
      <c r="AW172" s="673">
        <f t="shared" si="76"/>
        <v>0</v>
      </c>
      <c r="AY172" s="640" t="e">
        <f t="shared" si="85"/>
        <v>#N/A</v>
      </c>
      <c r="AZ172" s="673" t="e">
        <f t="shared" si="77"/>
        <v>#N/A</v>
      </c>
      <c r="BA172" s="639" t="e">
        <f t="shared" si="78"/>
        <v>#N/A</v>
      </c>
      <c r="BG172" s="639">
        <f t="shared" si="86"/>
        <v>0</v>
      </c>
      <c r="BH172" s="683">
        <f t="shared" si="87"/>
        <v>0</v>
      </c>
      <c r="BI172" s="683">
        <f t="shared" si="88"/>
        <v>0</v>
      </c>
      <c r="BJ172" s="641" t="e">
        <f t="shared" si="89"/>
        <v>#N/A</v>
      </c>
      <c r="BK172" s="641" t="e">
        <f t="shared" si="90"/>
        <v>#N/A</v>
      </c>
      <c r="BL172" s="641" t="e">
        <f t="shared" si="91"/>
        <v>#N/A</v>
      </c>
      <c r="BM172" s="684" t="e">
        <f t="shared" si="92"/>
        <v>#N/A</v>
      </c>
      <c r="BO172" s="682" t="e">
        <f>CONCATENATE(Z172," ",LOOKUP(D172,'f-travail'!A:A,'f-travail'!F:F))</f>
        <v>#N/A</v>
      </c>
      <c r="BP172" s="669" t="e">
        <f t="shared" si="79"/>
        <v>#N/A</v>
      </c>
    </row>
    <row r="173" spans="1:68">
      <c r="A173" s="636">
        <f t="shared" si="93"/>
        <v>172</v>
      </c>
      <c r="B173" s="637"/>
      <c r="C173" s="637"/>
      <c r="D173" s="652"/>
      <c r="E173" s="679" t="e">
        <f>LOOKUP(D173,'f-travail'!A:A,'f-travail'!B:B)</f>
        <v>#N/A</v>
      </c>
      <c r="F173" s="650"/>
      <c r="G173" s="650"/>
      <c r="H173" s="653"/>
      <c r="I173" s="653"/>
      <c r="J173" s="654"/>
      <c r="K173" s="650"/>
      <c r="L173" s="650"/>
      <c r="M173" s="650">
        <v>0</v>
      </c>
      <c r="N173" s="654"/>
      <c r="O173" s="654"/>
      <c r="P173" s="654"/>
      <c r="Q173" s="654"/>
      <c r="R173" s="676"/>
      <c r="S173" s="654"/>
      <c r="T173" s="675"/>
      <c r="U173" s="675"/>
      <c r="V173" s="670" t="e">
        <f>LOOKUP(D173,'f-travail'!A:A,'f-travail'!E:E)</f>
        <v>#N/A</v>
      </c>
      <c r="W173" s="670" t="e">
        <f>VLOOKUP(V173,جرقمإستدلالي,'f-travail'!$AD$4+1,FALSE)</f>
        <v>#N/A</v>
      </c>
      <c r="X173" s="671" t="e">
        <f t="shared" si="69"/>
        <v>#N/A</v>
      </c>
      <c r="Y173" s="671">
        <f>IF(G173="مدير ولائي",(HLOOKUP(I173,جدروظعليا,'f-travail'!$AT$3+1,FALSE)-3200),0)</f>
        <v>0</v>
      </c>
      <c r="Z173" s="672" t="str">
        <f t="shared" si="80"/>
        <v/>
      </c>
      <c r="AA173" s="671">
        <f t="shared" si="81"/>
        <v>0</v>
      </c>
      <c r="AB173" s="677" t="b">
        <f t="shared" si="70"/>
        <v>0</v>
      </c>
      <c r="AC173" s="678">
        <f t="shared" si="82"/>
        <v>0</v>
      </c>
      <c r="AD173" s="673"/>
      <c r="AE173" s="678">
        <f t="shared" si="71"/>
        <v>0</v>
      </c>
      <c r="AF173" s="678" t="e">
        <f t="shared" si="72"/>
        <v>#N/A</v>
      </c>
      <c r="AG173" s="678" t="e">
        <f t="shared" si="73"/>
        <v>#N/A</v>
      </c>
      <c r="AH173" s="673">
        <f t="shared" si="83"/>
        <v>0</v>
      </c>
      <c r="AI173" s="674" t="e">
        <f>IF(G173="مدير ولائي",(11000*35%),LOOKUP(D173,'f-travail'!A:A,'f-travail'!I:I))</f>
        <v>#N/A</v>
      </c>
      <c r="AJ173" s="673" t="e">
        <f>IF(G173="مدير ولائي",((W173+X173)*45)*80%,IF(V173&lt;8,0,IF(F173="إليزي",(LOOKUP(D173,'f-travail'!A:A,'f-travail'!O:O))*(AF173+AG173),LOOKUP(D173,'f-travail'!A:A,'f-travail'!P:P)*(AF173+AG173))))</f>
        <v>#N/A</v>
      </c>
      <c r="AK173" s="673" t="e">
        <f>IF(G173="مدير ولائي",0,LOOKUP(D173,'f-travail'!A:A,'f-travail'!Q:Q))</f>
        <v>#N/A</v>
      </c>
      <c r="AL173" s="673" t="e">
        <f>IF(G173="مدير ولائي",0,LOOKUP(D173,'f-travail'!A:A,'f-travail'!R:R)*(AF173+AG173))</f>
        <v>#N/A</v>
      </c>
      <c r="AM173" s="673" t="e">
        <f>IF(G173="مدير ولائي",0,LOOKUP(D173,'f-travail'!A:A,'f-travail'!S:S)*(AF173+AG173))</f>
        <v>#N/A</v>
      </c>
      <c r="AN173" s="673" t="e">
        <f>IF(G173="مدير ولائي",0,LOOKUP(D173,'f-travail'!A:A,'f-travail'!T:T)*(AF173+AG173))</f>
        <v>#N/A</v>
      </c>
      <c r="AO173" s="673" t="e">
        <f>IF(G173="مدير ولائي",0,LOOKUP(D173,'f-travail'!A:A,'f-travail'!U:U)*(AF173+AG173))</f>
        <v>#N/A</v>
      </c>
      <c r="AP173" s="673" t="e">
        <f>IF(G173="مدير ولائي",0,LOOKUP(D173,'f-travail'!A:A,'f-travail'!V:V)*(AF173+AG173))</f>
        <v>#N/A</v>
      </c>
      <c r="AQ173" s="673" t="e">
        <f>IF(G173="مدير ولائي",0,LOOKUP(D173,'f-travail'!A:A,'f-travail'!W:W)*(AF173+AG173))</f>
        <v>#N/A</v>
      </c>
      <c r="AR173" s="673">
        <f t="shared" si="84"/>
        <v>0</v>
      </c>
      <c r="AS173" s="673" t="e">
        <f>IF(G173="مدير ولائي",0,LOOKUP(D173,'f-travail'!A:A,'f-travail'!X:X)*(AF173+AG173))</f>
        <v>#N/A</v>
      </c>
      <c r="AT173" s="673" t="e">
        <f>IF(G173="مدير ولائي",0,LOOKUP(D173,'f-travail'!Y:Y,'f-travail'!R:R)*(AF173+AG173))</f>
        <v>#N/A</v>
      </c>
      <c r="AU173" s="673">
        <f t="shared" si="74"/>
        <v>0</v>
      </c>
      <c r="AV173" s="673">
        <f t="shared" si="75"/>
        <v>0</v>
      </c>
      <c r="AW173" s="673">
        <f t="shared" si="76"/>
        <v>0</v>
      </c>
      <c r="AY173" s="640" t="e">
        <f t="shared" si="85"/>
        <v>#N/A</v>
      </c>
      <c r="AZ173" s="673" t="e">
        <f t="shared" si="77"/>
        <v>#N/A</v>
      </c>
      <c r="BA173" s="639" t="e">
        <f t="shared" si="78"/>
        <v>#N/A</v>
      </c>
      <c r="BG173" s="639">
        <f t="shared" si="86"/>
        <v>0</v>
      </c>
      <c r="BH173" s="683">
        <f t="shared" si="87"/>
        <v>0</v>
      </c>
      <c r="BI173" s="683">
        <f t="shared" si="88"/>
        <v>0</v>
      </c>
      <c r="BJ173" s="641" t="e">
        <f t="shared" si="89"/>
        <v>#N/A</v>
      </c>
      <c r="BK173" s="641" t="e">
        <f t="shared" si="90"/>
        <v>#N/A</v>
      </c>
      <c r="BL173" s="641" t="e">
        <f t="shared" si="91"/>
        <v>#N/A</v>
      </c>
      <c r="BM173" s="684" t="e">
        <f t="shared" si="92"/>
        <v>#N/A</v>
      </c>
      <c r="BO173" s="682" t="e">
        <f>CONCATENATE(Z173," ",LOOKUP(D173,'f-travail'!A:A,'f-travail'!F:F))</f>
        <v>#N/A</v>
      </c>
      <c r="BP173" s="669" t="e">
        <f t="shared" si="79"/>
        <v>#N/A</v>
      </c>
    </row>
    <row r="174" spans="1:68">
      <c r="A174" s="636">
        <f t="shared" si="93"/>
        <v>173</v>
      </c>
      <c r="B174" s="637"/>
      <c r="C174" s="637"/>
      <c r="D174" s="652"/>
      <c r="E174" s="679" t="e">
        <f>LOOKUP(D174,'f-travail'!A:A,'f-travail'!B:B)</f>
        <v>#N/A</v>
      </c>
      <c r="F174" s="650"/>
      <c r="G174" s="650"/>
      <c r="H174" s="653"/>
      <c r="I174" s="653"/>
      <c r="J174" s="654"/>
      <c r="K174" s="650"/>
      <c r="L174" s="650"/>
      <c r="M174" s="650">
        <v>0</v>
      </c>
      <c r="N174" s="654"/>
      <c r="O174" s="654"/>
      <c r="P174" s="654"/>
      <c r="Q174" s="654"/>
      <c r="R174" s="676"/>
      <c r="S174" s="654"/>
      <c r="T174" s="675"/>
      <c r="U174" s="675"/>
      <c r="V174" s="670" t="e">
        <f>LOOKUP(D174,'f-travail'!A:A,'f-travail'!E:E)</f>
        <v>#N/A</v>
      </c>
      <c r="W174" s="670" t="e">
        <f>VLOOKUP(V174,جرقمإستدلالي,'f-travail'!$AD$4+1,FALSE)</f>
        <v>#N/A</v>
      </c>
      <c r="X174" s="671" t="e">
        <f t="shared" si="69"/>
        <v>#N/A</v>
      </c>
      <c r="Y174" s="671">
        <f>IF(G174="مدير ولائي",(HLOOKUP(I174,جدروظعليا,'f-travail'!$AT$3+1,FALSE)-3200),0)</f>
        <v>0</v>
      </c>
      <c r="Z174" s="672" t="str">
        <f t="shared" si="80"/>
        <v/>
      </c>
      <c r="AA174" s="671">
        <f t="shared" si="81"/>
        <v>0</v>
      </c>
      <c r="AB174" s="677" t="b">
        <f t="shared" si="70"/>
        <v>0</v>
      </c>
      <c r="AC174" s="678">
        <f t="shared" si="82"/>
        <v>0</v>
      </c>
      <c r="AD174" s="673"/>
      <c r="AE174" s="678">
        <f t="shared" si="71"/>
        <v>0</v>
      </c>
      <c r="AF174" s="678" t="e">
        <f t="shared" si="72"/>
        <v>#N/A</v>
      </c>
      <c r="AG174" s="678" t="e">
        <f t="shared" si="73"/>
        <v>#N/A</v>
      </c>
      <c r="AH174" s="673">
        <f t="shared" si="83"/>
        <v>0</v>
      </c>
      <c r="AI174" s="674" t="e">
        <f>IF(G174="مدير ولائي",(11000*35%),LOOKUP(D174,'f-travail'!A:A,'f-travail'!I:I))</f>
        <v>#N/A</v>
      </c>
      <c r="AJ174" s="673" t="e">
        <f>IF(G174="مدير ولائي",((W174+X174)*45)*80%,IF(V174&lt;8,0,IF(F174="إليزي",(LOOKUP(D174,'f-travail'!A:A,'f-travail'!O:O))*(AF174+AG174),LOOKUP(D174,'f-travail'!A:A,'f-travail'!P:P)*(AF174+AG174))))</f>
        <v>#N/A</v>
      </c>
      <c r="AK174" s="673" t="e">
        <f>IF(G174="مدير ولائي",0,LOOKUP(D174,'f-travail'!A:A,'f-travail'!Q:Q))</f>
        <v>#N/A</v>
      </c>
      <c r="AL174" s="673" t="e">
        <f>IF(G174="مدير ولائي",0,LOOKUP(D174,'f-travail'!A:A,'f-travail'!R:R)*(AF174+AG174))</f>
        <v>#N/A</v>
      </c>
      <c r="AM174" s="673" t="e">
        <f>IF(G174="مدير ولائي",0,LOOKUP(D174,'f-travail'!A:A,'f-travail'!S:S)*(AF174+AG174))</f>
        <v>#N/A</v>
      </c>
      <c r="AN174" s="673" t="e">
        <f>IF(G174="مدير ولائي",0,LOOKUP(D174,'f-travail'!A:A,'f-travail'!T:T)*(AF174+AG174))</f>
        <v>#N/A</v>
      </c>
      <c r="AO174" s="673" t="e">
        <f>IF(G174="مدير ولائي",0,LOOKUP(D174,'f-travail'!A:A,'f-travail'!U:U)*(AF174+AG174))</f>
        <v>#N/A</v>
      </c>
      <c r="AP174" s="673" t="e">
        <f>IF(G174="مدير ولائي",0,LOOKUP(D174,'f-travail'!A:A,'f-travail'!V:V)*(AF174+AG174))</f>
        <v>#N/A</v>
      </c>
      <c r="AQ174" s="673" t="e">
        <f>IF(G174="مدير ولائي",0,LOOKUP(D174,'f-travail'!A:A,'f-travail'!W:W)*(AF174+AG174))</f>
        <v>#N/A</v>
      </c>
      <c r="AR174" s="673">
        <f t="shared" si="84"/>
        <v>0</v>
      </c>
      <c r="AS174" s="673" t="e">
        <f>IF(G174="مدير ولائي",0,LOOKUP(D174,'f-travail'!A:A,'f-travail'!X:X)*(AF174+AG174))</f>
        <v>#N/A</v>
      </c>
      <c r="AT174" s="673" t="e">
        <f>IF(G174="مدير ولائي",0,LOOKUP(D174,'f-travail'!Y:Y,'f-travail'!R:R)*(AF174+AG174))</f>
        <v>#N/A</v>
      </c>
      <c r="AU174" s="673">
        <f t="shared" si="74"/>
        <v>0</v>
      </c>
      <c r="AV174" s="673">
        <f t="shared" si="75"/>
        <v>0</v>
      </c>
      <c r="AW174" s="673">
        <f t="shared" si="76"/>
        <v>0</v>
      </c>
      <c r="AY174" s="640" t="e">
        <f t="shared" si="85"/>
        <v>#N/A</v>
      </c>
      <c r="AZ174" s="673" t="e">
        <f t="shared" si="77"/>
        <v>#N/A</v>
      </c>
      <c r="BA174" s="639" t="e">
        <f t="shared" si="78"/>
        <v>#N/A</v>
      </c>
      <c r="BG174" s="639">
        <f t="shared" si="86"/>
        <v>0</v>
      </c>
      <c r="BH174" s="683">
        <f t="shared" si="87"/>
        <v>0</v>
      </c>
      <c r="BI174" s="683">
        <f t="shared" si="88"/>
        <v>0</v>
      </c>
      <c r="BJ174" s="641" t="e">
        <f t="shared" si="89"/>
        <v>#N/A</v>
      </c>
      <c r="BK174" s="641" t="e">
        <f t="shared" si="90"/>
        <v>#N/A</v>
      </c>
      <c r="BL174" s="641" t="e">
        <f t="shared" si="91"/>
        <v>#N/A</v>
      </c>
      <c r="BM174" s="684" t="e">
        <f t="shared" si="92"/>
        <v>#N/A</v>
      </c>
      <c r="BO174" s="682" t="e">
        <f>CONCATENATE(Z174," ",LOOKUP(D174,'f-travail'!A:A,'f-travail'!F:F))</f>
        <v>#N/A</v>
      </c>
      <c r="BP174" s="669" t="e">
        <f t="shared" si="79"/>
        <v>#N/A</v>
      </c>
    </row>
    <row r="175" spans="1:68">
      <c r="A175" s="636">
        <f t="shared" si="93"/>
        <v>174</v>
      </c>
      <c r="B175" s="637"/>
      <c r="C175" s="637"/>
      <c r="D175" s="652"/>
      <c r="E175" s="679" t="e">
        <f>LOOKUP(D175,'f-travail'!A:A,'f-travail'!B:B)</f>
        <v>#N/A</v>
      </c>
      <c r="F175" s="650"/>
      <c r="G175" s="650"/>
      <c r="H175" s="653"/>
      <c r="I175" s="653"/>
      <c r="J175" s="654"/>
      <c r="K175" s="650"/>
      <c r="L175" s="650"/>
      <c r="M175" s="650">
        <v>0</v>
      </c>
      <c r="N175" s="654"/>
      <c r="O175" s="654"/>
      <c r="P175" s="654"/>
      <c r="Q175" s="654"/>
      <c r="R175" s="676"/>
      <c r="S175" s="654"/>
      <c r="T175" s="675"/>
      <c r="U175" s="675"/>
      <c r="V175" s="670" t="e">
        <f>LOOKUP(D175,'f-travail'!A:A,'f-travail'!E:E)</f>
        <v>#N/A</v>
      </c>
      <c r="W175" s="670" t="e">
        <f>VLOOKUP(V175,جرقمإستدلالي,'f-travail'!$AD$4+1,FALSE)</f>
        <v>#N/A</v>
      </c>
      <c r="X175" s="671" t="e">
        <f t="shared" si="69"/>
        <v>#N/A</v>
      </c>
      <c r="Y175" s="671">
        <f>IF(G175="مدير ولائي",(HLOOKUP(I175,جدروظعليا,'f-travail'!$AT$3+1,FALSE)-3200),0)</f>
        <v>0</v>
      </c>
      <c r="Z175" s="672" t="str">
        <f t="shared" si="80"/>
        <v/>
      </c>
      <c r="AA175" s="671">
        <f t="shared" si="81"/>
        <v>0</v>
      </c>
      <c r="AB175" s="677" t="b">
        <f t="shared" si="70"/>
        <v>0</v>
      </c>
      <c r="AC175" s="678">
        <f t="shared" si="82"/>
        <v>0</v>
      </c>
      <c r="AD175" s="673"/>
      <c r="AE175" s="678">
        <f t="shared" si="71"/>
        <v>0</v>
      </c>
      <c r="AF175" s="678" t="e">
        <f t="shared" si="72"/>
        <v>#N/A</v>
      </c>
      <c r="AG175" s="678" t="e">
        <f t="shared" si="73"/>
        <v>#N/A</v>
      </c>
      <c r="AH175" s="673">
        <f t="shared" si="83"/>
        <v>0</v>
      </c>
      <c r="AI175" s="674" t="e">
        <f>IF(G175="مدير ولائي",(11000*35%),LOOKUP(D175,'f-travail'!A:A,'f-travail'!I:I))</f>
        <v>#N/A</v>
      </c>
      <c r="AJ175" s="673" t="e">
        <f>IF(G175="مدير ولائي",((W175+X175)*45)*80%,IF(V175&lt;8,0,IF(F175="إليزي",(LOOKUP(D175,'f-travail'!A:A,'f-travail'!O:O))*(AF175+AG175),LOOKUP(D175,'f-travail'!A:A,'f-travail'!P:P)*(AF175+AG175))))</f>
        <v>#N/A</v>
      </c>
      <c r="AK175" s="673" t="e">
        <f>IF(G175="مدير ولائي",0,LOOKUP(D175,'f-travail'!A:A,'f-travail'!Q:Q))</f>
        <v>#N/A</v>
      </c>
      <c r="AL175" s="673" t="e">
        <f>IF(G175="مدير ولائي",0,LOOKUP(D175,'f-travail'!A:A,'f-travail'!R:R)*(AF175+AG175))</f>
        <v>#N/A</v>
      </c>
      <c r="AM175" s="673" t="e">
        <f>IF(G175="مدير ولائي",0,LOOKUP(D175,'f-travail'!A:A,'f-travail'!S:S)*(AF175+AG175))</f>
        <v>#N/A</v>
      </c>
      <c r="AN175" s="673" t="e">
        <f>IF(G175="مدير ولائي",0,LOOKUP(D175,'f-travail'!A:A,'f-travail'!T:T)*(AF175+AG175))</f>
        <v>#N/A</v>
      </c>
      <c r="AO175" s="673" t="e">
        <f>IF(G175="مدير ولائي",0,LOOKUP(D175,'f-travail'!A:A,'f-travail'!U:U)*(AF175+AG175))</f>
        <v>#N/A</v>
      </c>
      <c r="AP175" s="673" t="e">
        <f>IF(G175="مدير ولائي",0,LOOKUP(D175,'f-travail'!A:A,'f-travail'!V:V)*(AF175+AG175))</f>
        <v>#N/A</v>
      </c>
      <c r="AQ175" s="673" t="e">
        <f>IF(G175="مدير ولائي",0,LOOKUP(D175,'f-travail'!A:A,'f-travail'!W:W)*(AF175+AG175))</f>
        <v>#N/A</v>
      </c>
      <c r="AR175" s="673">
        <f t="shared" si="84"/>
        <v>0</v>
      </c>
      <c r="AS175" s="673" t="e">
        <f>IF(G175="مدير ولائي",0,LOOKUP(D175,'f-travail'!A:A,'f-travail'!X:X)*(AF175+AG175))</f>
        <v>#N/A</v>
      </c>
      <c r="AT175" s="673" t="e">
        <f>IF(G175="مدير ولائي",0,LOOKUP(D175,'f-travail'!Y:Y,'f-travail'!R:R)*(AF175+AG175))</f>
        <v>#N/A</v>
      </c>
      <c r="AU175" s="673">
        <f t="shared" si="74"/>
        <v>0</v>
      </c>
      <c r="AV175" s="673">
        <f t="shared" si="75"/>
        <v>0</v>
      </c>
      <c r="AW175" s="673">
        <f t="shared" si="76"/>
        <v>0</v>
      </c>
      <c r="AY175" s="640" t="e">
        <f t="shared" si="85"/>
        <v>#N/A</v>
      </c>
      <c r="AZ175" s="673" t="e">
        <f t="shared" si="77"/>
        <v>#N/A</v>
      </c>
      <c r="BA175" s="639" t="e">
        <f t="shared" si="78"/>
        <v>#N/A</v>
      </c>
      <c r="BG175" s="639">
        <f t="shared" si="86"/>
        <v>0</v>
      </c>
      <c r="BH175" s="683">
        <f t="shared" si="87"/>
        <v>0</v>
      </c>
      <c r="BI175" s="683">
        <f t="shared" si="88"/>
        <v>0</v>
      </c>
      <c r="BJ175" s="641" t="e">
        <f t="shared" si="89"/>
        <v>#N/A</v>
      </c>
      <c r="BK175" s="641" t="e">
        <f t="shared" si="90"/>
        <v>#N/A</v>
      </c>
      <c r="BL175" s="641" t="e">
        <f t="shared" si="91"/>
        <v>#N/A</v>
      </c>
      <c r="BM175" s="684" t="e">
        <f t="shared" si="92"/>
        <v>#N/A</v>
      </c>
      <c r="BO175" s="682" t="e">
        <f>CONCATENATE(Z175," ",LOOKUP(D175,'f-travail'!A:A,'f-travail'!F:F))</f>
        <v>#N/A</v>
      </c>
      <c r="BP175" s="669" t="e">
        <f t="shared" si="79"/>
        <v>#N/A</v>
      </c>
    </row>
    <row r="176" spans="1:68">
      <c r="A176" s="636">
        <f t="shared" si="93"/>
        <v>175</v>
      </c>
      <c r="B176" s="637"/>
      <c r="C176" s="637"/>
      <c r="D176" s="652"/>
      <c r="E176" s="679" t="e">
        <f>LOOKUP(D176,'f-travail'!A:A,'f-travail'!B:B)</f>
        <v>#N/A</v>
      </c>
      <c r="F176" s="650"/>
      <c r="G176" s="650"/>
      <c r="H176" s="653"/>
      <c r="I176" s="653"/>
      <c r="J176" s="654"/>
      <c r="K176" s="650"/>
      <c r="L176" s="650"/>
      <c r="M176" s="650">
        <v>0</v>
      </c>
      <c r="N176" s="654"/>
      <c r="O176" s="654"/>
      <c r="P176" s="654"/>
      <c r="Q176" s="654"/>
      <c r="R176" s="676"/>
      <c r="S176" s="654"/>
      <c r="T176" s="675"/>
      <c r="U176" s="675"/>
      <c r="V176" s="670" t="e">
        <f>LOOKUP(D176,'f-travail'!A:A,'f-travail'!E:E)</f>
        <v>#N/A</v>
      </c>
      <c r="W176" s="670" t="e">
        <f>VLOOKUP(V176,جرقمإستدلالي,'f-travail'!$AD$4+1,FALSE)</f>
        <v>#N/A</v>
      </c>
      <c r="X176" s="671" t="e">
        <f t="shared" si="69"/>
        <v>#N/A</v>
      </c>
      <c r="Y176" s="671">
        <f>IF(G176="مدير ولائي",(HLOOKUP(I176,جدروظعليا,'f-travail'!$AT$3+1,FALSE)-3200),0)</f>
        <v>0</v>
      </c>
      <c r="Z176" s="672" t="str">
        <f t="shared" si="80"/>
        <v/>
      </c>
      <c r="AA176" s="671">
        <f t="shared" si="81"/>
        <v>0</v>
      </c>
      <c r="AB176" s="677" t="b">
        <f t="shared" si="70"/>
        <v>0</v>
      </c>
      <c r="AC176" s="678">
        <f t="shared" si="82"/>
        <v>0</v>
      </c>
      <c r="AD176" s="673"/>
      <c r="AE176" s="678">
        <f t="shared" si="71"/>
        <v>0</v>
      </c>
      <c r="AF176" s="678" t="e">
        <f t="shared" si="72"/>
        <v>#N/A</v>
      </c>
      <c r="AG176" s="678" t="e">
        <f t="shared" si="73"/>
        <v>#N/A</v>
      </c>
      <c r="AH176" s="673">
        <f t="shared" si="83"/>
        <v>0</v>
      </c>
      <c r="AI176" s="674" t="e">
        <f>IF(G176="مدير ولائي",(11000*35%),LOOKUP(D176,'f-travail'!A:A,'f-travail'!I:I))</f>
        <v>#N/A</v>
      </c>
      <c r="AJ176" s="673" t="e">
        <f>IF(G176="مدير ولائي",((W176+X176)*45)*80%,IF(V176&lt;8,0,IF(F176="إليزي",(LOOKUP(D176,'f-travail'!A:A,'f-travail'!O:O))*(AF176+AG176),LOOKUP(D176,'f-travail'!A:A,'f-travail'!P:P)*(AF176+AG176))))</f>
        <v>#N/A</v>
      </c>
      <c r="AK176" s="673" t="e">
        <f>IF(G176="مدير ولائي",0,LOOKUP(D176,'f-travail'!A:A,'f-travail'!Q:Q))</f>
        <v>#N/A</v>
      </c>
      <c r="AL176" s="673" t="e">
        <f>IF(G176="مدير ولائي",0,LOOKUP(D176,'f-travail'!A:A,'f-travail'!R:R)*(AF176+AG176))</f>
        <v>#N/A</v>
      </c>
      <c r="AM176" s="673" t="e">
        <f>IF(G176="مدير ولائي",0,LOOKUP(D176,'f-travail'!A:A,'f-travail'!S:S)*(AF176+AG176))</f>
        <v>#N/A</v>
      </c>
      <c r="AN176" s="673" t="e">
        <f>IF(G176="مدير ولائي",0,LOOKUP(D176,'f-travail'!A:A,'f-travail'!T:T)*(AF176+AG176))</f>
        <v>#N/A</v>
      </c>
      <c r="AO176" s="673" t="e">
        <f>IF(G176="مدير ولائي",0,LOOKUP(D176,'f-travail'!A:A,'f-travail'!U:U)*(AF176+AG176))</f>
        <v>#N/A</v>
      </c>
      <c r="AP176" s="673" t="e">
        <f>IF(G176="مدير ولائي",0,LOOKUP(D176,'f-travail'!A:A,'f-travail'!V:V)*(AF176+AG176))</f>
        <v>#N/A</v>
      </c>
      <c r="AQ176" s="673" t="e">
        <f>IF(G176="مدير ولائي",0,LOOKUP(D176,'f-travail'!A:A,'f-travail'!W:W)*(AF176+AG176))</f>
        <v>#N/A</v>
      </c>
      <c r="AR176" s="673">
        <f t="shared" si="84"/>
        <v>0</v>
      </c>
      <c r="AS176" s="673" t="e">
        <f>IF(G176="مدير ولائي",0,LOOKUP(D176,'f-travail'!A:A,'f-travail'!X:X)*(AF176+AG176))</f>
        <v>#N/A</v>
      </c>
      <c r="AT176" s="673" t="e">
        <f>IF(G176="مدير ولائي",0,LOOKUP(D176,'f-travail'!Y:Y,'f-travail'!R:R)*(AF176+AG176))</f>
        <v>#N/A</v>
      </c>
      <c r="AU176" s="673">
        <f t="shared" si="74"/>
        <v>0</v>
      </c>
      <c r="AV176" s="673">
        <f t="shared" si="75"/>
        <v>0</v>
      </c>
      <c r="AW176" s="673">
        <f t="shared" si="76"/>
        <v>0</v>
      </c>
      <c r="AY176" s="640" t="e">
        <f t="shared" si="85"/>
        <v>#N/A</v>
      </c>
      <c r="AZ176" s="673" t="e">
        <f t="shared" si="77"/>
        <v>#N/A</v>
      </c>
      <c r="BA176" s="639" t="e">
        <f t="shared" si="78"/>
        <v>#N/A</v>
      </c>
      <c r="BG176" s="639">
        <f t="shared" si="86"/>
        <v>0</v>
      </c>
      <c r="BH176" s="683">
        <f t="shared" si="87"/>
        <v>0</v>
      </c>
      <c r="BI176" s="683">
        <f t="shared" si="88"/>
        <v>0</v>
      </c>
      <c r="BJ176" s="641" t="e">
        <f t="shared" si="89"/>
        <v>#N/A</v>
      </c>
      <c r="BK176" s="641" t="e">
        <f t="shared" si="90"/>
        <v>#N/A</v>
      </c>
      <c r="BL176" s="641" t="e">
        <f t="shared" si="91"/>
        <v>#N/A</v>
      </c>
      <c r="BM176" s="684" t="e">
        <f t="shared" si="92"/>
        <v>#N/A</v>
      </c>
      <c r="BO176" s="682" t="e">
        <f>CONCATENATE(Z176," ",LOOKUP(D176,'f-travail'!A:A,'f-travail'!F:F))</f>
        <v>#N/A</v>
      </c>
      <c r="BP176" s="669" t="e">
        <f t="shared" si="79"/>
        <v>#N/A</v>
      </c>
    </row>
    <row r="177" spans="1:68">
      <c r="A177" s="636">
        <f t="shared" si="93"/>
        <v>176</v>
      </c>
      <c r="B177" s="637"/>
      <c r="C177" s="637"/>
      <c r="D177" s="652"/>
      <c r="E177" s="679" t="e">
        <f>LOOKUP(D177,'f-travail'!A:A,'f-travail'!B:B)</f>
        <v>#N/A</v>
      </c>
      <c r="F177" s="650"/>
      <c r="G177" s="650"/>
      <c r="H177" s="653"/>
      <c r="I177" s="653"/>
      <c r="J177" s="654"/>
      <c r="K177" s="650"/>
      <c r="L177" s="650"/>
      <c r="M177" s="650">
        <v>0</v>
      </c>
      <c r="N177" s="654"/>
      <c r="O177" s="654"/>
      <c r="P177" s="654"/>
      <c r="Q177" s="654"/>
      <c r="R177" s="676"/>
      <c r="S177" s="654"/>
      <c r="T177" s="675"/>
      <c r="U177" s="675"/>
      <c r="V177" s="670" t="e">
        <f>LOOKUP(D177,'f-travail'!A:A,'f-travail'!E:E)</f>
        <v>#N/A</v>
      </c>
      <c r="W177" s="670" t="e">
        <f>VLOOKUP(V177,جرقمإستدلالي,'f-travail'!$AD$4+1,FALSE)</f>
        <v>#N/A</v>
      </c>
      <c r="X177" s="671" t="e">
        <f t="shared" si="69"/>
        <v>#N/A</v>
      </c>
      <c r="Y177" s="671">
        <f>IF(G177="مدير ولائي",(HLOOKUP(I177,جدروظعليا,'f-travail'!$AT$3+1,FALSE)-3200),0)</f>
        <v>0</v>
      </c>
      <c r="Z177" s="672" t="str">
        <f t="shared" si="80"/>
        <v/>
      </c>
      <c r="AA177" s="671">
        <f t="shared" si="81"/>
        <v>0</v>
      </c>
      <c r="AB177" s="677" t="b">
        <f t="shared" si="70"/>
        <v>0</v>
      </c>
      <c r="AC177" s="678">
        <f t="shared" si="82"/>
        <v>0</v>
      </c>
      <c r="AD177" s="673"/>
      <c r="AE177" s="678">
        <f t="shared" si="71"/>
        <v>0</v>
      </c>
      <c r="AF177" s="678" t="e">
        <f t="shared" si="72"/>
        <v>#N/A</v>
      </c>
      <c r="AG177" s="678" t="e">
        <f t="shared" si="73"/>
        <v>#N/A</v>
      </c>
      <c r="AH177" s="673">
        <f t="shared" si="83"/>
        <v>0</v>
      </c>
      <c r="AI177" s="674" t="e">
        <f>IF(G177="مدير ولائي",(11000*35%),LOOKUP(D177,'f-travail'!A:A,'f-travail'!I:I))</f>
        <v>#N/A</v>
      </c>
      <c r="AJ177" s="673" t="e">
        <f>IF(G177="مدير ولائي",((W177+X177)*45)*80%,IF(V177&lt;8,0,IF(F177="إليزي",(LOOKUP(D177,'f-travail'!A:A,'f-travail'!O:O))*(AF177+AG177),LOOKUP(D177,'f-travail'!A:A,'f-travail'!P:P)*(AF177+AG177))))</f>
        <v>#N/A</v>
      </c>
      <c r="AK177" s="673" t="e">
        <f>IF(G177="مدير ولائي",0,LOOKUP(D177,'f-travail'!A:A,'f-travail'!Q:Q))</f>
        <v>#N/A</v>
      </c>
      <c r="AL177" s="673" t="e">
        <f>IF(G177="مدير ولائي",0,LOOKUP(D177,'f-travail'!A:A,'f-travail'!R:R)*(AF177+AG177))</f>
        <v>#N/A</v>
      </c>
      <c r="AM177" s="673" t="e">
        <f>IF(G177="مدير ولائي",0,LOOKUP(D177,'f-travail'!A:A,'f-travail'!S:S)*(AF177+AG177))</f>
        <v>#N/A</v>
      </c>
      <c r="AN177" s="673" t="e">
        <f>IF(G177="مدير ولائي",0,LOOKUP(D177,'f-travail'!A:A,'f-travail'!T:T)*(AF177+AG177))</f>
        <v>#N/A</v>
      </c>
      <c r="AO177" s="673" t="e">
        <f>IF(G177="مدير ولائي",0,LOOKUP(D177,'f-travail'!A:A,'f-travail'!U:U)*(AF177+AG177))</f>
        <v>#N/A</v>
      </c>
      <c r="AP177" s="673" t="e">
        <f>IF(G177="مدير ولائي",0,LOOKUP(D177,'f-travail'!A:A,'f-travail'!V:V)*(AF177+AG177))</f>
        <v>#N/A</v>
      </c>
      <c r="AQ177" s="673" t="e">
        <f>IF(G177="مدير ولائي",0,LOOKUP(D177,'f-travail'!A:A,'f-travail'!W:W)*(AF177+AG177))</f>
        <v>#N/A</v>
      </c>
      <c r="AR177" s="673">
        <f t="shared" si="84"/>
        <v>0</v>
      </c>
      <c r="AS177" s="673" t="e">
        <f>IF(G177="مدير ولائي",0,LOOKUP(D177,'f-travail'!A:A,'f-travail'!X:X)*(AF177+AG177))</f>
        <v>#N/A</v>
      </c>
      <c r="AT177" s="673" t="e">
        <f>IF(G177="مدير ولائي",0,LOOKUP(D177,'f-travail'!Y:Y,'f-travail'!R:R)*(AF177+AG177))</f>
        <v>#N/A</v>
      </c>
      <c r="AU177" s="673">
        <f t="shared" si="74"/>
        <v>0</v>
      </c>
      <c r="AV177" s="673">
        <f t="shared" si="75"/>
        <v>0</v>
      </c>
      <c r="AW177" s="673">
        <f t="shared" si="76"/>
        <v>0</v>
      </c>
      <c r="AY177" s="640" t="e">
        <f t="shared" si="85"/>
        <v>#N/A</v>
      </c>
      <c r="AZ177" s="673" t="e">
        <f t="shared" si="77"/>
        <v>#N/A</v>
      </c>
      <c r="BA177" s="639" t="e">
        <f t="shared" si="78"/>
        <v>#N/A</v>
      </c>
      <c r="BG177" s="639">
        <f t="shared" si="86"/>
        <v>0</v>
      </c>
      <c r="BH177" s="683">
        <f t="shared" si="87"/>
        <v>0</v>
      </c>
      <c r="BI177" s="683">
        <f t="shared" si="88"/>
        <v>0</v>
      </c>
      <c r="BJ177" s="641" t="e">
        <f t="shared" si="89"/>
        <v>#N/A</v>
      </c>
      <c r="BK177" s="641" t="e">
        <f t="shared" si="90"/>
        <v>#N/A</v>
      </c>
      <c r="BL177" s="641" t="e">
        <f t="shared" si="91"/>
        <v>#N/A</v>
      </c>
      <c r="BM177" s="684" t="e">
        <f t="shared" si="92"/>
        <v>#N/A</v>
      </c>
      <c r="BO177" s="682" t="e">
        <f>CONCATENATE(Z177," ",LOOKUP(D177,'f-travail'!A:A,'f-travail'!F:F))</f>
        <v>#N/A</v>
      </c>
      <c r="BP177" s="669" t="e">
        <f t="shared" si="79"/>
        <v>#N/A</v>
      </c>
    </row>
    <row r="178" spans="1:68">
      <c r="A178" s="636">
        <f t="shared" si="93"/>
        <v>177</v>
      </c>
      <c r="B178" s="637"/>
      <c r="C178" s="637"/>
      <c r="D178" s="652"/>
      <c r="E178" s="679" t="e">
        <f>LOOKUP(D178,'f-travail'!A:A,'f-travail'!B:B)</f>
        <v>#N/A</v>
      </c>
      <c r="F178" s="650"/>
      <c r="G178" s="650"/>
      <c r="H178" s="653"/>
      <c r="I178" s="653"/>
      <c r="J178" s="654"/>
      <c r="K178" s="650"/>
      <c r="L178" s="650"/>
      <c r="M178" s="650">
        <v>0</v>
      </c>
      <c r="N178" s="654"/>
      <c r="O178" s="654"/>
      <c r="P178" s="654"/>
      <c r="Q178" s="654"/>
      <c r="R178" s="676"/>
      <c r="S178" s="654"/>
      <c r="T178" s="675"/>
      <c r="U178" s="675"/>
      <c r="V178" s="670" t="e">
        <f>LOOKUP(D178,'f-travail'!A:A,'f-travail'!E:E)</f>
        <v>#N/A</v>
      </c>
      <c r="W178" s="670" t="e">
        <f>VLOOKUP(V178,جرقمإستدلالي,'f-travail'!$AD$4+1,FALSE)</f>
        <v>#N/A</v>
      </c>
      <c r="X178" s="671" t="e">
        <f t="shared" si="69"/>
        <v>#N/A</v>
      </c>
      <c r="Y178" s="671">
        <f>IF(G178="مدير ولائي",(HLOOKUP(I178,جدروظعليا,'f-travail'!$AT$3+1,FALSE)-3200),0)</f>
        <v>0</v>
      </c>
      <c r="Z178" s="672" t="str">
        <f t="shared" si="80"/>
        <v/>
      </c>
      <c r="AA178" s="671">
        <f t="shared" si="81"/>
        <v>0</v>
      </c>
      <c r="AB178" s="677" t="b">
        <f t="shared" si="70"/>
        <v>0</v>
      </c>
      <c r="AC178" s="678">
        <f t="shared" si="82"/>
        <v>0</v>
      </c>
      <c r="AD178" s="673"/>
      <c r="AE178" s="678">
        <f t="shared" si="71"/>
        <v>0</v>
      </c>
      <c r="AF178" s="678" t="e">
        <f t="shared" si="72"/>
        <v>#N/A</v>
      </c>
      <c r="AG178" s="678" t="e">
        <f t="shared" si="73"/>
        <v>#N/A</v>
      </c>
      <c r="AH178" s="673">
        <f t="shared" si="83"/>
        <v>0</v>
      </c>
      <c r="AI178" s="674" t="e">
        <f>IF(G178="مدير ولائي",(11000*35%),LOOKUP(D178,'f-travail'!A:A,'f-travail'!I:I))</f>
        <v>#N/A</v>
      </c>
      <c r="AJ178" s="673" t="e">
        <f>IF(G178="مدير ولائي",((W178+X178)*45)*80%,IF(V178&lt;8,0,IF(F178="إليزي",(LOOKUP(D178,'f-travail'!A:A,'f-travail'!O:O))*(AF178+AG178),LOOKUP(D178,'f-travail'!A:A,'f-travail'!P:P)*(AF178+AG178))))</f>
        <v>#N/A</v>
      </c>
      <c r="AK178" s="673" t="e">
        <f>IF(G178="مدير ولائي",0,LOOKUP(D178,'f-travail'!A:A,'f-travail'!Q:Q))</f>
        <v>#N/A</v>
      </c>
      <c r="AL178" s="673" t="e">
        <f>IF(G178="مدير ولائي",0,LOOKUP(D178,'f-travail'!A:A,'f-travail'!R:R)*(AF178+AG178))</f>
        <v>#N/A</v>
      </c>
      <c r="AM178" s="673" t="e">
        <f>IF(G178="مدير ولائي",0,LOOKUP(D178,'f-travail'!A:A,'f-travail'!S:S)*(AF178+AG178))</f>
        <v>#N/A</v>
      </c>
      <c r="AN178" s="673" t="e">
        <f>IF(G178="مدير ولائي",0,LOOKUP(D178,'f-travail'!A:A,'f-travail'!T:T)*(AF178+AG178))</f>
        <v>#N/A</v>
      </c>
      <c r="AO178" s="673" t="e">
        <f>IF(G178="مدير ولائي",0,LOOKUP(D178,'f-travail'!A:A,'f-travail'!U:U)*(AF178+AG178))</f>
        <v>#N/A</v>
      </c>
      <c r="AP178" s="673" t="e">
        <f>IF(G178="مدير ولائي",0,LOOKUP(D178,'f-travail'!A:A,'f-travail'!V:V)*(AF178+AG178))</f>
        <v>#N/A</v>
      </c>
      <c r="AQ178" s="673" t="e">
        <f>IF(G178="مدير ولائي",0,LOOKUP(D178,'f-travail'!A:A,'f-travail'!W:W)*(AF178+AG178))</f>
        <v>#N/A</v>
      </c>
      <c r="AR178" s="673">
        <f t="shared" si="84"/>
        <v>0</v>
      </c>
      <c r="AS178" s="673" t="e">
        <f>IF(G178="مدير ولائي",0,LOOKUP(D178,'f-travail'!A:A,'f-travail'!X:X)*(AF178+AG178))</f>
        <v>#N/A</v>
      </c>
      <c r="AT178" s="673" t="e">
        <f>IF(G178="مدير ولائي",0,LOOKUP(D178,'f-travail'!Y:Y,'f-travail'!R:R)*(AF178+AG178))</f>
        <v>#N/A</v>
      </c>
      <c r="AU178" s="673">
        <f t="shared" si="74"/>
        <v>0</v>
      </c>
      <c r="AV178" s="673">
        <f t="shared" si="75"/>
        <v>0</v>
      </c>
      <c r="AW178" s="673">
        <f t="shared" si="76"/>
        <v>0</v>
      </c>
      <c r="AY178" s="640" t="e">
        <f t="shared" si="85"/>
        <v>#N/A</v>
      </c>
      <c r="AZ178" s="673" t="e">
        <f t="shared" si="77"/>
        <v>#N/A</v>
      </c>
      <c r="BA178" s="639" t="e">
        <f t="shared" si="78"/>
        <v>#N/A</v>
      </c>
      <c r="BG178" s="639">
        <f t="shared" si="86"/>
        <v>0</v>
      </c>
      <c r="BH178" s="683">
        <f t="shared" si="87"/>
        <v>0</v>
      </c>
      <c r="BI178" s="683">
        <f t="shared" si="88"/>
        <v>0</v>
      </c>
      <c r="BJ178" s="641" t="e">
        <f t="shared" si="89"/>
        <v>#N/A</v>
      </c>
      <c r="BK178" s="641" t="e">
        <f t="shared" si="90"/>
        <v>#N/A</v>
      </c>
      <c r="BL178" s="641" t="e">
        <f t="shared" si="91"/>
        <v>#N/A</v>
      </c>
      <c r="BM178" s="684" t="e">
        <f t="shared" si="92"/>
        <v>#N/A</v>
      </c>
      <c r="BO178" s="682" t="e">
        <f>CONCATENATE(Z178," ",LOOKUP(D178,'f-travail'!A:A,'f-travail'!F:F))</f>
        <v>#N/A</v>
      </c>
      <c r="BP178" s="669" t="e">
        <f t="shared" si="79"/>
        <v>#N/A</v>
      </c>
    </row>
    <row r="179" spans="1:68">
      <c r="A179" s="636">
        <f t="shared" si="93"/>
        <v>178</v>
      </c>
      <c r="B179" s="637"/>
      <c r="C179" s="637"/>
      <c r="D179" s="652"/>
      <c r="E179" s="679" t="e">
        <f>LOOKUP(D179,'f-travail'!A:A,'f-travail'!B:B)</f>
        <v>#N/A</v>
      </c>
      <c r="F179" s="650"/>
      <c r="G179" s="650"/>
      <c r="H179" s="653"/>
      <c r="I179" s="653"/>
      <c r="J179" s="654"/>
      <c r="K179" s="650"/>
      <c r="L179" s="650"/>
      <c r="M179" s="650">
        <v>0</v>
      </c>
      <c r="N179" s="654"/>
      <c r="O179" s="654"/>
      <c r="P179" s="654"/>
      <c r="Q179" s="654"/>
      <c r="R179" s="676"/>
      <c r="S179" s="654"/>
      <c r="T179" s="675"/>
      <c r="U179" s="675"/>
      <c r="V179" s="670" t="e">
        <f>LOOKUP(D179,'f-travail'!A:A,'f-travail'!E:E)</f>
        <v>#N/A</v>
      </c>
      <c r="W179" s="670" t="e">
        <f>VLOOKUP(V179,جرقمإستدلالي,'f-travail'!$AD$4+1,FALSE)</f>
        <v>#N/A</v>
      </c>
      <c r="X179" s="671" t="e">
        <f t="shared" si="69"/>
        <v>#N/A</v>
      </c>
      <c r="Y179" s="671">
        <f>IF(G179="مدير ولائي",(HLOOKUP(I179,جدروظعليا,'f-travail'!$AT$3+1,FALSE)-3200),0)</f>
        <v>0</v>
      </c>
      <c r="Z179" s="672" t="str">
        <f t="shared" si="80"/>
        <v/>
      </c>
      <c r="AA179" s="671">
        <f t="shared" si="81"/>
        <v>0</v>
      </c>
      <c r="AB179" s="677" t="b">
        <f t="shared" si="70"/>
        <v>0</v>
      </c>
      <c r="AC179" s="678">
        <f t="shared" si="82"/>
        <v>0</v>
      </c>
      <c r="AD179" s="673"/>
      <c r="AE179" s="678">
        <f t="shared" si="71"/>
        <v>0</v>
      </c>
      <c r="AF179" s="678" t="e">
        <f t="shared" si="72"/>
        <v>#N/A</v>
      </c>
      <c r="AG179" s="678" t="e">
        <f t="shared" si="73"/>
        <v>#N/A</v>
      </c>
      <c r="AH179" s="673">
        <f t="shared" si="83"/>
        <v>0</v>
      </c>
      <c r="AI179" s="674" t="e">
        <f>IF(G179="مدير ولائي",(11000*35%),LOOKUP(D179,'f-travail'!A:A,'f-travail'!I:I))</f>
        <v>#N/A</v>
      </c>
      <c r="AJ179" s="673" t="e">
        <f>IF(G179="مدير ولائي",((W179+X179)*45)*80%,IF(V179&lt;8,0,IF(F179="إليزي",(LOOKUP(D179,'f-travail'!A:A,'f-travail'!O:O))*(AF179+AG179),LOOKUP(D179,'f-travail'!A:A,'f-travail'!P:P)*(AF179+AG179))))</f>
        <v>#N/A</v>
      </c>
      <c r="AK179" s="673" t="e">
        <f>IF(G179="مدير ولائي",0,LOOKUP(D179,'f-travail'!A:A,'f-travail'!Q:Q))</f>
        <v>#N/A</v>
      </c>
      <c r="AL179" s="673" t="e">
        <f>IF(G179="مدير ولائي",0,LOOKUP(D179,'f-travail'!A:A,'f-travail'!R:R)*(AF179+AG179))</f>
        <v>#N/A</v>
      </c>
      <c r="AM179" s="673" t="e">
        <f>IF(G179="مدير ولائي",0,LOOKUP(D179,'f-travail'!A:A,'f-travail'!S:S)*(AF179+AG179))</f>
        <v>#N/A</v>
      </c>
      <c r="AN179" s="673" t="e">
        <f>IF(G179="مدير ولائي",0,LOOKUP(D179,'f-travail'!A:A,'f-travail'!T:T)*(AF179+AG179))</f>
        <v>#N/A</v>
      </c>
      <c r="AO179" s="673" t="e">
        <f>IF(G179="مدير ولائي",0,LOOKUP(D179,'f-travail'!A:A,'f-travail'!U:U)*(AF179+AG179))</f>
        <v>#N/A</v>
      </c>
      <c r="AP179" s="673" t="e">
        <f>IF(G179="مدير ولائي",0,LOOKUP(D179,'f-travail'!A:A,'f-travail'!V:V)*(AF179+AG179))</f>
        <v>#N/A</v>
      </c>
      <c r="AQ179" s="673" t="e">
        <f>IF(G179="مدير ولائي",0,LOOKUP(D179,'f-travail'!A:A,'f-travail'!W:W)*(AF179+AG179))</f>
        <v>#N/A</v>
      </c>
      <c r="AR179" s="673">
        <f t="shared" si="84"/>
        <v>0</v>
      </c>
      <c r="AS179" s="673" t="e">
        <f>IF(G179="مدير ولائي",0,LOOKUP(D179,'f-travail'!A:A,'f-travail'!X:X)*(AF179+AG179))</f>
        <v>#N/A</v>
      </c>
      <c r="AT179" s="673" t="e">
        <f>IF(G179="مدير ولائي",0,LOOKUP(D179,'f-travail'!Y:Y,'f-travail'!R:R)*(AF179+AG179))</f>
        <v>#N/A</v>
      </c>
      <c r="AU179" s="673">
        <f t="shared" si="74"/>
        <v>0</v>
      </c>
      <c r="AV179" s="673">
        <f t="shared" si="75"/>
        <v>0</v>
      </c>
      <c r="AW179" s="673">
        <f t="shared" si="76"/>
        <v>0</v>
      </c>
      <c r="AY179" s="640" t="e">
        <f t="shared" si="85"/>
        <v>#N/A</v>
      </c>
      <c r="AZ179" s="673" t="e">
        <f t="shared" si="77"/>
        <v>#N/A</v>
      </c>
      <c r="BA179" s="639" t="e">
        <f t="shared" si="78"/>
        <v>#N/A</v>
      </c>
      <c r="BG179" s="639">
        <f t="shared" si="86"/>
        <v>0</v>
      </c>
      <c r="BH179" s="683">
        <f t="shared" si="87"/>
        <v>0</v>
      </c>
      <c r="BI179" s="683">
        <f t="shared" si="88"/>
        <v>0</v>
      </c>
      <c r="BJ179" s="641" t="e">
        <f t="shared" si="89"/>
        <v>#N/A</v>
      </c>
      <c r="BK179" s="641" t="e">
        <f t="shared" si="90"/>
        <v>#N/A</v>
      </c>
      <c r="BL179" s="641" t="e">
        <f t="shared" si="91"/>
        <v>#N/A</v>
      </c>
      <c r="BM179" s="684" t="e">
        <f t="shared" si="92"/>
        <v>#N/A</v>
      </c>
      <c r="BO179" s="682" t="e">
        <f>CONCATENATE(Z179," ",LOOKUP(D179,'f-travail'!A:A,'f-travail'!F:F))</f>
        <v>#N/A</v>
      </c>
      <c r="BP179" s="669" t="e">
        <f t="shared" si="79"/>
        <v>#N/A</v>
      </c>
    </row>
    <row r="180" spans="1:68">
      <c r="A180" s="636">
        <f t="shared" si="93"/>
        <v>179</v>
      </c>
      <c r="B180" s="637"/>
      <c r="C180" s="637"/>
      <c r="D180" s="652"/>
      <c r="E180" s="679" t="e">
        <f>LOOKUP(D180,'f-travail'!A:A,'f-travail'!B:B)</f>
        <v>#N/A</v>
      </c>
      <c r="F180" s="650"/>
      <c r="G180" s="650"/>
      <c r="H180" s="653"/>
      <c r="I180" s="653"/>
      <c r="J180" s="654"/>
      <c r="K180" s="650"/>
      <c r="L180" s="650"/>
      <c r="M180" s="650">
        <v>0</v>
      </c>
      <c r="N180" s="654"/>
      <c r="O180" s="654"/>
      <c r="P180" s="654"/>
      <c r="Q180" s="654"/>
      <c r="R180" s="676"/>
      <c r="S180" s="654"/>
      <c r="T180" s="675"/>
      <c r="U180" s="675"/>
      <c r="V180" s="670" t="e">
        <f>LOOKUP(D180,'f-travail'!A:A,'f-travail'!E:E)</f>
        <v>#N/A</v>
      </c>
      <c r="W180" s="670" t="e">
        <f>VLOOKUP(V180,جرقمإستدلالي,'f-travail'!$AD$4+1,FALSE)</f>
        <v>#N/A</v>
      </c>
      <c r="X180" s="671" t="e">
        <f t="shared" si="69"/>
        <v>#N/A</v>
      </c>
      <c r="Y180" s="671">
        <f>IF(G180="مدير ولائي",(HLOOKUP(I180,جدروظعليا,'f-travail'!$AT$3+1,FALSE)-3200),0)</f>
        <v>0</v>
      </c>
      <c r="Z180" s="672" t="str">
        <f t="shared" si="80"/>
        <v/>
      </c>
      <c r="AA180" s="671">
        <f t="shared" si="81"/>
        <v>0</v>
      </c>
      <c r="AB180" s="677" t="b">
        <f t="shared" si="70"/>
        <v>0</v>
      </c>
      <c r="AC180" s="678">
        <f t="shared" si="82"/>
        <v>0</v>
      </c>
      <c r="AD180" s="673"/>
      <c r="AE180" s="678">
        <f t="shared" si="71"/>
        <v>0</v>
      </c>
      <c r="AF180" s="678" t="e">
        <f t="shared" si="72"/>
        <v>#N/A</v>
      </c>
      <c r="AG180" s="678" t="e">
        <f t="shared" si="73"/>
        <v>#N/A</v>
      </c>
      <c r="AH180" s="673">
        <f t="shared" si="83"/>
        <v>0</v>
      </c>
      <c r="AI180" s="674" t="e">
        <f>IF(G180="مدير ولائي",(11000*35%),LOOKUP(D180,'f-travail'!A:A,'f-travail'!I:I))</f>
        <v>#N/A</v>
      </c>
      <c r="AJ180" s="673" t="e">
        <f>IF(G180="مدير ولائي",((W180+X180)*45)*80%,IF(V180&lt;8,0,IF(F180="إليزي",(LOOKUP(D180,'f-travail'!A:A,'f-travail'!O:O))*(AF180+AG180),LOOKUP(D180,'f-travail'!A:A,'f-travail'!P:P)*(AF180+AG180))))</f>
        <v>#N/A</v>
      </c>
      <c r="AK180" s="673" t="e">
        <f>IF(G180="مدير ولائي",0,LOOKUP(D180,'f-travail'!A:A,'f-travail'!Q:Q))</f>
        <v>#N/A</v>
      </c>
      <c r="AL180" s="673" t="e">
        <f>IF(G180="مدير ولائي",0,LOOKUP(D180,'f-travail'!A:A,'f-travail'!R:R)*(AF180+AG180))</f>
        <v>#N/A</v>
      </c>
      <c r="AM180" s="673" t="e">
        <f>IF(G180="مدير ولائي",0,LOOKUP(D180,'f-travail'!A:A,'f-travail'!S:S)*(AF180+AG180))</f>
        <v>#N/A</v>
      </c>
      <c r="AN180" s="673" t="e">
        <f>IF(G180="مدير ولائي",0,LOOKUP(D180,'f-travail'!A:A,'f-travail'!T:T)*(AF180+AG180))</f>
        <v>#N/A</v>
      </c>
      <c r="AO180" s="673" t="e">
        <f>IF(G180="مدير ولائي",0,LOOKUP(D180,'f-travail'!A:A,'f-travail'!U:U)*(AF180+AG180))</f>
        <v>#N/A</v>
      </c>
      <c r="AP180" s="673" t="e">
        <f>IF(G180="مدير ولائي",0,LOOKUP(D180,'f-travail'!A:A,'f-travail'!V:V)*(AF180+AG180))</f>
        <v>#N/A</v>
      </c>
      <c r="AQ180" s="673" t="e">
        <f>IF(G180="مدير ولائي",0,LOOKUP(D180,'f-travail'!A:A,'f-travail'!W:W)*(AF180+AG180))</f>
        <v>#N/A</v>
      </c>
      <c r="AR180" s="673">
        <f t="shared" si="84"/>
        <v>0</v>
      </c>
      <c r="AS180" s="673" t="e">
        <f>IF(G180="مدير ولائي",0,LOOKUP(D180,'f-travail'!A:A,'f-travail'!X:X)*(AF180+AG180))</f>
        <v>#N/A</v>
      </c>
      <c r="AT180" s="673" t="e">
        <f>IF(G180="مدير ولائي",0,LOOKUP(D180,'f-travail'!Y:Y,'f-travail'!R:R)*(AF180+AG180))</f>
        <v>#N/A</v>
      </c>
      <c r="AU180" s="673">
        <f t="shared" si="74"/>
        <v>0</v>
      </c>
      <c r="AV180" s="673">
        <f t="shared" si="75"/>
        <v>0</v>
      </c>
      <c r="AW180" s="673">
        <f t="shared" si="76"/>
        <v>0</v>
      </c>
      <c r="AY180" s="640" t="e">
        <f t="shared" si="85"/>
        <v>#N/A</v>
      </c>
      <c r="AZ180" s="673" t="e">
        <f t="shared" si="77"/>
        <v>#N/A</v>
      </c>
      <c r="BA180" s="639" t="e">
        <f t="shared" si="78"/>
        <v>#N/A</v>
      </c>
      <c r="BG180" s="639">
        <f t="shared" si="86"/>
        <v>0</v>
      </c>
      <c r="BH180" s="683">
        <f t="shared" si="87"/>
        <v>0</v>
      </c>
      <c r="BI180" s="683">
        <f t="shared" si="88"/>
        <v>0</v>
      </c>
      <c r="BJ180" s="641" t="e">
        <f t="shared" si="89"/>
        <v>#N/A</v>
      </c>
      <c r="BK180" s="641" t="e">
        <f t="shared" si="90"/>
        <v>#N/A</v>
      </c>
      <c r="BL180" s="641" t="e">
        <f t="shared" si="91"/>
        <v>#N/A</v>
      </c>
      <c r="BM180" s="684" t="e">
        <f t="shared" si="92"/>
        <v>#N/A</v>
      </c>
      <c r="BO180" s="682" t="e">
        <f>CONCATENATE(Z180," ",LOOKUP(D180,'f-travail'!A:A,'f-travail'!F:F))</f>
        <v>#N/A</v>
      </c>
      <c r="BP180" s="669" t="e">
        <f t="shared" si="79"/>
        <v>#N/A</v>
      </c>
    </row>
    <row r="181" spans="1:68">
      <c r="A181" s="636">
        <f t="shared" si="93"/>
        <v>180</v>
      </c>
      <c r="B181" s="637"/>
      <c r="C181" s="637"/>
      <c r="D181" s="652"/>
      <c r="E181" s="679" t="e">
        <f>LOOKUP(D181,'f-travail'!A:A,'f-travail'!B:B)</f>
        <v>#N/A</v>
      </c>
      <c r="F181" s="650"/>
      <c r="G181" s="650"/>
      <c r="H181" s="653"/>
      <c r="I181" s="653"/>
      <c r="J181" s="654"/>
      <c r="K181" s="650"/>
      <c r="L181" s="650"/>
      <c r="M181" s="650">
        <v>0</v>
      </c>
      <c r="N181" s="654"/>
      <c r="O181" s="654"/>
      <c r="P181" s="654"/>
      <c r="Q181" s="654"/>
      <c r="R181" s="676"/>
      <c r="S181" s="654"/>
      <c r="T181" s="675"/>
      <c r="U181" s="675"/>
      <c r="V181" s="670" t="e">
        <f>LOOKUP(D181,'f-travail'!A:A,'f-travail'!E:E)</f>
        <v>#N/A</v>
      </c>
      <c r="W181" s="670" t="e">
        <f>VLOOKUP(V181,جرقمإستدلالي,'f-travail'!$AD$4+1,FALSE)</f>
        <v>#N/A</v>
      </c>
      <c r="X181" s="671" t="e">
        <f t="shared" si="69"/>
        <v>#N/A</v>
      </c>
      <c r="Y181" s="671">
        <f>IF(G181="مدير ولائي",(HLOOKUP(I181,جدروظعليا,'f-travail'!$AT$3+1,FALSE)-3200),0)</f>
        <v>0</v>
      </c>
      <c r="Z181" s="672" t="str">
        <f t="shared" si="80"/>
        <v/>
      </c>
      <c r="AA181" s="671">
        <f t="shared" si="81"/>
        <v>0</v>
      </c>
      <c r="AB181" s="677" t="b">
        <f t="shared" si="70"/>
        <v>0</v>
      </c>
      <c r="AC181" s="678">
        <f t="shared" si="82"/>
        <v>0</v>
      </c>
      <c r="AD181" s="673"/>
      <c r="AE181" s="678">
        <f t="shared" si="71"/>
        <v>0</v>
      </c>
      <c r="AF181" s="678" t="e">
        <f t="shared" si="72"/>
        <v>#N/A</v>
      </c>
      <c r="AG181" s="678" t="e">
        <f t="shared" si="73"/>
        <v>#N/A</v>
      </c>
      <c r="AH181" s="673">
        <f t="shared" si="83"/>
        <v>0</v>
      </c>
      <c r="AI181" s="674" t="e">
        <f>IF(G181="مدير ولائي",(11000*35%),LOOKUP(D181,'f-travail'!A:A,'f-travail'!I:I))</f>
        <v>#N/A</v>
      </c>
      <c r="AJ181" s="673" t="e">
        <f>IF(G181="مدير ولائي",((W181+X181)*45)*80%,IF(V181&lt;8,0,IF(F181="إليزي",(LOOKUP(D181,'f-travail'!A:A,'f-travail'!O:O))*(AF181+AG181),LOOKUP(D181,'f-travail'!A:A,'f-travail'!P:P)*(AF181+AG181))))</f>
        <v>#N/A</v>
      </c>
      <c r="AK181" s="673" t="e">
        <f>IF(G181="مدير ولائي",0,LOOKUP(D181,'f-travail'!A:A,'f-travail'!Q:Q))</f>
        <v>#N/A</v>
      </c>
      <c r="AL181" s="673" t="e">
        <f>IF(G181="مدير ولائي",0,LOOKUP(D181,'f-travail'!A:A,'f-travail'!R:R)*(AF181+AG181))</f>
        <v>#N/A</v>
      </c>
      <c r="AM181" s="673" t="e">
        <f>IF(G181="مدير ولائي",0,LOOKUP(D181,'f-travail'!A:A,'f-travail'!S:S)*(AF181+AG181))</f>
        <v>#N/A</v>
      </c>
      <c r="AN181" s="673" t="e">
        <f>IF(G181="مدير ولائي",0,LOOKUP(D181,'f-travail'!A:A,'f-travail'!T:T)*(AF181+AG181))</f>
        <v>#N/A</v>
      </c>
      <c r="AO181" s="673" t="e">
        <f>IF(G181="مدير ولائي",0,LOOKUP(D181,'f-travail'!A:A,'f-travail'!U:U)*(AF181+AG181))</f>
        <v>#N/A</v>
      </c>
      <c r="AP181" s="673" t="e">
        <f>IF(G181="مدير ولائي",0,LOOKUP(D181,'f-travail'!A:A,'f-travail'!V:V)*(AF181+AG181))</f>
        <v>#N/A</v>
      </c>
      <c r="AQ181" s="673" t="e">
        <f>IF(G181="مدير ولائي",0,LOOKUP(D181,'f-travail'!A:A,'f-travail'!W:W)*(AF181+AG181))</f>
        <v>#N/A</v>
      </c>
      <c r="AR181" s="673">
        <f t="shared" si="84"/>
        <v>0</v>
      </c>
      <c r="AS181" s="673" t="e">
        <f>IF(G181="مدير ولائي",0,LOOKUP(D181,'f-travail'!A:A,'f-travail'!X:X)*(AF181+AG181))</f>
        <v>#N/A</v>
      </c>
      <c r="AT181" s="673" t="e">
        <f>IF(G181="مدير ولائي",0,LOOKUP(D181,'f-travail'!Y:Y,'f-travail'!R:R)*(AF181+AG181))</f>
        <v>#N/A</v>
      </c>
      <c r="AU181" s="673">
        <f t="shared" si="74"/>
        <v>0</v>
      </c>
      <c r="AV181" s="673">
        <f t="shared" si="75"/>
        <v>0</v>
      </c>
      <c r="AW181" s="673">
        <f t="shared" si="76"/>
        <v>0</v>
      </c>
      <c r="AY181" s="640" t="e">
        <f t="shared" si="85"/>
        <v>#N/A</v>
      </c>
      <c r="AZ181" s="673" t="e">
        <f t="shared" si="77"/>
        <v>#N/A</v>
      </c>
      <c r="BA181" s="639" t="e">
        <f t="shared" si="78"/>
        <v>#N/A</v>
      </c>
      <c r="BG181" s="639">
        <f t="shared" si="86"/>
        <v>0</v>
      </c>
      <c r="BH181" s="683">
        <f t="shared" si="87"/>
        <v>0</v>
      </c>
      <c r="BI181" s="683">
        <f t="shared" si="88"/>
        <v>0</v>
      </c>
      <c r="BJ181" s="641" t="e">
        <f t="shared" si="89"/>
        <v>#N/A</v>
      </c>
      <c r="BK181" s="641" t="e">
        <f t="shared" si="90"/>
        <v>#N/A</v>
      </c>
      <c r="BL181" s="641" t="e">
        <f t="shared" si="91"/>
        <v>#N/A</v>
      </c>
      <c r="BM181" s="684" t="e">
        <f t="shared" si="92"/>
        <v>#N/A</v>
      </c>
      <c r="BO181" s="682" t="e">
        <f>CONCATENATE(Z181," ",LOOKUP(D181,'f-travail'!A:A,'f-travail'!F:F))</f>
        <v>#N/A</v>
      </c>
      <c r="BP181" s="669" t="e">
        <f t="shared" si="79"/>
        <v>#N/A</v>
      </c>
    </row>
    <row r="182" spans="1:68">
      <c r="A182" s="636">
        <f t="shared" si="93"/>
        <v>181</v>
      </c>
      <c r="B182" s="637"/>
      <c r="C182" s="637"/>
      <c r="D182" s="652"/>
      <c r="E182" s="679" t="e">
        <f>LOOKUP(D182,'f-travail'!A:A,'f-travail'!B:B)</f>
        <v>#N/A</v>
      </c>
      <c r="F182" s="650"/>
      <c r="G182" s="650"/>
      <c r="H182" s="653"/>
      <c r="I182" s="653"/>
      <c r="J182" s="654"/>
      <c r="K182" s="650"/>
      <c r="L182" s="650"/>
      <c r="M182" s="650">
        <v>0</v>
      </c>
      <c r="N182" s="654"/>
      <c r="O182" s="654"/>
      <c r="P182" s="654"/>
      <c r="Q182" s="654"/>
      <c r="R182" s="676"/>
      <c r="S182" s="654"/>
      <c r="T182" s="675"/>
      <c r="U182" s="675"/>
      <c r="V182" s="670" t="e">
        <f>LOOKUP(D182,'f-travail'!A:A,'f-travail'!E:E)</f>
        <v>#N/A</v>
      </c>
      <c r="W182" s="670" t="e">
        <f>VLOOKUP(V182,جرقمإستدلالي,'f-travail'!$AD$4+1,FALSE)</f>
        <v>#N/A</v>
      </c>
      <c r="X182" s="671" t="e">
        <f t="shared" si="69"/>
        <v>#N/A</v>
      </c>
      <c r="Y182" s="671">
        <f>IF(G182="مدير ولائي",(HLOOKUP(I182,جدروظعليا,'f-travail'!$AT$3+1,FALSE)-3200),0)</f>
        <v>0</v>
      </c>
      <c r="Z182" s="672" t="str">
        <f t="shared" si="80"/>
        <v/>
      </c>
      <c r="AA182" s="671">
        <f t="shared" si="81"/>
        <v>0</v>
      </c>
      <c r="AB182" s="677" t="b">
        <f t="shared" si="70"/>
        <v>0</v>
      </c>
      <c r="AC182" s="678">
        <f t="shared" si="82"/>
        <v>0</v>
      </c>
      <c r="AD182" s="673"/>
      <c r="AE182" s="678">
        <f t="shared" si="71"/>
        <v>0</v>
      </c>
      <c r="AF182" s="678" t="e">
        <f t="shared" si="72"/>
        <v>#N/A</v>
      </c>
      <c r="AG182" s="678" t="e">
        <f t="shared" si="73"/>
        <v>#N/A</v>
      </c>
      <c r="AH182" s="673">
        <f t="shared" si="83"/>
        <v>0</v>
      </c>
      <c r="AI182" s="674" t="e">
        <f>IF(G182="مدير ولائي",(11000*35%),LOOKUP(D182,'f-travail'!A:A,'f-travail'!I:I))</f>
        <v>#N/A</v>
      </c>
      <c r="AJ182" s="673" t="e">
        <f>IF(G182="مدير ولائي",((W182+X182)*45)*80%,IF(V182&lt;8,0,IF(F182="إليزي",(LOOKUP(D182,'f-travail'!A:A,'f-travail'!O:O))*(AF182+AG182),LOOKUP(D182,'f-travail'!A:A,'f-travail'!P:P)*(AF182+AG182))))</f>
        <v>#N/A</v>
      </c>
      <c r="AK182" s="673" t="e">
        <f>IF(G182="مدير ولائي",0,LOOKUP(D182,'f-travail'!A:A,'f-travail'!Q:Q))</f>
        <v>#N/A</v>
      </c>
      <c r="AL182" s="673" t="e">
        <f>IF(G182="مدير ولائي",0,LOOKUP(D182,'f-travail'!A:A,'f-travail'!R:R)*(AF182+AG182))</f>
        <v>#N/A</v>
      </c>
      <c r="AM182" s="673" t="e">
        <f>IF(G182="مدير ولائي",0,LOOKUP(D182,'f-travail'!A:A,'f-travail'!S:S)*(AF182+AG182))</f>
        <v>#N/A</v>
      </c>
      <c r="AN182" s="673" t="e">
        <f>IF(G182="مدير ولائي",0,LOOKUP(D182,'f-travail'!A:A,'f-travail'!T:T)*(AF182+AG182))</f>
        <v>#N/A</v>
      </c>
      <c r="AO182" s="673" t="e">
        <f>IF(G182="مدير ولائي",0,LOOKUP(D182,'f-travail'!A:A,'f-travail'!U:U)*(AF182+AG182))</f>
        <v>#N/A</v>
      </c>
      <c r="AP182" s="673" t="e">
        <f>IF(G182="مدير ولائي",0,LOOKUP(D182,'f-travail'!A:A,'f-travail'!V:V)*(AF182+AG182))</f>
        <v>#N/A</v>
      </c>
      <c r="AQ182" s="673" t="e">
        <f>IF(G182="مدير ولائي",0,LOOKUP(D182,'f-travail'!A:A,'f-travail'!W:W)*(AF182+AG182))</f>
        <v>#N/A</v>
      </c>
      <c r="AR182" s="673">
        <f t="shared" si="84"/>
        <v>0</v>
      </c>
      <c r="AS182" s="673" t="e">
        <f>IF(G182="مدير ولائي",0,LOOKUP(D182,'f-travail'!A:A,'f-travail'!X:X)*(AF182+AG182))</f>
        <v>#N/A</v>
      </c>
      <c r="AT182" s="673" t="e">
        <f>IF(G182="مدير ولائي",0,LOOKUP(D182,'f-travail'!Y:Y,'f-travail'!R:R)*(AF182+AG182))</f>
        <v>#N/A</v>
      </c>
      <c r="AU182" s="673">
        <f t="shared" si="74"/>
        <v>0</v>
      </c>
      <c r="AV182" s="673">
        <f t="shared" si="75"/>
        <v>0</v>
      </c>
      <c r="AW182" s="673">
        <f t="shared" si="76"/>
        <v>0</v>
      </c>
      <c r="AY182" s="640" t="e">
        <f t="shared" si="85"/>
        <v>#N/A</v>
      </c>
      <c r="AZ182" s="673" t="e">
        <f t="shared" si="77"/>
        <v>#N/A</v>
      </c>
      <c r="BA182" s="639" t="e">
        <f t="shared" si="78"/>
        <v>#N/A</v>
      </c>
      <c r="BG182" s="639">
        <f t="shared" si="86"/>
        <v>0</v>
      </c>
      <c r="BH182" s="683">
        <f t="shared" si="87"/>
        <v>0</v>
      </c>
      <c r="BI182" s="683">
        <f t="shared" si="88"/>
        <v>0</v>
      </c>
      <c r="BJ182" s="641" t="e">
        <f t="shared" si="89"/>
        <v>#N/A</v>
      </c>
      <c r="BK182" s="641" t="e">
        <f t="shared" si="90"/>
        <v>#N/A</v>
      </c>
      <c r="BL182" s="641" t="e">
        <f t="shared" si="91"/>
        <v>#N/A</v>
      </c>
      <c r="BM182" s="684" t="e">
        <f t="shared" si="92"/>
        <v>#N/A</v>
      </c>
      <c r="BO182" s="682" t="e">
        <f>CONCATENATE(Z182," ",LOOKUP(D182,'f-travail'!A:A,'f-travail'!F:F))</f>
        <v>#N/A</v>
      </c>
      <c r="BP182" s="669" t="e">
        <f t="shared" si="79"/>
        <v>#N/A</v>
      </c>
    </row>
    <row r="183" spans="1:68">
      <c r="A183" s="636">
        <f t="shared" si="93"/>
        <v>182</v>
      </c>
      <c r="B183" s="637"/>
      <c r="C183" s="637"/>
      <c r="D183" s="652"/>
      <c r="E183" s="679" t="e">
        <f>LOOKUP(D183,'f-travail'!A:A,'f-travail'!B:B)</f>
        <v>#N/A</v>
      </c>
      <c r="F183" s="650"/>
      <c r="G183" s="650"/>
      <c r="H183" s="653"/>
      <c r="I183" s="653"/>
      <c r="J183" s="654"/>
      <c r="K183" s="650"/>
      <c r="L183" s="650"/>
      <c r="M183" s="650">
        <v>0</v>
      </c>
      <c r="N183" s="654"/>
      <c r="O183" s="654"/>
      <c r="P183" s="654"/>
      <c r="Q183" s="654"/>
      <c r="R183" s="676"/>
      <c r="S183" s="654"/>
      <c r="T183" s="675"/>
      <c r="U183" s="675"/>
      <c r="V183" s="670" t="e">
        <f>LOOKUP(D183,'f-travail'!A:A,'f-travail'!E:E)</f>
        <v>#N/A</v>
      </c>
      <c r="W183" s="670" t="e">
        <f>VLOOKUP(V183,جرقمإستدلالي,'f-travail'!$AD$4+1,FALSE)</f>
        <v>#N/A</v>
      </c>
      <c r="X183" s="671" t="e">
        <f t="shared" si="69"/>
        <v>#N/A</v>
      </c>
      <c r="Y183" s="671">
        <f>IF(G183="مدير ولائي",(HLOOKUP(I183,جدروظعليا,'f-travail'!$AT$3+1,FALSE)-3200),0)</f>
        <v>0</v>
      </c>
      <c r="Z183" s="672" t="str">
        <f t="shared" si="80"/>
        <v/>
      </c>
      <c r="AA183" s="671">
        <f t="shared" si="81"/>
        <v>0</v>
      </c>
      <c r="AB183" s="677" t="b">
        <f t="shared" si="70"/>
        <v>0</v>
      </c>
      <c r="AC183" s="678">
        <f t="shared" si="82"/>
        <v>0</v>
      </c>
      <c r="AD183" s="673"/>
      <c r="AE183" s="678">
        <f t="shared" si="71"/>
        <v>0</v>
      </c>
      <c r="AF183" s="678" t="e">
        <f t="shared" si="72"/>
        <v>#N/A</v>
      </c>
      <c r="AG183" s="678" t="e">
        <f t="shared" si="73"/>
        <v>#N/A</v>
      </c>
      <c r="AH183" s="673">
        <f t="shared" si="83"/>
        <v>0</v>
      </c>
      <c r="AI183" s="674" t="e">
        <f>IF(G183="مدير ولائي",(11000*35%),LOOKUP(D183,'f-travail'!A:A,'f-travail'!I:I))</f>
        <v>#N/A</v>
      </c>
      <c r="AJ183" s="673" t="e">
        <f>IF(G183="مدير ولائي",((W183+X183)*45)*80%,IF(V183&lt;8,0,IF(F183="إليزي",(LOOKUP(D183,'f-travail'!A:A,'f-travail'!O:O))*(AF183+AG183),LOOKUP(D183,'f-travail'!A:A,'f-travail'!P:P)*(AF183+AG183))))</f>
        <v>#N/A</v>
      </c>
      <c r="AK183" s="673" t="e">
        <f>IF(G183="مدير ولائي",0,LOOKUP(D183,'f-travail'!A:A,'f-travail'!Q:Q))</f>
        <v>#N/A</v>
      </c>
      <c r="AL183" s="673" t="e">
        <f>IF(G183="مدير ولائي",0,LOOKUP(D183,'f-travail'!A:A,'f-travail'!R:R)*(AF183+AG183))</f>
        <v>#N/A</v>
      </c>
      <c r="AM183" s="673" t="e">
        <f>IF(G183="مدير ولائي",0,LOOKUP(D183,'f-travail'!A:A,'f-travail'!S:S)*(AF183+AG183))</f>
        <v>#N/A</v>
      </c>
      <c r="AN183" s="673" t="e">
        <f>IF(G183="مدير ولائي",0,LOOKUP(D183,'f-travail'!A:A,'f-travail'!T:T)*(AF183+AG183))</f>
        <v>#N/A</v>
      </c>
      <c r="AO183" s="673" t="e">
        <f>IF(G183="مدير ولائي",0,LOOKUP(D183,'f-travail'!A:A,'f-travail'!U:U)*(AF183+AG183))</f>
        <v>#N/A</v>
      </c>
      <c r="AP183" s="673" t="e">
        <f>IF(G183="مدير ولائي",0,LOOKUP(D183,'f-travail'!A:A,'f-travail'!V:V)*(AF183+AG183))</f>
        <v>#N/A</v>
      </c>
      <c r="AQ183" s="673" t="e">
        <f>IF(G183="مدير ولائي",0,LOOKUP(D183,'f-travail'!A:A,'f-travail'!W:W)*(AF183+AG183))</f>
        <v>#N/A</v>
      </c>
      <c r="AR183" s="673">
        <f t="shared" si="84"/>
        <v>0</v>
      </c>
      <c r="AS183" s="673" t="e">
        <f>IF(G183="مدير ولائي",0,LOOKUP(D183,'f-travail'!A:A,'f-travail'!X:X)*(AF183+AG183))</f>
        <v>#N/A</v>
      </c>
      <c r="AT183" s="673" t="e">
        <f>IF(G183="مدير ولائي",0,LOOKUP(D183,'f-travail'!Y:Y,'f-travail'!R:R)*(AF183+AG183))</f>
        <v>#N/A</v>
      </c>
      <c r="AU183" s="673">
        <f t="shared" si="74"/>
        <v>0</v>
      </c>
      <c r="AV183" s="673">
        <f t="shared" si="75"/>
        <v>0</v>
      </c>
      <c r="AW183" s="673">
        <f t="shared" si="76"/>
        <v>0</v>
      </c>
      <c r="AY183" s="640" t="e">
        <f t="shared" si="85"/>
        <v>#N/A</v>
      </c>
      <c r="AZ183" s="673" t="e">
        <f t="shared" si="77"/>
        <v>#N/A</v>
      </c>
      <c r="BA183" s="639" t="e">
        <f t="shared" si="78"/>
        <v>#N/A</v>
      </c>
      <c r="BG183" s="639">
        <f t="shared" si="86"/>
        <v>0</v>
      </c>
      <c r="BH183" s="683">
        <f t="shared" si="87"/>
        <v>0</v>
      </c>
      <c r="BI183" s="683">
        <f t="shared" si="88"/>
        <v>0</v>
      </c>
      <c r="BJ183" s="641" t="e">
        <f t="shared" si="89"/>
        <v>#N/A</v>
      </c>
      <c r="BK183" s="641" t="e">
        <f t="shared" si="90"/>
        <v>#N/A</v>
      </c>
      <c r="BL183" s="641" t="e">
        <f t="shared" si="91"/>
        <v>#N/A</v>
      </c>
      <c r="BM183" s="684" t="e">
        <f t="shared" si="92"/>
        <v>#N/A</v>
      </c>
      <c r="BO183" s="682" t="e">
        <f>CONCATENATE(Z183," ",LOOKUP(D183,'f-travail'!A:A,'f-travail'!F:F))</f>
        <v>#N/A</v>
      </c>
      <c r="BP183" s="669" t="e">
        <f t="shared" si="79"/>
        <v>#N/A</v>
      </c>
    </row>
    <row r="184" spans="1:68">
      <c r="A184" s="636">
        <f t="shared" si="93"/>
        <v>183</v>
      </c>
      <c r="B184" s="637"/>
      <c r="C184" s="637"/>
      <c r="D184" s="652"/>
      <c r="E184" s="679" t="e">
        <f>LOOKUP(D184,'f-travail'!A:A,'f-travail'!B:B)</f>
        <v>#N/A</v>
      </c>
      <c r="F184" s="650"/>
      <c r="G184" s="650"/>
      <c r="H184" s="653"/>
      <c r="I184" s="653"/>
      <c r="J184" s="654"/>
      <c r="K184" s="650"/>
      <c r="L184" s="650"/>
      <c r="M184" s="650">
        <v>0</v>
      </c>
      <c r="N184" s="654"/>
      <c r="O184" s="654"/>
      <c r="P184" s="654"/>
      <c r="Q184" s="654"/>
      <c r="R184" s="676"/>
      <c r="S184" s="654"/>
      <c r="T184" s="675"/>
      <c r="U184" s="675"/>
      <c r="V184" s="670" t="e">
        <f>LOOKUP(D184,'f-travail'!A:A,'f-travail'!E:E)</f>
        <v>#N/A</v>
      </c>
      <c r="W184" s="670" t="e">
        <f>VLOOKUP(V184,جرقمإستدلالي,'f-travail'!$AD$4+1,FALSE)</f>
        <v>#N/A</v>
      </c>
      <c r="X184" s="671" t="e">
        <f t="shared" si="69"/>
        <v>#N/A</v>
      </c>
      <c r="Y184" s="671">
        <f>IF(G184="مدير ولائي",(HLOOKUP(I184,جدروظعليا,'f-travail'!$AT$3+1,FALSE)-3200),0)</f>
        <v>0</v>
      </c>
      <c r="Z184" s="672" t="str">
        <f t="shared" si="80"/>
        <v/>
      </c>
      <c r="AA184" s="671">
        <f t="shared" si="81"/>
        <v>0</v>
      </c>
      <c r="AB184" s="677" t="b">
        <f t="shared" si="70"/>
        <v>0</v>
      </c>
      <c r="AC184" s="678">
        <f t="shared" si="82"/>
        <v>0</v>
      </c>
      <c r="AD184" s="673"/>
      <c r="AE184" s="678">
        <f t="shared" si="71"/>
        <v>0</v>
      </c>
      <c r="AF184" s="678" t="e">
        <f t="shared" si="72"/>
        <v>#N/A</v>
      </c>
      <c r="AG184" s="678" t="e">
        <f t="shared" si="73"/>
        <v>#N/A</v>
      </c>
      <c r="AH184" s="673">
        <f t="shared" si="83"/>
        <v>0</v>
      </c>
      <c r="AI184" s="674" t="e">
        <f>IF(G184="مدير ولائي",(11000*35%),LOOKUP(D184,'f-travail'!A:A,'f-travail'!I:I))</f>
        <v>#N/A</v>
      </c>
      <c r="AJ184" s="673" t="e">
        <f>IF(G184="مدير ولائي",((W184+X184)*45)*80%,IF(V184&lt;8,0,IF(F184="إليزي",(LOOKUP(D184,'f-travail'!A:A,'f-travail'!O:O))*(AF184+AG184),LOOKUP(D184,'f-travail'!A:A,'f-travail'!P:P)*(AF184+AG184))))</f>
        <v>#N/A</v>
      </c>
      <c r="AK184" s="673" t="e">
        <f>IF(G184="مدير ولائي",0,LOOKUP(D184,'f-travail'!A:A,'f-travail'!Q:Q))</f>
        <v>#N/A</v>
      </c>
      <c r="AL184" s="673" t="e">
        <f>IF(G184="مدير ولائي",0,LOOKUP(D184,'f-travail'!A:A,'f-travail'!R:R)*(AF184+AG184))</f>
        <v>#N/A</v>
      </c>
      <c r="AM184" s="673" t="e">
        <f>IF(G184="مدير ولائي",0,LOOKUP(D184,'f-travail'!A:A,'f-travail'!S:S)*(AF184+AG184))</f>
        <v>#N/A</v>
      </c>
      <c r="AN184" s="673" t="e">
        <f>IF(G184="مدير ولائي",0,LOOKUP(D184,'f-travail'!A:A,'f-travail'!T:T)*(AF184+AG184))</f>
        <v>#N/A</v>
      </c>
      <c r="AO184" s="673" t="e">
        <f>IF(G184="مدير ولائي",0,LOOKUP(D184,'f-travail'!A:A,'f-travail'!U:U)*(AF184+AG184))</f>
        <v>#N/A</v>
      </c>
      <c r="AP184" s="673" t="e">
        <f>IF(G184="مدير ولائي",0,LOOKUP(D184,'f-travail'!A:A,'f-travail'!V:V)*(AF184+AG184))</f>
        <v>#N/A</v>
      </c>
      <c r="AQ184" s="673" t="e">
        <f>IF(G184="مدير ولائي",0,LOOKUP(D184,'f-travail'!A:A,'f-travail'!W:W)*(AF184+AG184))</f>
        <v>#N/A</v>
      </c>
      <c r="AR184" s="673">
        <f t="shared" si="84"/>
        <v>0</v>
      </c>
      <c r="AS184" s="673" t="e">
        <f>IF(G184="مدير ولائي",0,LOOKUP(D184,'f-travail'!A:A,'f-travail'!X:X)*(AF184+AG184))</f>
        <v>#N/A</v>
      </c>
      <c r="AT184" s="673" t="e">
        <f>IF(G184="مدير ولائي",0,LOOKUP(D184,'f-travail'!Y:Y,'f-travail'!R:R)*(AF184+AG184))</f>
        <v>#N/A</v>
      </c>
      <c r="AU184" s="673">
        <f t="shared" si="74"/>
        <v>0</v>
      </c>
      <c r="AV184" s="673">
        <f t="shared" si="75"/>
        <v>0</v>
      </c>
      <c r="AW184" s="673">
        <f t="shared" si="76"/>
        <v>0</v>
      </c>
      <c r="AY184" s="640" t="e">
        <f t="shared" si="85"/>
        <v>#N/A</v>
      </c>
      <c r="AZ184" s="673" t="e">
        <f t="shared" si="77"/>
        <v>#N/A</v>
      </c>
      <c r="BA184" s="639" t="e">
        <f t="shared" si="78"/>
        <v>#N/A</v>
      </c>
      <c r="BG184" s="639">
        <f t="shared" si="86"/>
        <v>0</v>
      </c>
      <c r="BH184" s="683">
        <f t="shared" si="87"/>
        <v>0</v>
      </c>
      <c r="BI184" s="683">
        <f t="shared" si="88"/>
        <v>0</v>
      </c>
      <c r="BJ184" s="641" t="e">
        <f t="shared" si="89"/>
        <v>#N/A</v>
      </c>
      <c r="BK184" s="641" t="e">
        <f t="shared" si="90"/>
        <v>#N/A</v>
      </c>
      <c r="BL184" s="641" t="e">
        <f t="shared" si="91"/>
        <v>#N/A</v>
      </c>
      <c r="BM184" s="684" t="e">
        <f t="shared" si="92"/>
        <v>#N/A</v>
      </c>
      <c r="BO184" s="682" t="e">
        <f>CONCATENATE(Z184," ",LOOKUP(D184,'f-travail'!A:A,'f-travail'!F:F))</f>
        <v>#N/A</v>
      </c>
      <c r="BP184" s="669" t="e">
        <f t="shared" si="79"/>
        <v>#N/A</v>
      </c>
    </row>
    <row r="185" spans="1:68">
      <c r="A185" s="636">
        <f t="shared" si="93"/>
        <v>184</v>
      </c>
      <c r="B185" s="637"/>
      <c r="C185" s="637"/>
      <c r="D185" s="652"/>
      <c r="E185" s="679" t="e">
        <f>LOOKUP(D185,'f-travail'!A:A,'f-travail'!B:B)</f>
        <v>#N/A</v>
      </c>
      <c r="F185" s="650"/>
      <c r="G185" s="650"/>
      <c r="H185" s="653"/>
      <c r="I185" s="653"/>
      <c r="J185" s="654"/>
      <c r="K185" s="650"/>
      <c r="L185" s="650"/>
      <c r="M185" s="650">
        <v>0</v>
      </c>
      <c r="N185" s="654"/>
      <c r="O185" s="654"/>
      <c r="P185" s="654"/>
      <c r="Q185" s="654"/>
      <c r="R185" s="676"/>
      <c r="S185" s="654"/>
      <c r="T185" s="675"/>
      <c r="U185" s="675"/>
      <c r="V185" s="670" t="e">
        <f>LOOKUP(D185,'f-travail'!A:A,'f-travail'!E:E)</f>
        <v>#N/A</v>
      </c>
      <c r="W185" s="670" t="e">
        <f>VLOOKUP(V185,جرقمإستدلالي,'f-travail'!$AD$4+1,FALSE)</f>
        <v>#N/A</v>
      </c>
      <c r="X185" s="671" t="e">
        <f t="shared" si="69"/>
        <v>#N/A</v>
      </c>
      <c r="Y185" s="671">
        <f>IF(G185="مدير ولائي",(HLOOKUP(I185,جدروظعليا,'f-travail'!$AT$3+1,FALSE)-3200),0)</f>
        <v>0</v>
      </c>
      <c r="Z185" s="672" t="str">
        <f t="shared" si="80"/>
        <v/>
      </c>
      <c r="AA185" s="671">
        <f t="shared" si="81"/>
        <v>0</v>
      </c>
      <c r="AB185" s="677" t="b">
        <f t="shared" si="70"/>
        <v>0</v>
      </c>
      <c r="AC185" s="678">
        <f t="shared" si="82"/>
        <v>0</v>
      </c>
      <c r="AD185" s="673"/>
      <c r="AE185" s="678">
        <f t="shared" si="71"/>
        <v>0</v>
      </c>
      <c r="AF185" s="678" t="e">
        <f t="shared" si="72"/>
        <v>#N/A</v>
      </c>
      <c r="AG185" s="678" t="e">
        <f t="shared" si="73"/>
        <v>#N/A</v>
      </c>
      <c r="AH185" s="673">
        <f t="shared" si="83"/>
        <v>0</v>
      </c>
      <c r="AI185" s="674" t="e">
        <f>IF(G185="مدير ولائي",(11000*35%),LOOKUP(D185,'f-travail'!A:A,'f-travail'!I:I))</f>
        <v>#N/A</v>
      </c>
      <c r="AJ185" s="673" t="e">
        <f>IF(G185="مدير ولائي",((W185+X185)*45)*80%,IF(V185&lt;8,0,IF(F185="إليزي",(LOOKUP(D185,'f-travail'!A:A,'f-travail'!O:O))*(AF185+AG185),LOOKUP(D185,'f-travail'!A:A,'f-travail'!P:P)*(AF185+AG185))))</f>
        <v>#N/A</v>
      </c>
      <c r="AK185" s="673" t="e">
        <f>IF(G185="مدير ولائي",0,LOOKUP(D185,'f-travail'!A:A,'f-travail'!Q:Q))</f>
        <v>#N/A</v>
      </c>
      <c r="AL185" s="673" t="e">
        <f>IF(G185="مدير ولائي",0,LOOKUP(D185,'f-travail'!A:A,'f-travail'!R:R)*(AF185+AG185))</f>
        <v>#N/A</v>
      </c>
      <c r="AM185" s="673" t="e">
        <f>IF(G185="مدير ولائي",0,LOOKUP(D185,'f-travail'!A:A,'f-travail'!S:S)*(AF185+AG185))</f>
        <v>#N/A</v>
      </c>
      <c r="AN185" s="673" t="e">
        <f>IF(G185="مدير ولائي",0,LOOKUP(D185,'f-travail'!A:A,'f-travail'!T:T)*(AF185+AG185))</f>
        <v>#N/A</v>
      </c>
      <c r="AO185" s="673" t="e">
        <f>IF(G185="مدير ولائي",0,LOOKUP(D185,'f-travail'!A:A,'f-travail'!U:U)*(AF185+AG185))</f>
        <v>#N/A</v>
      </c>
      <c r="AP185" s="673" t="e">
        <f>IF(G185="مدير ولائي",0,LOOKUP(D185,'f-travail'!A:A,'f-travail'!V:V)*(AF185+AG185))</f>
        <v>#N/A</v>
      </c>
      <c r="AQ185" s="673" t="e">
        <f>IF(G185="مدير ولائي",0,LOOKUP(D185,'f-travail'!A:A,'f-travail'!W:W)*(AF185+AG185))</f>
        <v>#N/A</v>
      </c>
      <c r="AR185" s="673">
        <f t="shared" si="84"/>
        <v>0</v>
      </c>
      <c r="AS185" s="673" t="e">
        <f>IF(G185="مدير ولائي",0,LOOKUP(D185,'f-travail'!A:A,'f-travail'!X:X)*(AF185+AG185))</f>
        <v>#N/A</v>
      </c>
      <c r="AT185" s="673" t="e">
        <f>IF(G185="مدير ولائي",0,LOOKUP(D185,'f-travail'!Y:Y,'f-travail'!R:R)*(AF185+AG185))</f>
        <v>#N/A</v>
      </c>
      <c r="AU185" s="673">
        <f t="shared" si="74"/>
        <v>0</v>
      </c>
      <c r="AV185" s="673">
        <f t="shared" si="75"/>
        <v>0</v>
      </c>
      <c r="AW185" s="673">
        <f t="shared" si="76"/>
        <v>0</v>
      </c>
      <c r="AY185" s="640" t="e">
        <f t="shared" si="85"/>
        <v>#N/A</v>
      </c>
      <c r="AZ185" s="673" t="e">
        <f t="shared" si="77"/>
        <v>#N/A</v>
      </c>
      <c r="BA185" s="639" t="e">
        <f t="shared" si="78"/>
        <v>#N/A</v>
      </c>
      <c r="BG185" s="639">
        <f t="shared" si="86"/>
        <v>0</v>
      </c>
      <c r="BH185" s="683">
        <f t="shared" si="87"/>
        <v>0</v>
      </c>
      <c r="BI185" s="683">
        <f t="shared" si="88"/>
        <v>0</v>
      </c>
      <c r="BJ185" s="641" t="e">
        <f t="shared" si="89"/>
        <v>#N/A</v>
      </c>
      <c r="BK185" s="641" t="e">
        <f t="shared" si="90"/>
        <v>#N/A</v>
      </c>
      <c r="BL185" s="641" t="e">
        <f t="shared" si="91"/>
        <v>#N/A</v>
      </c>
      <c r="BM185" s="684" t="e">
        <f t="shared" si="92"/>
        <v>#N/A</v>
      </c>
      <c r="BO185" s="682" t="e">
        <f>CONCATENATE(Z185," ",LOOKUP(D185,'f-travail'!A:A,'f-travail'!F:F))</f>
        <v>#N/A</v>
      </c>
      <c r="BP185" s="669" t="e">
        <f t="shared" si="79"/>
        <v>#N/A</v>
      </c>
    </row>
    <row r="186" spans="1:68">
      <c r="A186" s="636">
        <f t="shared" si="93"/>
        <v>185</v>
      </c>
      <c r="B186" s="637"/>
      <c r="C186" s="637"/>
      <c r="D186" s="652"/>
      <c r="E186" s="679" t="e">
        <f>LOOKUP(D186,'f-travail'!A:A,'f-travail'!B:B)</f>
        <v>#N/A</v>
      </c>
      <c r="F186" s="650"/>
      <c r="G186" s="650"/>
      <c r="H186" s="653"/>
      <c r="I186" s="653"/>
      <c r="J186" s="654"/>
      <c r="K186" s="650"/>
      <c r="L186" s="650"/>
      <c r="M186" s="650">
        <v>0</v>
      </c>
      <c r="N186" s="654"/>
      <c r="O186" s="654"/>
      <c r="P186" s="654"/>
      <c r="Q186" s="654"/>
      <c r="R186" s="676"/>
      <c r="S186" s="654"/>
      <c r="T186" s="675"/>
      <c r="U186" s="675"/>
      <c r="V186" s="670" t="e">
        <f>LOOKUP(D186,'f-travail'!A:A,'f-travail'!E:E)</f>
        <v>#N/A</v>
      </c>
      <c r="W186" s="670" t="e">
        <f>VLOOKUP(V186,جرقمإستدلالي,'f-travail'!$AD$4+1,FALSE)</f>
        <v>#N/A</v>
      </c>
      <c r="X186" s="671" t="e">
        <f t="shared" si="69"/>
        <v>#N/A</v>
      </c>
      <c r="Y186" s="671">
        <f>IF(G186="مدير ولائي",(HLOOKUP(I186,جدروظعليا,'f-travail'!$AT$3+1,FALSE)-3200),0)</f>
        <v>0</v>
      </c>
      <c r="Z186" s="672" t="str">
        <f t="shared" si="80"/>
        <v/>
      </c>
      <c r="AA186" s="671">
        <f t="shared" si="81"/>
        <v>0</v>
      </c>
      <c r="AB186" s="677" t="b">
        <f t="shared" si="70"/>
        <v>0</v>
      </c>
      <c r="AC186" s="678">
        <f t="shared" si="82"/>
        <v>0</v>
      </c>
      <c r="AD186" s="673"/>
      <c r="AE186" s="678">
        <f t="shared" si="71"/>
        <v>0</v>
      </c>
      <c r="AF186" s="678" t="e">
        <f t="shared" si="72"/>
        <v>#N/A</v>
      </c>
      <c r="AG186" s="678" t="e">
        <f t="shared" si="73"/>
        <v>#N/A</v>
      </c>
      <c r="AH186" s="673">
        <f t="shared" si="83"/>
        <v>0</v>
      </c>
      <c r="AI186" s="674" t="e">
        <f>IF(G186="مدير ولائي",(11000*35%),LOOKUP(D186,'f-travail'!A:A,'f-travail'!I:I))</f>
        <v>#N/A</v>
      </c>
      <c r="AJ186" s="673" t="e">
        <f>IF(G186="مدير ولائي",((W186+X186)*45)*80%,IF(V186&lt;8,0,IF(F186="إليزي",(LOOKUP(D186,'f-travail'!A:A,'f-travail'!O:O))*(AF186+AG186),LOOKUP(D186,'f-travail'!A:A,'f-travail'!P:P)*(AF186+AG186))))</f>
        <v>#N/A</v>
      </c>
      <c r="AK186" s="673" t="e">
        <f>IF(G186="مدير ولائي",0,LOOKUP(D186,'f-travail'!A:A,'f-travail'!Q:Q))</f>
        <v>#N/A</v>
      </c>
      <c r="AL186" s="673" t="e">
        <f>IF(G186="مدير ولائي",0,LOOKUP(D186,'f-travail'!A:A,'f-travail'!R:R)*(AF186+AG186))</f>
        <v>#N/A</v>
      </c>
      <c r="AM186" s="673" t="e">
        <f>IF(G186="مدير ولائي",0,LOOKUP(D186,'f-travail'!A:A,'f-travail'!S:S)*(AF186+AG186))</f>
        <v>#N/A</v>
      </c>
      <c r="AN186" s="673" t="e">
        <f>IF(G186="مدير ولائي",0,LOOKUP(D186,'f-travail'!A:A,'f-travail'!T:T)*(AF186+AG186))</f>
        <v>#N/A</v>
      </c>
      <c r="AO186" s="673" t="e">
        <f>IF(G186="مدير ولائي",0,LOOKUP(D186,'f-travail'!A:A,'f-travail'!U:U)*(AF186+AG186))</f>
        <v>#N/A</v>
      </c>
      <c r="AP186" s="673" t="e">
        <f>IF(G186="مدير ولائي",0,LOOKUP(D186,'f-travail'!A:A,'f-travail'!V:V)*(AF186+AG186))</f>
        <v>#N/A</v>
      </c>
      <c r="AQ186" s="673" t="e">
        <f>IF(G186="مدير ولائي",0,LOOKUP(D186,'f-travail'!A:A,'f-travail'!W:W)*(AF186+AG186))</f>
        <v>#N/A</v>
      </c>
      <c r="AR186" s="673">
        <f t="shared" si="84"/>
        <v>0</v>
      </c>
      <c r="AS186" s="673" t="e">
        <f>IF(G186="مدير ولائي",0,LOOKUP(D186,'f-travail'!A:A,'f-travail'!X:X)*(AF186+AG186))</f>
        <v>#N/A</v>
      </c>
      <c r="AT186" s="673" t="e">
        <f>IF(G186="مدير ولائي",0,LOOKUP(D186,'f-travail'!Y:Y,'f-travail'!R:R)*(AF186+AG186))</f>
        <v>#N/A</v>
      </c>
      <c r="AU186" s="673">
        <f t="shared" si="74"/>
        <v>0</v>
      </c>
      <c r="AV186" s="673">
        <f t="shared" si="75"/>
        <v>0</v>
      </c>
      <c r="AW186" s="673">
        <f t="shared" si="76"/>
        <v>0</v>
      </c>
      <c r="AY186" s="640" t="e">
        <f t="shared" si="85"/>
        <v>#N/A</v>
      </c>
      <c r="AZ186" s="673" t="e">
        <f t="shared" si="77"/>
        <v>#N/A</v>
      </c>
      <c r="BA186" s="639" t="e">
        <f t="shared" si="78"/>
        <v>#N/A</v>
      </c>
      <c r="BG186" s="639">
        <f t="shared" si="86"/>
        <v>0</v>
      </c>
      <c r="BH186" s="683">
        <f t="shared" si="87"/>
        <v>0</v>
      </c>
      <c r="BI186" s="683">
        <f t="shared" si="88"/>
        <v>0</v>
      </c>
      <c r="BJ186" s="641" t="e">
        <f t="shared" si="89"/>
        <v>#N/A</v>
      </c>
      <c r="BK186" s="641" t="e">
        <f t="shared" si="90"/>
        <v>#N/A</v>
      </c>
      <c r="BL186" s="641" t="e">
        <f t="shared" si="91"/>
        <v>#N/A</v>
      </c>
      <c r="BM186" s="684" t="e">
        <f t="shared" si="92"/>
        <v>#N/A</v>
      </c>
      <c r="BO186" s="682" t="e">
        <f>CONCATENATE(Z186," ",LOOKUP(D186,'f-travail'!A:A,'f-travail'!F:F))</f>
        <v>#N/A</v>
      </c>
      <c r="BP186" s="669" t="e">
        <f t="shared" si="79"/>
        <v>#N/A</v>
      </c>
    </row>
    <row r="187" spans="1:68">
      <c r="A187" s="636">
        <f t="shared" si="93"/>
        <v>186</v>
      </c>
      <c r="B187" s="637"/>
      <c r="C187" s="637"/>
      <c r="D187" s="652"/>
      <c r="E187" s="679" t="e">
        <f>LOOKUP(D187,'f-travail'!A:A,'f-travail'!B:B)</f>
        <v>#N/A</v>
      </c>
      <c r="F187" s="650"/>
      <c r="G187" s="650"/>
      <c r="H187" s="653"/>
      <c r="I187" s="653"/>
      <c r="J187" s="654"/>
      <c r="K187" s="650"/>
      <c r="L187" s="650"/>
      <c r="M187" s="650">
        <v>0</v>
      </c>
      <c r="N187" s="654"/>
      <c r="O187" s="654"/>
      <c r="P187" s="654"/>
      <c r="Q187" s="654"/>
      <c r="R187" s="676"/>
      <c r="S187" s="654"/>
      <c r="T187" s="675"/>
      <c r="U187" s="675"/>
      <c r="V187" s="670" t="e">
        <f>LOOKUP(D187,'f-travail'!A:A,'f-travail'!E:E)</f>
        <v>#N/A</v>
      </c>
      <c r="W187" s="670" t="e">
        <f>VLOOKUP(V187,جرقمإستدلالي,'f-travail'!$AD$4+1,FALSE)</f>
        <v>#N/A</v>
      </c>
      <c r="X187" s="671" t="e">
        <f t="shared" si="69"/>
        <v>#N/A</v>
      </c>
      <c r="Y187" s="671">
        <f>IF(G187="مدير ولائي",(HLOOKUP(I187,جدروظعليا,'f-travail'!$AT$3+1,FALSE)-3200),0)</f>
        <v>0</v>
      </c>
      <c r="Z187" s="672" t="str">
        <f t="shared" si="80"/>
        <v/>
      </c>
      <c r="AA187" s="671">
        <f t="shared" si="81"/>
        <v>0</v>
      </c>
      <c r="AB187" s="677" t="b">
        <f t="shared" si="70"/>
        <v>0</v>
      </c>
      <c r="AC187" s="678">
        <f t="shared" si="82"/>
        <v>0</v>
      </c>
      <c r="AD187" s="673"/>
      <c r="AE187" s="678">
        <f t="shared" si="71"/>
        <v>0</v>
      </c>
      <c r="AF187" s="678" t="e">
        <f t="shared" si="72"/>
        <v>#N/A</v>
      </c>
      <c r="AG187" s="678" t="e">
        <f t="shared" si="73"/>
        <v>#N/A</v>
      </c>
      <c r="AH187" s="673">
        <f t="shared" si="83"/>
        <v>0</v>
      </c>
      <c r="AI187" s="674" t="e">
        <f>IF(G187="مدير ولائي",(11000*35%),LOOKUP(D187,'f-travail'!A:A,'f-travail'!I:I))</f>
        <v>#N/A</v>
      </c>
      <c r="AJ187" s="673" t="e">
        <f>IF(G187="مدير ولائي",((W187+X187)*45)*80%,IF(V187&lt;8,0,IF(F187="إليزي",(LOOKUP(D187,'f-travail'!A:A,'f-travail'!O:O))*(AF187+AG187),LOOKUP(D187,'f-travail'!A:A,'f-travail'!P:P)*(AF187+AG187))))</f>
        <v>#N/A</v>
      </c>
      <c r="AK187" s="673" t="e">
        <f>IF(G187="مدير ولائي",0,LOOKUP(D187,'f-travail'!A:A,'f-travail'!Q:Q))</f>
        <v>#N/A</v>
      </c>
      <c r="AL187" s="673" t="e">
        <f>IF(G187="مدير ولائي",0,LOOKUP(D187,'f-travail'!A:A,'f-travail'!R:R)*(AF187+AG187))</f>
        <v>#N/A</v>
      </c>
      <c r="AM187" s="673" t="e">
        <f>IF(G187="مدير ولائي",0,LOOKUP(D187,'f-travail'!A:A,'f-travail'!S:S)*(AF187+AG187))</f>
        <v>#N/A</v>
      </c>
      <c r="AN187" s="673" t="e">
        <f>IF(G187="مدير ولائي",0,LOOKUP(D187,'f-travail'!A:A,'f-travail'!T:T)*(AF187+AG187))</f>
        <v>#N/A</v>
      </c>
      <c r="AO187" s="673" t="e">
        <f>IF(G187="مدير ولائي",0,LOOKUP(D187,'f-travail'!A:A,'f-travail'!U:U)*(AF187+AG187))</f>
        <v>#N/A</v>
      </c>
      <c r="AP187" s="673" t="e">
        <f>IF(G187="مدير ولائي",0,LOOKUP(D187,'f-travail'!A:A,'f-travail'!V:V)*(AF187+AG187))</f>
        <v>#N/A</v>
      </c>
      <c r="AQ187" s="673" t="e">
        <f>IF(G187="مدير ولائي",0,LOOKUP(D187,'f-travail'!A:A,'f-travail'!W:W)*(AF187+AG187))</f>
        <v>#N/A</v>
      </c>
      <c r="AR187" s="673">
        <f t="shared" si="84"/>
        <v>0</v>
      </c>
      <c r="AS187" s="673" t="e">
        <f>IF(G187="مدير ولائي",0,LOOKUP(D187,'f-travail'!A:A,'f-travail'!X:X)*(AF187+AG187))</f>
        <v>#N/A</v>
      </c>
      <c r="AT187" s="673" t="e">
        <f>IF(G187="مدير ولائي",0,LOOKUP(D187,'f-travail'!Y:Y,'f-travail'!R:R)*(AF187+AG187))</f>
        <v>#N/A</v>
      </c>
      <c r="AU187" s="673">
        <f t="shared" si="74"/>
        <v>0</v>
      </c>
      <c r="AV187" s="673">
        <f t="shared" si="75"/>
        <v>0</v>
      </c>
      <c r="AW187" s="673">
        <f t="shared" si="76"/>
        <v>0</v>
      </c>
      <c r="AY187" s="640" t="e">
        <f t="shared" si="85"/>
        <v>#N/A</v>
      </c>
      <c r="AZ187" s="673" t="e">
        <f t="shared" si="77"/>
        <v>#N/A</v>
      </c>
      <c r="BA187" s="639" t="e">
        <f t="shared" si="78"/>
        <v>#N/A</v>
      </c>
      <c r="BG187" s="639">
        <f t="shared" si="86"/>
        <v>0</v>
      </c>
      <c r="BH187" s="683">
        <f t="shared" si="87"/>
        <v>0</v>
      </c>
      <c r="BI187" s="683">
        <f t="shared" si="88"/>
        <v>0</v>
      </c>
      <c r="BJ187" s="641" t="e">
        <f t="shared" si="89"/>
        <v>#N/A</v>
      </c>
      <c r="BK187" s="641" t="e">
        <f t="shared" si="90"/>
        <v>#N/A</v>
      </c>
      <c r="BL187" s="641" t="e">
        <f t="shared" si="91"/>
        <v>#N/A</v>
      </c>
      <c r="BM187" s="684" t="e">
        <f t="shared" si="92"/>
        <v>#N/A</v>
      </c>
      <c r="BO187" s="682" t="e">
        <f>CONCATENATE(Z187," ",LOOKUP(D187,'f-travail'!A:A,'f-travail'!F:F))</f>
        <v>#N/A</v>
      </c>
      <c r="BP187" s="669" t="e">
        <f t="shared" si="79"/>
        <v>#N/A</v>
      </c>
    </row>
    <row r="188" spans="1:68">
      <c r="A188" s="636">
        <f t="shared" si="93"/>
        <v>187</v>
      </c>
      <c r="B188" s="637"/>
      <c r="C188" s="637"/>
      <c r="D188" s="652"/>
      <c r="E188" s="679" t="e">
        <f>LOOKUP(D188,'f-travail'!A:A,'f-travail'!B:B)</f>
        <v>#N/A</v>
      </c>
      <c r="F188" s="650"/>
      <c r="G188" s="650"/>
      <c r="H188" s="653"/>
      <c r="I188" s="653"/>
      <c r="J188" s="654"/>
      <c r="K188" s="650"/>
      <c r="L188" s="650"/>
      <c r="M188" s="650">
        <v>0</v>
      </c>
      <c r="N188" s="654"/>
      <c r="O188" s="654"/>
      <c r="P188" s="654"/>
      <c r="Q188" s="654"/>
      <c r="R188" s="676"/>
      <c r="S188" s="654"/>
      <c r="T188" s="675"/>
      <c r="U188" s="675"/>
      <c r="V188" s="670" t="e">
        <f>LOOKUP(D188,'f-travail'!A:A,'f-travail'!E:E)</f>
        <v>#N/A</v>
      </c>
      <c r="W188" s="670" t="e">
        <f>VLOOKUP(V188,جرقمإستدلالي,'f-travail'!$AD$4+1,FALSE)</f>
        <v>#N/A</v>
      </c>
      <c r="X188" s="671" t="e">
        <f t="shared" si="69"/>
        <v>#N/A</v>
      </c>
      <c r="Y188" s="671">
        <f>IF(G188="مدير ولائي",(HLOOKUP(I188,جدروظعليا,'f-travail'!$AT$3+1,FALSE)-3200),0)</f>
        <v>0</v>
      </c>
      <c r="Z188" s="672" t="str">
        <f t="shared" si="80"/>
        <v/>
      </c>
      <c r="AA188" s="671">
        <f t="shared" si="81"/>
        <v>0</v>
      </c>
      <c r="AB188" s="677" t="b">
        <f t="shared" si="70"/>
        <v>0</v>
      </c>
      <c r="AC188" s="678">
        <f t="shared" si="82"/>
        <v>0</v>
      </c>
      <c r="AD188" s="673"/>
      <c r="AE188" s="678">
        <f t="shared" si="71"/>
        <v>0</v>
      </c>
      <c r="AF188" s="678" t="e">
        <f t="shared" si="72"/>
        <v>#N/A</v>
      </c>
      <c r="AG188" s="678" t="e">
        <f t="shared" si="73"/>
        <v>#N/A</v>
      </c>
      <c r="AH188" s="673">
        <f t="shared" si="83"/>
        <v>0</v>
      </c>
      <c r="AI188" s="674" t="e">
        <f>IF(G188="مدير ولائي",(11000*35%),LOOKUP(D188,'f-travail'!A:A,'f-travail'!I:I))</f>
        <v>#N/A</v>
      </c>
      <c r="AJ188" s="673" t="e">
        <f>IF(G188="مدير ولائي",((W188+X188)*45)*80%,IF(V188&lt;8,0,IF(F188="إليزي",(LOOKUP(D188,'f-travail'!A:A,'f-travail'!O:O))*(AF188+AG188),LOOKUP(D188,'f-travail'!A:A,'f-travail'!P:P)*(AF188+AG188))))</f>
        <v>#N/A</v>
      </c>
      <c r="AK188" s="673" t="e">
        <f>IF(G188="مدير ولائي",0,LOOKUP(D188,'f-travail'!A:A,'f-travail'!Q:Q))</f>
        <v>#N/A</v>
      </c>
      <c r="AL188" s="673" t="e">
        <f>IF(G188="مدير ولائي",0,LOOKUP(D188,'f-travail'!A:A,'f-travail'!R:R)*(AF188+AG188))</f>
        <v>#N/A</v>
      </c>
      <c r="AM188" s="673" t="e">
        <f>IF(G188="مدير ولائي",0,LOOKUP(D188,'f-travail'!A:A,'f-travail'!S:S)*(AF188+AG188))</f>
        <v>#N/A</v>
      </c>
      <c r="AN188" s="673" t="e">
        <f>IF(G188="مدير ولائي",0,LOOKUP(D188,'f-travail'!A:A,'f-travail'!T:T)*(AF188+AG188))</f>
        <v>#N/A</v>
      </c>
      <c r="AO188" s="673" t="e">
        <f>IF(G188="مدير ولائي",0,LOOKUP(D188,'f-travail'!A:A,'f-travail'!U:U)*(AF188+AG188))</f>
        <v>#N/A</v>
      </c>
      <c r="AP188" s="673" t="e">
        <f>IF(G188="مدير ولائي",0,LOOKUP(D188,'f-travail'!A:A,'f-travail'!V:V)*(AF188+AG188))</f>
        <v>#N/A</v>
      </c>
      <c r="AQ188" s="673" t="e">
        <f>IF(G188="مدير ولائي",0,LOOKUP(D188,'f-travail'!A:A,'f-travail'!W:W)*(AF188+AG188))</f>
        <v>#N/A</v>
      </c>
      <c r="AR188" s="673">
        <f t="shared" si="84"/>
        <v>0</v>
      </c>
      <c r="AS188" s="673" t="e">
        <f>IF(G188="مدير ولائي",0,LOOKUP(D188,'f-travail'!A:A,'f-travail'!X:X)*(AF188+AG188))</f>
        <v>#N/A</v>
      </c>
      <c r="AT188" s="673" t="e">
        <f>IF(G188="مدير ولائي",0,LOOKUP(D188,'f-travail'!Y:Y,'f-travail'!R:R)*(AF188+AG188))</f>
        <v>#N/A</v>
      </c>
      <c r="AU188" s="673">
        <f t="shared" si="74"/>
        <v>0</v>
      </c>
      <c r="AV188" s="673">
        <f t="shared" si="75"/>
        <v>0</v>
      </c>
      <c r="AW188" s="673">
        <f t="shared" si="76"/>
        <v>0</v>
      </c>
      <c r="AY188" s="640" t="e">
        <f t="shared" si="85"/>
        <v>#N/A</v>
      </c>
      <c r="AZ188" s="673" t="e">
        <f t="shared" si="77"/>
        <v>#N/A</v>
      </c>
      <c r="BA188" s="639" t="e">
        <f t="shared" si="78"/>
        <v>#N/A</v>
      </c>
      <c r="BG188" s="639">
        <f t="shared" si="86"/>
        <v>0</v>
      </c>
      <c r="BH188" s="683">
        <f t="shared" si="87"/>
        <v>0</v>
      </c>
      <c r="BI188" s="683">
        <f t="shared" si="88"/>
        <v>0</v>
      </c>
      <c r="BJ188" s="641" t="e">
        <f t="shared" si="89"/>
        <v>#N/A</v>
      </c>
      <c r="BK188" s="641" t="e">
        <f t="shared" si="90"/>
        <v>#N/A</v>
      </c>
      <c r="BL188" s="641" t="e">
        <f t="shared" si="91"/>
        <v>#N/A</v>
      </c>
      <c r="BM188" s="684" t="e">
        <f t="shared" si="92"/>
        <v>#N/A</v>
      </c>
      <c r="BO188" s="682" t="e">
        <f>CONCATENATE(Z188," ",LOOKUP(D188,'f-travail'!A:A,'f-travail'!F:F))</f>
        <v>#N/A</v>
      </c>
      <c r="BP188" s="669" t="e">
        <f t="shared" si="79"/>
        <v>#N/A</v>
      </c>
    </row>
    <row r="189" spans="1:68">
      <c r="A189" s="636">
        <f t="shared" si="93"/>
        <v>188</v>
      </c>
      <c r="B189" s="637"/>
      <c r="C189" s="637"/>
      <c r="D189" s="652"/>
      <c r="E189" s="679" t="e">
        <f>LOOKUP(D189,'f-travail'!A:A,'f-travail'!B:B)</f>
        <v>#N/A</v>
      </c>
      <c r="F189" s="650"/>
      <c r="G189" s="650"/>
      <c r="H189" s="653"/>
      <c r="I189" s="653"/>
      <c r="J189" s="654"/>
      <c r="K189" s="650"/>
      <c r="L189" s="650"/>
      <c r="M189" s="650">
        <v>0</v>
      </c>
      <c r="N189" s="654"/>
      <c r="O189" s="654"/>
      <c r="P189" s="654"/>
      <c r="Q189" s="654"/>
      <c r="R189" s="676"/>
      <c r="S189" s="654"/>
      <c r="T189" s="675"/>
      <c r="U189" s="675"/>
      <c r="V189" s="670" t="e">
        <f>LOOKUP(D189,'f-travail'!A:A,'f-travail'!E:E)</f>
        <v>#N/A</v>
      </c>
      <c r="W189" s="670" t="e">
        <f>VLOOKUP(V189,جرقمإستدلالي,'f-travail'!$AD$4+1,FALSE)</f>
        <v>#N/A</v>
      </c>
      <c r="X189" s="671" t="e">
        <f t="shared" si="69"/>
        <v>#N/A</v>
      </c>
      <c r="Y189" s="671">
        <f>IF(G189="مدير ولائي",(HLOOKUP(I189,جدروظعليا,'f-travail'!$AT$3+1,FALSE)-3200),0)</f>
        <v>0</v>
      </c>
      <c r="Z189" s="672" t="str">
        <f t="shared" si="80"/>
        <v/>
      </c>
      <c r="AA189" s="671">
        <f t="shared" si="81"/>
        <v>0</v>
      </c>
      <c r="AB189" s="677" t="b">
        <f t="shared" si="70"/>
        <v>0</v>
      </c>
      <c r="AC189" s="678">
        <f t="shared" si="82"/>
        <v>0</v>
      </c>
      <c r="AD189" s="673"/>
      <c r="AE189" s="678">
        <f t="shared" si="71"/>
        <v>0</v>
      </c>
      <c r="AF189" s="678" t="e">
        <f t="shared" si="72"/>
        <v>#N/A</v>
      </c>
      <c r="AG189" s="678" t="e">
        <f t="shared" si="73"/>
        <v>#N/A</v>
      </c>
      <c r="AH189" s="673">
        <f t="shared" si="83"/>
        <v>0</v>
      </c>
      <c r="AI189" s="674" t="e">
        <f>IF(G189="مدير ولائي",(11000*35%),LOOKUP(D189,'f-travail'!A:A,'f-travail'!I:I))</f>
        <v>#N/A</v>
      </c>
      <c r="AJ189" s="673" t="e">
        <f>IF(G189="مدير ولائي",((W189+X189)*45)*80%,IF(V189&lt;8,0,IF(F189="إليزي",(LOOKUP(D189,'f-travail'!A:A,'f-travail'!O:O))*(AF189+AG189),LOOKUP(D189,'f-travail'!A:A,'f-travail'!P:P)*(AF189+AG189))))</f>
        <v>#N/A</v>
      </c>
      <c r="AK189" s="673" t="e">
        <f>IF(G189="مدير ولائي",0,LOOKUP(D189,'f-travail'!A:A,'f-travail'!Q:Q))</f>
        <v>#N/A</v>
      </c>
      <c r="AL189" s="673" t="e">
        <f>IF(G189="مدير ولائي",0,LOOKUP(D189,'f-travail'!A:A,'f-travail'!R:R)*(AF189+AG189))</f>
        <v>#N/A</v>
      </c>
      <c r="AM189" s="673" t="e">
        <f>IF(G189="مدير ولائي",0,LOOKUP(D189,'f-travail'!A:A,'f-travail'!S:S)*(AF189+AG189))</f>
        <v>#N/A</v>
      </c>
      <c r="AN189" s="673" t="e">
        <f>IF(G189="مدير ولائي",0,LOOKUP(D189,'f-travail'!A:A,'f-travail'!T:T)*(AF189+AG189))</f>
        <v>#N/A</v>
      </c>
      <c r="AO189" s="673" t="e">
        <f>IF(G189="مدير ولائي",0,LOOKUP(D189,'f-travail'!A:A,'f-travail'!U:U)*(AF189+AG189))</f>
        <v>#N/A</v>
      </c>
      <c r="AP189" s="673" t="e">
        <f>IF(G189="مدير ولائي",0,LOOKUP(D189,'f-travail'!A:A,'f-travail'!V:V)*(AF189+AG189))</f>
        <v>#N/A</v>
      </c>
      <c r="AQ189" s="673" t="e">
        <f>IF(G189="مدير ولائي",0,LOOKUP(D189,'f-travail'!A:A,'f-travail'!W:W)*(AF189+AG189))</f>
        <v>#N/A</v>
      </c>
      <c r="AR189" s="673">
        <f t="shared" si="84"/>
        <v>0</v>
      </c>
      <c r="AS189" s="673" t="e">
        <f>IF(G189="مدير ولائي",0,LOOKUP(D189,'f-travail'!A:A,'f-travail'!X:X)*(AF189+AG189))</f>
        <v>#N/A</v>
      </c>
      <c r="AT189" s="673" t="e">
        <f>IF(G189="مدير ولائي",0,LOOKUP(D189,'f-travail'!Y:Y,'f-travail'!R:R)*(AF189+AG189))</f>
        <v>#N/A</v>
      </c>
      <c r="AU189" s="673">
        <f t="shared" si="74"/>
        <v>0</v>
      </c>
      <c r="AV189" s="673">
        <f t="shared" si="75"/>
        <v>0</v>
      </c>
      <c r="AW189" s="673">
        <f t="shared" si="76"/>
        <v>0</v>
      </c>
      <c r="AY189" s="640" t="e">
        <f t="shared" si="85"/>
        <v>#N/A</v>
      </c>
      <c r="AZ189" s="673" t="e">
        <f t="shared" si="77"/>
        <v>#N/A</v>
      </c>
      <c r="BA189" s="639" t="e">
        <f t="shared" si="78"/>
        <v>#N/A</v>
      </c>
      <c r="BG189" s="639">
        <f t="shared" si="86"/>
        <v>0</v>
      </c>
      <c r="BH189" s="683">
        <f t="shared" si="87"/>
        <v>0</v>
      </c>
      <c r="BI189" s="683">
        <f t="shared" si="88"/>
        <v>0</v>
      </c>
      <c r="BJ189" s="641" t="e">
        <f t="shared" si="89"/>
        <v>#N/A</v>
      </c>
      <c r="BK189" s="641" t="e">
        <f t="shared" si="90"/>
        <v>#N/A</v>
      </c>
      <c r="BL189" s="641" t="e">
        <f t="shared" si="91"/>
        <v>#N/A</v>
      </c>
      <c r="BM189" s="684" t="e">
        <f t="shared" si="92"/>
        <v>#N/A</v>
      </c>
      <c r="BO189" s="682" t="e">
        <f>CONCATENATE(Z189," ",LOOKUP(D189,'f-travail'!A:A,'f-travail'!F:F))</f>
        <v>#N/A</v>
      </c>
      <c r="BP189" s="669" t="e">
        <f t="shared" si="79"/>
        <v>#N/A</v>
      </c>
    </row>
    <row r="190" spans="1:68">
      <c r="A190" s="636">
        <f t="shared" si="93"/>
        <v>189</v>
      </c>
      <c r="B190" s="637"/>
      <c r="C190" s="637"/>
      <c r="D190" s="652"/>
      <c r="E190" s="679" t="e">
        <f>LOOKUP(D190,'f-travail'!A:A,'f-travail'!B:B)</f>
        <v>#N/A</v>
      </c>
      <c r="F190" s="650"/>
      <c r="G190" s="650"/>
      <c r="H190" s="653"/>
      <c r="I190" s="653"/>
      <c r="J190" s="654"/>
      <c r="K190" s="650"/>
      <c r="L190" s="650"/>
      <c r="M190" s="650">
        <v>0</v>
      </c>
      <c r="N190" s="654"/>
      <c r="O190" s="654"/>
      <c r="P190" s="654"/>
      <c r="Q190" s="654"/>
      <c r="R190" s="676"/>
      <c r="S190" s="654"/>
      <c r="T190" s="675"/>
      <c r="U190" s="675"/>
      <c r="V190" s="670" t="e">
        <f>LOOKUP(D190,'f-travail'!A:A,'f-travail'!E:E)</f>
        <v>#N/A</v>
      </c>
      <c r="W190" s="670" t="e">
        <f>VLOOKUP(V190,جرقمإستدلالي,'f-travail'!$AD$4+1,FALSE)</f>
        <v>#N/A</v>
      </c>
      <c r="X190" s="671" t="e">
        <f t="shared" si="69"/>
        <v>#N/A</v>
      </c>
      <c r="Y190" s="671">
        <f>IF(G190="مدير ولائي",(HLOOKUP(I190,جدروظعليا,'f-travail'!$AT$3+1,FALSE)-3200),0)</f>
        <v>0</v>
      </c>
      <c r="Z190" s="672" t="str">
        <f t="shared" si="80"/>
        <v/>
      </c>
      <c r="AA190" s="671">
        <f t="shared" si="81"/>
        <v>0</v>
      </c>
      <c r="AB190" s="677" t="b">
        <f t="shared" si="70"/>
        <v>0</v>
      </c>
      <c r="AC190" s="678">
        <f t="shared" si="82"/>
        <v>0</v>
      </c>
      <c r="AD190" s="673"/>
      <c r="AE190" s="678">
        <f t="shared" si="71"/>
        <v>0</v>
      </c>
      <c r="AF190" s="678" t="e">
        <f t="shared" si="72"/>
        <v>#N/A</v>
      </c>
      <c r="AG190" s="678" t="e">
        <f t="shared" si="73"/>
        <v>#N/A</v>
      </c>
      <c r="AH190" s="673">
        <f t="shared" si="83"/>
        <v>0</v>
      </c>
      <c r="AI190" s="674" t="e">
        <f>IF(G190="مدير ولائي",(11000*35%),LOOKUP(D190,'f-travail'!A:A,'f-travail'!I:I))</f>
        <v>#N/A</v>
      </c>
      <c r="AJ190" s="673" t="e">
        <f>IF(G190="مدير ولائي",((W190+X190)*45)*80%,IF(V190&lt;8,0,IF(F190="إليزي",(LOOKUP(D190,'f-travail'!A:A,'f-travail'!O:O))*(AF190+AG190),LOOKUP(D190,'f-travail'!A:A,'f-travail'!P:P)*(AF190+AG190))))</f>
        <v>#N/A</v>
      </c>
      <c r="AK190" s="673" t="e">
        <f>IF(G190="مدير ولائي",0,LOOKUP(D190,'f-travail'!A:A,'f-travail'!Q:Q))</f>
        <v>#N/A</v>
      </c>
      <c r="AL190" s="673" t="e">
        <f>IF(G190="مدير ولائي",0,LOOKUP(D190,'f-travail'!A:A,'f-travail'!R:R)*(AF190+AG190))</f>
        <v>#N/A</v>
      </c>
      <c r="AM190" s="673" t="e">
        <f>IF(G190="مدير ولائي",0,LOOKUP(D190,'f-travail'!A:A,'f-travail'!S:S)*(AF190+AG190))</f>
        <v>#N/A</v>
      </c>
      <c r="AN190" s="673" t="e">
        <f>IF(G190="مدير ولائي",0,LOOKUP(D190,'f-travail'!A:A,'f-travail'!T:T)*(AF190+AG190))</f>
        <v>#N/A</v>
      </c>
      <c r="AO190" s="673" t="e">
        <f>IF(G190="مدير ولائي",0,LOOKUP(D190,'f-travail'!A:A,'f-travail'!U:U)*(AF190+AG190))</f>
        <v>#N/A</v>
      </c>
      <c r="AP190" s="673" t="e">
        <f>IF(G190="مدير ولائي",0,LOOKUP(D190,'f-travail'!A:A,'f-travail'!V:V)*(AF190+AG190))</f>
        <v>#N/A</v>
      </c>
      <c r="AQ190" s="673" t="e">
        <f>IF(G190="مدير ولائي",0,LOOKUP(D190,'f-travail'!A:A,'f-travail'!W:W)*(AF190+AG190))</f>
        <v>#N/A</v>
      </c>
      <c r="AR190" s="673">
        <f t="shared" si="84"/>
        <v>0</v>
      </c>
      <c r="AS190" s="673" t="e">
        <f>IF(G190="مدير ولائي",0,LOOKUP(D190,'f-travail'!A:A,'f-travail'!X:X)*(AF190+AG190))</f>
        <v>#N/A</v>
      </c>
      <c r="AT190" s="673" t="e">
        <f>IF(G190="مدير ولائي",0,LOOKUP(D190,'f-travail'!Y:Y,'f-travail'!R:R)*(AF190+AG190))</f>
        <v>#N/A</v>
      </c>
      <c r="AU190" s="673">
        <f t="shared" si="74"/>
        <v>0</v>
      </c>
      <c r="AV190" s="673">
        <f t="shared" si="75"/>
        <v>0</v>
      </c>
      <c r="AW190" s="673">
        <f t="shared" si="76"/>
        <v>0</v>
      </c>
      <c r="AY190" s="640" t="e">
        <f t="shared" si="85"/>
        <v>#N/A</v>
      </c>
      <c r="AZ190" s="673" t="e">
        <f t="shared" si="77"/>
        <v>#N/A</v>
      </c>
      <c r="BA190" s="639" t="e">
        <f t="shared" si="78"/>
        <v>#N/A</v>
      </c>
      <c r="BG190" s="639">
        <f t="shared" si="86"/>
        <v>0</v>
      </c>
      <c r="BH190" s="683">
        <f t="shared" si="87"/>
        <v>0</v>
      </c>
      <c r="BI190" s="683">
        <f t="shared" si="88"/>
        <v>0</v>
      </c>
      <c r="BJ190" s="641" t="e">
        <f t="shared" si="89"/>
        <v>#N/A</v>
      </c>
      <c r="BK190" s="641" t="e">
        <f t="shared" si="90"/>
        <v>#N/A</v>
      </c>
      <c r="BL190" s="641" t="e">
        <f t="shared" si="91"/>
        <v>#N/A</v>
      </c>
      <c r="BM190" s="684" t="e">
        <f t="shared" si="92"/>
        <v>#N/A</v>
      </c>
      <c r="BO190" s="682" t="e">
        <f>CONCATENATE(Z190," ",LOOKUP(D190,'f-travail'!A:A,'f-travail'!F:F))</f>
        <v>#N/A</v>
      </c>
      <c r="BP190" s="669" t="e">
        <f t="shared" si="79"/>
        <v>#N/A</v>
      </c>
    </row>
    <row r="191" spans="1:68">
      <c r="A191" s="636">
        <f t="shared" si="93"/>
        <v>190</v>
      </c>
      <c r="B191" s="637"/>
      <c r="C191" s="637"/>
      <c r="D191" s="652"/>
      <c r="E191" s="679" t="e">
        <f>LOOKUP(D191,'f-travail'!A:A,'f-travail'!B:B)</f>
        <v>#N/A</v>
      </c>
      <c r="F191" s="650"/>
      <c r="G191" s="650"/>
      <c r="H191" s="653"/>
      <c r="I191" s="653"/>
      <c r="J191" s="654"/>
      <c r="K191" s="650"/>
      <c r="L191" s="650"/>
      <c r="M191" s="650">
        <v>0</v>
      </c>
      <c r="N191" s="654"/>
      <c r="O191" s="654"/>
      <c r="P191" s="654"/>
      <c r="Q191" s="654"/>
      <c r="R191" s="676"/>
      <c r="S191" s="654"/>
      <c r="T191" s="675"/>
      <c r="U191" s="675"/>
      <c r="V191" s="670" t="e">
        <f>LOOKUP(D191,'f-travail'!A:A,'f-travail'!E:E)</f>
        <v>#N/A</v>
      </c>
      <c r="W191" s="670" t="e">
        <f>VLOOKUP(V191,جرقمإستدلالي,'f-travail'!$AD$4+1,FALSE)</f>
        <v>#N/A</v>
      </c>
      <c r="X191" s="671" t="e">
        <f t="shared" si="69"/>
        <v>#N/A</v>
      </c>
      <c r="Y191" s="671">
        <f>IF(G191="مدير ولائي",(HLOOKUP(I191,جدروظعليا,'f-travail'!$AT$3+1,FALSE)-3200),0)</f>
        <v>0</v>
      </c>
      <c r="Z191" s="672" t="str">
        <f t="shared" si="80"/>
        <v/>
      </c>
      <c r="AA191" s="671">
        <f t="shared" si="81"/>
        <v>0</v>
      </c>
      <c r="AB191" s="677" t="b">
        <f t="shared" si="70"/>
        <v>0</v>
      </c>
      <c r="AC191" s="678">
        <f t="shared" si="82"/>
        <v>0</v>
      </c>
      <c r="AD191" s="673"/>
      <c r="AE191" s="678">
        <f t="shared" si="71"/>
        <v>0</v>
      </c>
      <c r="AF191" s="678" t="e">
        <f t="shared" si="72"/>
        <v>#N/A</v>
      </c>
      <c r="AG191" s="678" t="e">
        <f t="shared" si="73"/>
        <v>#N/A</v>
      </c>
      <c r="AH191" s="673">
        <f t="shared" si="83"/>
        <v>0</v>
      </c>
      <c r="AI191" s="674" t="e">
        <f>IF(G191="مدير ولائي",(11000*35%),LOOKUP(D191,'f-travail'!A:A,'f-travail'!I:I))</f>
        <v>#N/A</v>
      </c>
      <c r="AJ191" s="673" t="e">
        <f>IF(G191="مدير ولائي",((W191+X191)*45)*80%,IF(V191&lt;8,0,IF(F191="إليزي",(LOOKUP(D191,'f-travail'!A:A,'f-travail'!O:O))*(AF191+AG191),LOOKUP(D191,'f-travail'!A:A,'f-travail'!P:P)*(AF191+AG191))))</f>
        <v>#N/A</v>
      </c>
      <c r="AK191" s="673" t="e">
        <f>IF(G191="مدير ولائي",0,LOOKUP(D191,'f-travail'!A:A,'f-travail'!Q:Q))</f>
        <v>#N/A</v>
      </c>
      <c r="AL191" s="673" t="e">
        <f>IF(G191="مدير ولائي",0,LOOKUP(D191,'f-travail'!A:A,'f-travail'!R:R)*(AF191+AG191))</f>
        <v>#N/A</v>
      </c>
      <c r="AM191" s="673" t="e">
        <f>IF(G191="مدير ولائي",0,LOOKUP(D191,'f-travail'!A:A,'f-travail'!S:S)*(AF191+AG191))</f>
        <v>#N/A</v>
      </c>
      <c r="AN191" s="673" t="e">
        <f>IF(G191="مدير ولائي",0,LOOKUP(D191,'f-travail'!A:A,'f-travail'!T:T)*(AF191+AG191))</f>
        <v>#N/A</v>
      </c>
      <c r="AO191" s="673" t="e">
        <f>IF(G191="مدير ولائي",0,LOOKUP(D191,'f-travail'!A:A,'f-travail'!U:U)*(AF191+AG191))</f>
        <v>#N/A</v>
      </c>
      <c r="AP191" s="673" t="e">
        <f>IF(G191="مدير ولائي",0,LOOKUP(D191,'f-travail'!A:A,'f-travail'!V:V)*(AF191+AG191))</f>
        <v>#N/A</v>
      </c>
      <c r="AQ191" s="673" t="e">
        <f>IF(G191="مدير ولائي",0,LOOKUP(D191,'f-travail'!A:A,'f-travail'!W:W)*(AF191+AG191))</f>
        <v>#N/A</v>
      </c>
      <c r="AR191" s="673">
        <f t="shared" si="84"/>
        <v>0</v>
      </c>
      <c r="AS191" s="673" t="e">
        <f>IF(G191="مدير ولائي",0,LOOKUP(D191,'f-travail'!A:A,'f-travail'!X:X)*(AF191+AG191))</f>
        <v>#N/A</v>
      </c>
      <c r="AT191" s="673" t="e">
        <f>IF(G191="مدير ولائي",0,LOOKUP(D191,'f-travail'!Y:Y,'f-travail'!R:R)*(AF191+AG191))</f>
        <v>#N/A</v>
      </c>
      <c r="AU191" s="673">
        <f t="shared" si="74"/>
        <v>0</v>
      </c>
      <c r="AV191" s="673">
        <f t="shared" si="75"/>
        <v>0</v>
      </c>
      <c r="AW191" s="673">
        <f t="shared" si="76"/>
        <v>0</v>
      </c>
      <c r="AY191" s="640" t="e">
        <f t="shared" si="85"/>
        <v>#N/A</v>
      </c>
      <c r="AZ191" s="673" t="e">
        <f t="shared" si="77"/>
        <v>#N/A</v>
      </c>
      <c r="BA191" s="639" t="e">
        <f t="shared" si="78"/>
        <v>#N/A</v>
      </c>
      <c r="BG191" s="639">
        <f t="shared" si="86"/>
        <v>0</v>
      </c>
      <c r="BH191" s="683">
        <f t="shared" si="87"/>
        <v>0</v>
      </c>
      <c r="BI191" s="683">
        <f t="shared" si="88"/>
        <v>0</v>
      </c>
      <c r="BJ191" s="641" t="e">
        <f t="shared" si="89"/>
        <v>#N/A</v>
      </c>
      <c r="BK191" s="641" t="e">
        <f t="shared" si="90"/>
        <v>#N/A</v>
      </c>
      <c r="BL191" s="641" t="e">
        <f t="shared" si="91"/>
        <v>#N/A</v>
      </c>
      <c r="BM191" s="684" t="e">
        <f t="shared" si="92"/>
        <v>#N/A</v>
      </c>
      <c r="BO191" s="682" t="e">
        <f>CONCATENATE(Z191," ",LOOKUP(D191,'f-travail'!A:A,'f-travail'!F:F))</f>
        <v>#N/A</v>
      </c>
      <c r="BP191" s="669" t="e">
        <f t="shared" si="79"/>
        <v>#N/A</v>
      </c>
    </row>
    <row r="192" spans="1:68">
      <c r="A192" s="636">
        <f t="shared" si="93"/>
        <v>191</v>
      </c>
      <c r="B192" s="637"/>
      <c r="C192" s="637"/>
      <c r="D192" s="652"/>
      <c r="E192" s="679" t="e">
        <f>LOOKUP(D192,'f-travail'!A:A,'f-travail'!B:B)</f>
        <v>#N/A</v>
      </c>
      <c r="F192" s="650"/>
      <c r="G192" s="650"/>
      <c r="H192" s="653"/>
      <c r="I192" s="653"/>
      <c r="J192" s="654"/>
      <c r="K192" s="650"/>
      <c r="L192" s="650"/>
      <c r="M192" s="650">
        <v>0</v>
      </c>
      <c r="N192" s="654"/>
      <c r="O192" s="654"/>
      <c r="P192" s="654"/>
      <c r="Q192" s="654"/>
      <c r="R192" s="676"/>
      <c r="S192" s="654"/>
      <c r="T192" s="675"/>
      <c r="U192" s="675"/>
      <c r="V192" s="670" t="e">
        <f>LOOKUP(D192,'f-travail'!A:A,'f-travail'!E:E)</f>
        <v>#N/A</v>
      </c>
      <c r="W192" s="670" t="e">
        <f>VLOOKUP(V192,جرقمإستدلالي,'f-travail'!$AD$4+1,FALSE)</f>
        <v>#N/A</v>
      </c>
      <c r="X192" s="671" t="e">
        <f t="shared" si="69"/>
        <v>#N/A</v>
      </c>
      <c r="Y192" s="671">
        <f>IF(G192="مدير ولائي",(HLOOKUP(I192,جدروظعليا,'f-travail'!$AT$3+1,FALSE)-3200),0)</f>
        <v>0</v>
      </c>
      <c r="Z192" s="672" t="str">
        <f t="shared" si="80"/>
        <v/>
      </c>
      <c r="AA192" s="671">
        <f t="shared" si="81"/>
        <v>0</v>
      </c>
      <c r="AB192" s="677" t="b">
        <f t="shared" si="70"/>
        <v>0</v>
      </c>
      <c r="AC192" s="678">
        <f t="shared" si="82"/>
        <v>0</v>
      </c>
      <c r="AD192" s="673"/>
      <c r="AE192" s="678">
        <f t="shared" si="71"/>
        <v>0</v>
      </c>
      <c r="AF192" s="678" t="e">
        <f t="shared" si="72"/>
        <v>#N/A</v>
      </c>
      <c r="AG192" s="678" t="e">
        <f t="shared" si="73"/>
        <v>#N/A</v>
      </c>
      <c r="AH192" s="673">
        <f t="shared" si="83"/>
        <v>0</v>
      </c>
      <c r="AI192" s="674" t="e">
        <f>IF(G192="مدير ولائي",(11000*35%),LOOKUP(D192,'f-travail'!A:A,'f-travail'!I:I))</f>
        <v>#N/A</v>
      </c>
      <c r="AJ192" s="673" t="e">
        <f>IF(G192="مدير ولائي",((W192+X192)*45)*80%,IF(V192&lt;8,0,IF(F192="إليزي",(LOOKUP(D192,'f-travail'!A:A,'f-travail'!O:O))*(AF192+AG192),LOOKUP(D192,'f-travail'!A:A,'f-travail'!P:P)*(AF192+AG192))))</f>
        <v>#N/A</v>
      </c>
      <c r="AK192" s="673" t="e">
        <f>IF(G192="مدير ولائي",0,LOOKUP(D192,'f-travail'!A:A,'f-travail'!Q:Q))</f>
        <v>#N/A</v>
      </c>
      <c r="AL192" s="673" t="e">
        <f>IF(G192="مدير ولائي",0,LOOKUP(D192,'f-travail'!A:A,'f-travail'!R:R)*(AF192+AG192))</f>
        <v>#N/A</v>
      </c>
      <c r="AM192" s="673" t="e">
        <f>IF(G192="مدير ولائي",0,LOOKUP(D192,'f-travail'!A:A,'f-travail'!S:S)*(AF192+AG192))</f>
        <v>#N/A</v>
      </c>
      <c r="AN192" s="673" t="e">
        <f>IF(G192="مدير ولائي",0,LOOKUP(D192,'f-travail'!A:A,'f-travail'!T:T)*(AF192+AG192))</f>
        <v>#N/A</v>
      </c>
      <c r="AO192" s="673" t="e">
        <f>IF(G192="مدير ولائي",0,LOOKUP(D192,'f-travail'!A:A,'f-travail'!U:U)*(AF192+AG192))</f>
        <v>#N/A</v>
      </c>
      <c r="AP192" s="673" t="e">
        <f>IF(G192="مدير ولائي",0,LOOKUP(D192,'f-travail'!A:A,'f-travail'!V:V)*(AF192+AG192))</f>
        <v>#N/A</v>
      </c>
      <c r="AQ192" s="673" t="e">
        <f>IF(G192="مدير ولائي",0,LOOKUP(D192,'f-travail'!A:A,'f-travail'!W:W)*(AF192+AG192))</f>
        <v>#N/A</v>
      </c>
      <c r="AR192" s="673">
        <f t="shared" si="84"/>
        <v>0</v>
      </c>
      <c r="AS192" s="673" t="e">
        <f>IF(G192="مدير ولائي",0,LOOKUP(D192,'f-travail'!A:A,'f-travail'!X:X)*(AF192+AG192))</f>
        <v>#N/A</v>
      </c>
      <c r="AT192" s="673" t="e">
        <f>IF(G192="مدير ولائي",0,LOOKUP(D192,'f-travail'!Y:Y,'f-travail'!R:R)*(AF192+AG192))</f>
        <v>#N/A</v>
      </c>
      <c r="AU192" s="673">
        <f t="shared" si="74"/>
        <v>0</v>
      </c>
      <c r="AV192" s="673">
        <f t="shared" si="75"/>
        <v>0</v>
      </c>
      <c r="AW192" s="673">
        <f t="shared" si="76"/>
        <v>0</v>
      </c>
      <c r="AY192" s="640" t="e">
        <f t="shared" si="85"/>
        <v>#N/A</v>
      </c>
      <c r="AZ192" s="673" t="e">
        <f t="shared" si="77"/>
        <v>#N/A</v>
      </c>
      <c r="BA192" s="639" t="e">
        <f t="shared" si="78"/>
        <v>#N/A</v>
      </c>
      <c r="BG192" s="639">
        <f t="shared" si="86"/>
        <v>0</v>
      </c>
      <c r="BH192" s="683">
        <f t="shared" si="87"/>
        <v>0</v>
      </c>
      <c r="BI192" s="683">
        <f t="shared" si="88"/>
        <v>0</v>
      </c>
      <c r="BJ192" s="641" t="e">
        <f t="shared" si="89"/>
        <v>#N/A</v>
      </c>
      <c r="BK192" s="641" t="e">
        <f t="shared" si="90"/>
        <v>#N/A</v>
      </c>
      <c r="BL192" s="641" t="e">
        <f t="shared" si="91"/>
        <v>#N/A</v>
      </c>
      <c r="BM192" s="684" t="e">
        <f t="shared" si="92"/>
        <v>#N/A</v>
      </c>
      <c r="BO192" s="682" t="e">
        <f>CONCATENATE(Z192," ",LOOKUP(D192,'f-travail'!A:A,'f-travail'!F:F))</f>
        <v>#N/A</v>
      </c>
      <c r="BP192" s="669" t="e">
        <f t="shared" si="79"/>
        <v>#N/A</v>
      </c>
    </row>
    <row r="193" spans="1:68">
      <c r="A193" s="636">
        <f t="shared" si="93"/>
        <v>192</v>
      </c>
      <c r="B193" s="637"/>
      <c r="C193" s="637"/>
      <c r="D193" s="652"/>
      <c r="E193" s="679" t="e">
        <f>LOOKUP(D193,'f-travail'!A:A,'f-travail'!B:B)</f>
        <v>#N/A</v>
      </c>
      <c r="F193" s="650"/>
      <c r="G193" s="650"/>
      <c r="H193" s="653"/>
      <c r="I193" s="653"/>
      <c r="J193" s="654"/>
      <c r="K193" s="650"/>
      <c r="L193" s="650"/>
      <c r="M193" s="650">
        <v>0</v>
      </c>
      <c r="N193" s="654"/>
      <c r="O193" s="654"/>
      <c r="P193" s="654"/>
      <c r="Q193" s="654"/>
      <c r="R193" s="676"/>
      <c r="S193" s="654"/>
      <c r="T193" s="675"/>
      <c r="U193" s="675"/>
      <c r="V193" s="670" t="e">
        <f>LOOKUP(D193,'f-travail'!A:A,'f-travail'!E:E)</f>
        <v>#N/A</v>
      </c>
      <c r="W193" s="670" t="e">
        <f>VLOOKUP(V193,جرقمإستدلالي,'f-travail'!$AD$4+1,FALSE)</f>
        <v>#N/A</v>
      </c>
      <c r="X193" s="671" t="e">
        <f t="shared" ref="X193:X256" si="94">INDEX(جدرجات,V193,H193+1)</f>
        <v>#N/A</v>
      </c>
      <c r="Y193" s="671">
        <f>IF(G193="مدير ولائي",(HLOOKUP(I193,جدروظعليا,'f-travail'!$AT$3+1,FALSE)-3200),0)</f>
        <v>0</v>
      </c>
      <c r="Z193" s="672" t="str">
        <f t="shared" si="80"/>
        <v/>
      </c>
      <c r="AA193" s="671">
        <f t="shared" si="81"/>
        <v>0</v>
      </c>
      <c r="AB193" s="677" t="b">
        <f t="shared" ref="AB193:AB256" si="95">IF(OR(J193="متزوج(ة)",J193="متزوج(ة)ماكثة",J193="متزوج(ة)عاملة"),(CONCATENATE("م","(",K193,")")),IF(J193="مطلق(ة)",(CONCATENATE("مط","(",K193,")")),IF(J193="عازب(ة)","ع",IF(J193="عازب(ة)كفيل",CONCATENATE("ع/ك","(",K193,")")))))</f>
        <v>0</v>
      </c>
      <c r="AC193" s="678">
        <f t="shared" si="82"/>
        <v>0</v>
      </c>
      <c r="AD193" s="673"/>
      <c r="AE193" s="678">
        <f t="shared" ref="AE193:AE256" si="96">IF(AB193="ع",0,(AD193+(K193*300)+AC193))</f>
        <v>0</v>
      </c>
      <c r="AF193" s="678" t="e">
        <f t="shared" ref="AF193:AF256" si="97">IF(G193="مدير ولائي",(3200*19),(W193*45))</f>
        <v>#N/A</v>
      </c>
      <c r="AG193" s="678" t="e">
        <f t="shared" ref="AG193:AG256" si="98">IF(G193="مدير ولائي",(Y193*19),(X193*45))</f>
        <v>#N/A</v>
      </c>
      <c r="AH193" s="673">
        <f t="shared" si="83"/>
        <v>0</v>
      </c>
      <c r="AI193" s="674" t="e">
        <f>IF(G193="مدير ولائي",(11000*35%),LOOKUP(D193,'f-travail'!A:A,'f-travail'!I:I))</f>
        <v>#N/A</v>
      </c>
      <c r="AJ193" s="673" t="e">
        <f>IF(G193="مدير ولائي",((W193+X193)*45)*80%,IF(V193&lt;8,0,IF(F193="إليزي",(LOOKUP(D193,'f-travail'!A:A,'f-travail'!O:O))*(AF193+AG193),LOOKUP(D193,'f-travail'!A:A,'f-travail'!P:P)*(AF193+AG193))))</f>
        <v>#N/A</v>
      </c>
      <c r="AK193" s="673" t="e">
        <f>IF(G193="مدير ولائي",0,LOOKUP(D193,'f-travail'!A:A,'f-travail'!Q:Q))</f>
        <v>#N/A</v>
      </c>
      <c r="AL193" s="673" t="e">
        <f>IF(G193="مدير ولائي",0,LOOKUP(D193,'f-travail'!A:A,'f-travail'!R:R)*(AF193+AG193))</f>
        <v>#N/A</v>
      </c>
      <c r="AM193" s="673" t="e">
        <f>IF(G193="مدير ولائي",0,LOOKUP(D193,'f-travail'!A:A,'f-travail'!S:S)*(AF193+AG193))</f>
        <v>#N/A</v>
      </c>
      <c r="AN193" s="673" t="e">
        <f>IF(G193="مدير ولائي",0,LOOKUP(D193,'f-travail'!A:A,'f-travail'!T:T)*(AF193+AG193))</f>
        <v>#N/A</v>
      </c>
      <c r="AO193" s="673" t="e">
        <f>IF(G193="مدير ولائي",0,LOOKUP(D193,'f-travail'!A:A,'f-travail'!U:U)*(AF193+AG193))</f>
        <v>#N/A</v>
      </c>
      <c r="AP193" s="673" t="e">
        <f>IF(G193="مدير ولائي",0,LOOKUP(D193,'f-travail'!A:A,'f-travail'!V:V)*(AF193+AG193))</f>
        <v>#N/A</v>
      </c>
      <c r="AQ193" s="673" t="e">
        <f>IF(G193="مدير ولائي",0,LOOKUP(D193,'f-travail'!A:A,'f-travail'!W:W)*(AF193+AG193))</f>
        <v>#N/A</v>
      </c>
      <c r="AR193" s="673">
        <f t="shared" si="84"/>
        <v>0</v>
      </c>
      <c r="AS193" s="673" t="e">
        <f>IF(G193="مدير ولائي",0,LOOKUP(D193,'f-travail'!A:A,'f-travail'!X:X)*(AF193+AG193))</f>
        <v>#N/A</v>
      </c>
      <c r="AT193" s="673" t="e">
        <f>IF(G193="مدير ولائي",0,LOOKUP(D193,'f-travail'!Y:Y,'f-travail'!R:R)*(AF193+AG193))</f>
        <v>#N/A</v>
      </c>
      <c r="AU193" s="673">
        <f t="shared" ref="AU193:AU256" si="99">IF(G193="مدير ولائي",50%*(AF193+AG193),0)</f>
        <v>0</v>
      </c>
      <c r="AV193" s="673">
        <f t="shared" ref="AV193:AV256" si="100">IF(G193="مدير ولائي",50%*(AF193+AG193),0)</f>
        <v>0</v>
      </c>
      <c r="AW193" s="673">
        <f t="shared" ref="AW193:AW256" si="101">IF(G193="مدير ولائي",50%*(AF193+AG193),0)</f>
        <v>0</v>
      </c>
      <c r="AY193" s="640" t="e">
        <f t="shared" si="85"/>
        <v>#N/A</v>
      </c>
      <c r="AZ193" s="673" t="e">
        <f t="shared" ref="AZ193:AZ256" si="102">AG193+AF193+U193+T193+(AA193*45)</f>
        <v>#N/A</v>
      </c>
      <c r="BA193" s="639" t="e">
        <f t="shared" ref="BA193:BA256" si="103">SUM(BB193:BF193,(AZ193+AT193+AJ193+AI193+AE193))</f>
        <v>#N/A</v>
      </c>
      <c r="BG193" s="639">
        <f t="shared" si="86"/>
        <v>0</v>
      </c>
      <c r="BH193" s="683">
        <f t="shared" si="87"/>
        <v>0</v>
      </c>
      <c r="BI193" s="683">
        <f t="shared" si="88"/>
        <v>0</v>
      </c>
      <c r="BJ193" s="641" t="e">
        <f t="shared" si="89"/>
        <v>#N/A</v>
      </c>
      <c r="BK193" s="641" t="e">
        <f t="shared" si="90"/>
        <v>#N/A</v>
      </c>
      <c r="BL193" s="641" t="e">
        <f t="shared" si="91"/>
        <v>#N/A</v>
      </c>
      <c r="BM193" s="684" t="e">
        <f t="shared" si="92"/>
        <v>#N/A</v>
      </c>
      <c r="BO193" s="682" t="e">
        <f>CONCATENATE(Z193," ",LOOKUP(D193,'f-travail'!A:A,'f-travail'!F:F))</f>
        <v>#N/A</v>
      </c>
      <c r="BP193" s="669" t="e">
        <f t="shared" ref="BP193:BP256" si="104">IF(G193="",CONCATENATE(G193," ",E193),CONCATENATE(G193," (",E193,")"))</f>
        <v>#N/A</v>
      </c>
    </row>
    <row r="194" spans="1:68">
      <c r="A194" s="636">
        <f t="shared" si="93"/>
        <v>193</v>
      </c>
      <c r="B194" s="637"/>
      <c r="C194" s="637"/>
      <c r="D194" s="652"/>
      <c r="E194" s="679" t="e">
        <f>LOOKUP(D194,'f-travail'!A:A,'f-travail'!B:B)</f>
        <v>#N/A</v>
      </c>
      <c r="F194" s="650"/>
      <c r="G194" s="650"/>
      <c r="H194" s="653"/>
      <c r="I194" s="653"/>
      <c r="J194" s="654"/>
      <c r="K194" s="650"/>
      <c r="L194" s="650"/>
      <c r="M194" s="650">
        <v>0</v>
      </c>
      <c r="N194" s="654"/>
      <c r="O194" s="654"/>
      <c r="P194" s="654"/>
      <c r="Q194" s="654"/>
      <c r="R194" s="676"/>
      <c r="S194" s="654"/>
      <c r="T194" s="675"/>
      <c r="U194" s="675"/>
      <c r="V194" s="670" t="e">
        <f>LOOKUP(D194,'f-travail'!A:A,'f-travail'!E:E)</f>
        <v>#N/A</v>
      </c>
      <c r="W194" s="670" t="e">
        <f>VLOOKUP(V194,جرقمإستدلالي,'f-travail'!$AD$4+1,FALSE)</f>
        <v>#N/A</v>
      </c>
      <c r="X194" s="671" t="e">
        <f t="shared" si="94"/>
        <v>#N/A</v>
      </c>
      <c r="Y194" s="671">
        <f>IF(G194="مدير ولائي",(HLOOKUP(I194,جدروظعليا,'f-travail'!$AT$3+1,FALSE)-3200),0)</f>
        <v>0</v>
      </c>
      <c r="Z194" s="672" t="str">
        <f t="shared" ref="Z194:Z257" si="105">IF(OR(G194="رئيس مفتشية",G194="محافظ عقاري",G194="رئيس مصلحة"),"م8",IF(G194="رئيس مكتب","م7",IF(G194="رئيس قسم","م5",IF(G194="رئيس حضيرة","م3",IF(G194="مدير ولائي","ب 1","")))))</f>
        <v/>
      </c>
      <c r="AA194" s="671">
        <f t="shared" ref="AA194:AA257" si="106">IF(Z194="م8",195,IF(Z194="م7",145,IF(Z194="م5",75,IF(Z194="م3",45,0))))</f>
        <v>0</v>
      </c>
      <c r="AB194" s="677" t="b">
        <f t="shared" si="95"/>
        <v>0</v>
      </c>
      <c r="AC194" s="678">
        <f t="shared" ref="AC194:AC257" si="107">IF(AND(J194="متزوج(ة)ماكثة",K194=0),5.5,IF(AND(J194="متزوج(ة)ماكثة",K194&gt;0),800,0))</f>
        <v>0</v>
      </c>
      <c r="AD194" s="673"/>
      <c r="AE194" s="678">
        <f t="shared" si="96"/>
        <v>0</v>
      </c>
      <c r="AF194" s="678" t="e">
        <f t="shared" si="97"/>
        <v>#N/A</v>
      </c>
      <c r="AG194" s="678" t="e">
        <f t="shared" si="98"/>
        <v>#N/A</v>
      </c>
      <c r="AH194" s="673">
        <f t="shared" ref="AH194:AH257" si="108">IF(OR(G194="مدير ولائي",M194=0),0,IF(M194=1,2000))</f>
        <v>0</v>
      </c>
      <c r="AI194" s="674" t="e">
        <f>IF(G194="مدير ولائي",(11000*35%),LOOKUP(D194,'f-travail'!A:A,'f-travail'!I:I))</f>
        <v>#N/A</v>
      </c>
      <c r="AJ194" s="673" t="e">
        <f>IF(G194="مدير ولائي",((W194+X194)*45)*80%,IF(V194&lt;8,0,IF(F194="إليزي",(LOOKUP(D194,'f-travail'!A:A,'f-travail'!O:O))*(AF194+AG194),LOOKUP(D194,'f-travail'!A:A,'f-travail'!P:P)*(AF194+AG194))))</f>
        <v>#N/A</v>
      </c>
      <c r="AK194" s="673" t="e">
        <f>IF(G194="مدير ولائي",0,LOOKUP(D194,'f-travail'!A:A,'f-travail'!Q:Q))</f>
        <v>#N/A</v>
      </c>
      <c r="AL194" s="673" t="e">
        <f>IF(G194="مدير ولائي",0,LOOKUP(D194,'f-travail'!A:A,'f-travail'!R:R)*(AF194+AG194))</f>
        <v>#N/A</v>
      </c>
      <c r="AM194" s="673" t="e">
        <f>IF(G194="مدير ولائي",0,LOOKUP(D194,'f-travail'!A:A,'f-travail'!S:S)*(AF194+AG194))</f>
        <v>#N/A</v>
      </c>
      <c r="AN194" s="673" t="e">
        <f>IF(G194="مدير ولائي",0,LOOKUP(D194,'f-travail'!A:A,'f-travail'!T:T)*(AF194+AG194))</f>
        <v>#N/A</v>
      </c>
      <c r="AO194" s="673" t="e">
        <f>IF(G194="مدير ولائي",0,LOOKUP(D194,'f-travail'!A:A,'f-travail'!U:U)*(AF194+AG194))</f>
        <v>#N/A</v>
      </c>
      <c r="AP194" s="673" t="e">
        <f>IF(G194="مدير ولائي",0,LOOKUP(D194,'f-travail'!A:A,'f-travail'!V:V)*(AF194+AG194))</f>
        <v>#N/A</v>
      </c>
      <c r="AQ194" s="673" t="e">
        <f>IF(G194="مدير ولائي",0,LOOKUP(D194,'f-travail'!A:A,'f-travail'!W:W)*(AF194+AG194))</f>
        <v>#N/A</v>
      </c>
      <c r="AR194" s="673">
        <f t="shared" ref="AR194:AR257" si="109">IF(G194="أمين صندوق",4000,0)</f>
        <v>0</v>
      </c>
      <c r="AS194" s="673" t="e">
        <f>IF(G194="مدير ولائي",0,LOOKUP(D194,'f-travail'!A:A,'f-travail'!X:X)*(AF194+AG194))</f>
        <v>#N/A</v>
      </c>
      <c r="AT194" s="673" t="e">
        <f>IF(G194="مدير ولائي",0,LOOKUP(D194,'f-travail'!Y:Y,'f-travail'!R:R)*(AF194+AG194))</f>
        <v>#N/A</v>
      </c>
      <c r="AU194" s="673">
        <f t="shared" si="99"/>
        <v>0</v>
      </c>
      <c r="AV194" s="673">
        <f t="shared" si="100"/>
        <v>0</v>
      </c>
      <c r="AW194" s="673">
        <f t="shared" si="101"/>
        <v>0</v>
      </c>
      <c r="AY194" s="640" t="e">
        <f t="shared" ref="AY194:AY257" si="110">IF(Z194="ب 1",IF(OR(A194=0,A194=""),"",IF(OR(H194=0,I194=""),BO194,CONCATENATE(BO194," - ","د"," ",I194))),IF(OR(A194=0,A194=""),"",IF(OR(H194=0,H194=""),BO194,CONCATENATE(BO194," - ","د"," ",H194))))</f>
        <v>#N/A</v>
      </c>
      <c r="AZ194" s="673" t="e">
        <f t="shared" si="102"/>
        <v>#N/A</v>
      </c>
      <c r="BA194" s="639" t="e">
        <f t="shared" si="103"/>
        <v>#N/A</v>
      </c>
      <c r="BG194" s="639">
        <f t="shared" ref="BG194:BG257" si="111">IF(Z194="ب 1",ROUND((BA194-AE194-N194)*1%,2),0)</f>
        <v>0</v>
      </c>
      <c r="BH194" s="683">
        <f t="shared" ref="BH194:BH257" si="112">IF(AND(Z194="ب 1",P194=1),ROUND((BA194-AE194-N194)*1.5%,2),IF(P194=1,ROUND((BA194-AE194)*1.5%,2),0))</f>
        <v>0</v>
      </c>
      <c r="BI194" s="683">
        <f t="shared" ref="BI194:BI257" si="113">IF(O194=1,9523.81,0)</f>
        <v>0</v>
      </c>
      <c r="BJ194" s="641" t="e">
        <f t="shared" ref="BJ194:BJ257" si="114">IF(Z194="ب 1",ROUND((BA194-AE194-N194),2),ROUND((BA194-AE194),2))</f>
        <v>#N/A</v>
      </c>
      <c r="BK194" s="641" t="e">
        <f t="shared" ref="BK194:BK257" si="115">ROUND((BJ194*9%),2)</f>
        <v>#N/A</v>
      </c>
      <c r="BL194" s="641" t="e">
        <f t="shared" ref="BL194:BL257" si="116">IF(Z194="ب 1",ROUNDDOWN((BA194-BK194-AI194-N194),2),ROUNDDOWN((BA194-BK194-AI194-AH194),2))</f>
        <v>#N/A</v>
      </c>
      <c r="BM194" s="684" t="e">
        <f t="shared" ref="BM194:BM257" si="117">IF(Z194="ب 1",ROUND((29500+(BL194-120000)*35%)/2,2),(ROUND((IF((BL194&gt;1500),(IF(OR(BL194&gt;22500),IF(AND(BL194&gt;22500),(BL194-22500)*12%)+IF(AND(BL194&gt;28750),(BL194-28750)*8%)+IF(AND(BL194&gt;30000),(BL194-30000)*10%)+1500,IF(AND((BL194&gt;1500),(BL194&lt;=22500)),(BL194-15000)*20%))))/2),2)))</f>
        <v>#N/A</v>
      </c>
      <c r="BO194" s="682" t="e">
        <f>CONCATENATE(Z194," ",LOOKUP(D194,'f-travail'!A:A,'f-travail'!F:F))</f>
        <v>#N/A</v>
      </c>
      <c r="BP194" s="669" t="e">
        <f t="shared" si="104"/>
        <v>#N/A</v>
      </c>
    </row>
    <row r="195" spans="1:68">
      <c r="A195" s="636">
        <f t="shared" si="93"/>
        <v>194</v>
      </c>
      <c r="B195" s="637"/>
      <c r="C195" s="637"/>
      <c r="D195" s="652"/>
      <c r="E195" s="679" t="e">
        <f>LOOKUP(D195,'f-travail'!A:A,'f-travail'!B:B)</f>
        <v>#N/A</v>
      </c>
      <c r="F195" s="650"/>
      <c r="G195" s="650"/>
      <c r="H195" s="653"/>
      <c r="I195" s="653"/>
      <c r="J195" s="654"/>
      <c r="K195" s="650"/>
      <c r="L195" s="650"/>
      <c r="M195" s="650">
        <v>0</v>
      </c>
      <c r="N195" s="654"/>
      <c r="O195" s="654"/>
      <c r="P195" s="654"/>
      <c r="Q195" s="654"/>
      <c r="R195" s="676"/>
      <c r="S195" s="654"/>
      <c r="T195" s="675"/>
      <c r="U195" s="675"/>
      <c r="V195" s="670" t="e">
        <f>LOOKUP(D195,'f-travail'!A:A,'f-travail'!E:E)</f>
        <v>#N/A</v>
      </c>
      <c r="W195" s="670" t="e">
        <f>VLOOKUP(V195,جرقمإستدلالي,'f-travail'!$AD$4+1,FALSE)</f>
        <v>#N/A</v>
      </c>
      <c r="X195" s="671" t="e">
        <f t="shared" si="94"/>
        <v>#N/A</v>
      </c>
      <c r="Y195" s="671">
        <f>IF(G195="مدير ولائي",(HLOOKUP(I195,جدروظعليا,'f-travail'!$AT$3+1,FALSE)-3200),0)</f>
        <v>0</v>
      </c>
      <c r="Z195" s="672" t="str">
        <f t="shared" si="105"/>
        <v/>
      </c>
      <c r="AA195" s="671">
        <f t="shared" si="106"/>
        <v>0</v>
      </c>
      <c r="AB195" s="677" t="b">
        <f t="shared" si="95"/>
        <v>0</v>
      </c>
      <c r="AC195" s="678">
        <f t="shared" si="107"/>
        <v>0</v>
      </c>
      <c r="AD195" s="673"/>
      <c r="AE195" s="678">
        <f t="shared" si="96"/>
        <v>0</v>
      </c>
      <c r="AF195" s="678" t="e">
        <f t="shared" si="97"/>
        <v>#N/A</v>
      </c>
      <c r="AG195" s="678" t="e">
        <f t="shared" si="98"/>
        <v>#N/A</v>
      </c>
      <c r="AH195" s="673">
        <f t="shared" si="108"/>
        <v>0</v>
      </c>
      <c r="AI195" s="674" t="e">
        <f>IF(G195="مدير ولائي",(11000*35%),LOOKUP(D195,'f-travail'!A:A,'f-travail'!I:I))</f>
        <v>#N/A</v>
      </c>
      <c r="AJ195" s="673" t="e">
        <f>IF(G195="مدير ولائي",((W195+X195)*45)*80%,IF(V195&lt;8,0,IF(F195="إليزي",(LOOKUP(D195,'f-travail'!A:A,'f-travail'!O:O))*(AF195+AG195),LOOKUP(D195,'f-travail'!A:A,'f-travail'!P:P)*(AF195+AG195))))</f>
        <v>#N/A</v>
      </c>
      <c r="AK195" s="673" t="e">
        <f>IF(G195="مدير ولائي",0,LOOKUP(D195,'f-travail'!A:A,'f-travail'!Q:Q))</f>
        <v>#N/A</v>
      </c>
      <c r="AL195" s="673" t="e">
        <f>IF(G195="مدير ولائي",0,LOOKUP(D195,'f-travail'!A:A,'f-travail'!R:R)*(AF195+AG195))</f>
        <v>#N/A</v>
      </c>
      <c r="AM195" s="673" t="e">
        <f>IF(G195="مدير ولائي",0,LOOKUP(D195,'f-travail'!A:A,'f-travail'!S:S)*(AF195+AG195))</f>
        <v>#N/A</v>
      </c>
      <c r="AN195" s="673" t="e">
        <f>IF(G195="مدير ولائي",0,LOOKUP(D195,'f-travail'!A:A,'f-travail'!T:T)*(AF195+AG195))</f>
        <v>#N/A</v>
      </c>
      <c r="AO195" s="673" t="e">
        <f>IF(G195="مدير ولائي",0,LOOKUP(D195,'f-travail'!A:A,'f-travail'!U:U)*(AF195+AG195))</f>
        <v>#N/A</v>
      </c>
      <c r="AP195" s="673" t="e">
        <f>IF(G195="مدير ولائي",0,LOOKUP(D195,'f-travail'!A:A,'f-travail'!V:V)*(AF195+AG195))</f>
        <v>#N/A</v>
      </c>
      <c r="AQ195" s="673" t="e">
        <f>IF(G195="مدير ولائي",0,LOOKUP(D195,'f-travail'!A:A,'f-travail'!W:W)*(AF195+AG195))</f>
        <v>#N/A</v>
      </c>
      <c r="AR195" s="673">
        <f t="shared" si="109"/>
        <v>0</v>
      </c>
      <c r="AS195" s="673" t="e">
        <f>IF(G195="مدير ولائي",0,LOOKUP(D195,'f-travail'!A:A,'f-travail'!X:X)*(AF195+AG195))</f>
        <v>#N/A</v>
      </c>
      <c r="AT195" s="673" t="e">
        <f>IF(G195="مدير ولائي",0,LOOKUP(D195,'f-travail'!Y:Y,'f-travail'!R:R)*(AF195+AG195))</f>
        <v>#N/A</v>
      </c>
      <c r="AU195" s="673">
        <f t="shared" si="99"/>
        <v>0</v>
      </c>
      <c r="AV195" s="673">
        <f t="shared" si="100"/>
        <v>0</v>
      </c>
      <c r="AW195" s="673">
        <f t="shared" si="101"/>
        <v>0</v>
      </c>
      <c r="AY195" s="640" t="e">
        <f t="shared" si="110"/>
        <v>#N/A</v>
      </c>
      <c r="AZ195" s="673" t="e">
        <f t="shared" si="102"/>
        <v>#N/A</v>
      </c>
      <c r="BA195" s="639" t="e">
        <f t="shared" si="103"/>
        <v>#N/A</v>
      </c>
      <c r="BG195" s="639">
        <f t="shared" si="111"/>
        <v>0</v>
      </c>
      <c r="BH195" s="683">
        <f t="shared" si="112"/>
        <v>0</v>
      </c>
      <c r="BI195" s="683">
        <f t="shared" si="113"/>
        <v>0</v>
      </c>
      <c r="BJ195" s="641" t="e">
        <f t="shared" si="114"/>
        <v>#N/A</v>
      </c>
      <c r="BK195" s="641" t="e">
        <f t="shared" si="115"/>
        <v>#N/A</v>
      </c>
      <c r="BL195" s="641" t="e">
        <f t="shared" si="116"/>
        <v>#N/A</v>
      </c>
      <c r="BM195" s="684" t="e">
        <f t="shared" si="117"/>
        <v>#N/A</v>
      </c>
      <c r="BO195" s="682" t="e">
        <f>CONCATENATE(Z195," ",LOOKUP(D195,'f-travail'!A:A,'f-travail'!F:F))</f>
        <v>#N/A</v>
      </c>
      <c r="BP195" s="669" t="e">
        <f t="shared" si="104"/>
        <v>#N/A</v>
      </c>
    </row>
    <row r="196" spans="1:68">
      <c r="A196" s="636">
        <f t="shared" ref="A196:A259" si="118">A195+1</f>
        <v>195</v>
      </c>
      <c r="B196" s="637"/>
      <c r="C196" s="637"/>
      <c r="D196" s="652"/>
      <c r="E196" s="679" t="e">
        <f>LOOKUP(D196,'f-travail'!A:A,'f-travail'!B:B)</f>
        <v>#N/A</v>
      </c>
      <c r="F196" s="650"/>
      <c r="G196" s="650"/>
      <c r="H196" s="653"/>
      <c r="I196" s="653"/>
      <c r="J196" s="654"/>
      <c r="K196" s="650"/>
      <c r="L196" s="650"/>
      <c r="M196" s="650">
        <v>0</v>
      </c>
      <c r="N196" s="654"/>
      <c r="O196" s="654"/>
      <c r="P196" s="654"/>
      <c r="Q196" s="654"/>
      <c r="R196" s="676"/>
      <c r="S196" s="654"/>
      <c r="T196" s="675"/>
      <c r="U196" s="675"/>
      <c r="V196" s="670" t="e">
        <f>LOOKUP(D196,'f-travail'!A:A,'f-travail'!E:E)</f>
        <v>#N/A</v>
      </c>
      <c r="W196" s="670" t="e">
        <f>VLOOKUP(V196,جرقمإستدلالي,'f-travail'!$AD$4+1,FALSE)</f>
        <v>#N/A</v>
      </c>
      <c r="X196" s="671" t="e">
        <f t="shared" si="94"/>
        <v>#N/A</v>
      </c>
      <c r="Y196" s="671">
        <f>IF(G196="مدير ولائي",(HLOOKUP(I196,جدروظعليا,'f-travail'!$AT$3+1,FALSE)-3200),0)</f>
        <v>0</v>
      </c>
      <c r="Z196" s="672" t="str">
        <f t="shared" si="105"/>
        <v/>
      </c>
      <c r="AA196" s="671">
        <f t="shared" si="106"/>
        <v>0</v>
      </c>
      <c r="AB196" s="677" t="b">
        <f t="shared" si="95"/>
        <v>0</v>
      </c>
      <c r="AC196" s="678">
        <f t="shared" si="107"/>
        <v>0</v>
      </c>
      <c r="AD196" s="673"/>
      <c r="AE196" s="678">
        <f t="shared" si="96"/>
        <v>0</v>
      </c>
      <c r="AF196" s="678" t="e">
        <f t="shared" si="97"/>
        <v>#N/A</v>
      </c>
      <c r="AG196" s="678" t="e">
        <f t="shared" si="98"/>
        <v>#N/A</v>
      </c>
      <c r="AH196" s="673">
        <f t="shared" si="108"/>
        <v>0</v>
      </c>
      <c r="AI196" s="674" t="e">
        <f>IF(G196="مدير ولائي",(11000*35%),LOOKUP(D196,'f-travail'!A:A,'f-travail'!I:I))</f>
        <v>#N/A</v>
      </c>
      <c r="AJ196" s="673" t="e">
        <f>IF(G196="مدير ولائي",((W196+X196)*45)*80%,IF(V196&lt;8,0,IF(F196="إليزي",(LOOKUP(D196,'f-travail'!A:A,'f-travail'!O:O))*(AF196+AG196),LOOKUP(D196,'f-travail'!A:A,'f-travail'!P:P)*(AF196+AG196))))</f>
        <v>#N/A</v>
      </c>
      <c r="AK196" s="673" t="e">
        <f>IF(G196="مدير ولائي",0,LOOKUP(D196,'f-travail'!A:A,'f-travail'!Q:Q))</f>
        <v>#N/A</v>
      </c>
      <c r="AL196" s="673" t="e">
        <f>IF(G196="مدير ولائي",0,LOOKUP(D196,'f-travail'!A:A,'f-travail'!R:R)*(AF196+AG196))</f>
        <v>#N/A</v>
      </c>
      <c r="AM196" s="673" t="e">
        <f>IF(G196="مدير ولائي",0,LOOKUP(D196,'f-travail'!A:A,'f-travail'!S:S)*(AF196+AG196))</f>
        <v>#N/A</v>
      </c>
      <c r="AN196" s="673" t="e">
        <f>IF(G196="مدير ولائي",0,LOOKUP(D196,'f-travail'!A:A,'f-travail'!T:T)*(AF196+AG196))</f>
        <v>#N/A</v>
      </c>
      <c r="AO196" s="673" t="e">
        <f>IF(G196="مدير ولائي",0,LOOKUP(D196,'f-travail'!A:A,'f-travail'!U:U)*(AF196+AG196))</f>
        <v>#N/A</v>
      </c>
      <c r="AP196" s="673" t="e">
        <f>IF(G196="مدير ولائي",0,LOOKUP(D196,'f-travail'!A:A,'f-travail'!V:V)*(AF196+AG196))</f>
        <v>#N/A</v>
      </c>
      <c r="AQ196" s="673" t="e">
        <f>IF(G196="مدير ولائي",0,LOOKUP(D196,'f-travail'!A:A,'f-travail'!W:W)*(AF196+AG196))</f>
        <v>#N/A</v>
      </c>
      <c r="AR196" s="673">
        <f t="shared" si="109"/>
        <v>0</v>
      </c>
      <c r="AS196" s="673" t="e">
        <f>IF(G196="مدير ولائي",0,LOOKUP(D196,'f-travail'!A:A,'f-travail'!X:X)*(AF196+AG196))</f>
        <v>#N/A</v>
      </c>
      <c r="AT196" s="673" t="e">
        <f>IF(G196="مدير ولائي",0,LOOKUP(D196,'f-travail'!Y:Y,'f-travail'!R:R)*(AF196+AG196))</f>
        <v>#N/A</v>
      </c>
      <c r="AU196" s="673">
        <f t="shared" si="99"/>
        <v>0</v>
      </c>
      <c r="AV196" s="673">
        <f t="shared" si="100"/>
        <v>0</v>
      </c>
      <c r="AW196" s="673">
        <f t="shared" si="101"/>
        <v>0</v>
      </c>
      <c r="AY196" s="640" t="e">
        <f t="shared" si="110"/>
        <v>#N/A</v>
      </c>
      <c r="AZ196" s="673" t="e">
        <f t="shared" si="102"/>
        <v>#N/A</v>
      </c>
      <c r="BA196" s="639" t="e">
        <f t="shared" si="103"/>
        <v>#N/A</v>
      </c>
      <c r="BG196" s="639">
        <f t="shared" si="111"/>
        <v>0</v>
      </c>
      <c r="BH196" s="683">
        <f t="shared" si="112"/>
        <v>0</v>
      </c>
      <c r="BI196" s="683">
        <f t="shared" si="113"/>
        <v>0</v>
      </c>
      <c r="BJ196" s="641" t="e">
        <f t="shared" si="114"/>
        <v>#N/A</v>
      </c>
      <c r="BK196" s="641" t="e">
        <f t="shared" si="115"/>
        <v>#N/A</v>
      </c>
      <c r="BL196" s="641" t="e">
        <f t="shared" si="116"/>
        <v>#N/A</v>
      </c>
      <c r="BM196" s="684" t="e">
        <f t="shared" si="117"/>
        <v>#N/A</v>
      </c>
      <c r="BO196" s="682" t="e">
        <f>CONCATENATE(Z196," ",LOOKUP(D196,'f-travail'!A:A,'f-travail'!F:F))</f>
        <v>#N/A</v>
      </c>
      <c r="BP196" s="669" t="e">
        <f t="shared" si="104"/>
        <v>#N/A</v>
      </c>
    </row>
    <row r="197" spans="1:68">
      <c r="A197" s="636">
        <f t="shared" si="118"/>
        <v>196</v>
      </c>
      <c r="B197" s="637"/>
      <c r="C197" s="637"/>
      <c r="D197" s="652"/>
      <c r="E197" s="679" t="e">
        <f>LOOKUP(D197,'f-travail'!A:A,'f-travail'!B:B)</f>
        <v>#N/A</v>
      </c>
      <c r="F197" s="650"/>
      <c r="G197" s="650"/>
      <c r="H197" s="653"/>
      <c r="I197" s="653"/>
      <c r="J197" s="654"/>
      <c r="K197" s="650"/>
      <c r="L197" s="650"/>
      <c r="M197" s="650">
        <v>0</v>
      </c>
      <c r="N197" s="654"/>
      <c r="O197" s="654"/>
      <c r="P197" s="654"/>
      <c r="Q197" s="654"/>
      <c r="R197" s="676"/>
      <c r="S197" s="654"/>
      <c r="T197" s="675"/>
      <c r="U197" s="675"/>
      <c r="V197" s="670" t="e">
        <f>LOOKUP(D197,'f-travail'!A:A,'f-travail'!E:E)</f>
        <v>#N/A</v>
      </c>
      <c r="W197" s="670" t="e">
        <f>VLOOKUP(V197,جرقمإستدلالي,'f-travail'!$AD$4+1,FALSE)</f>
        <v>#N/A</v>
      </c>
      <c r="X197" s="671" t="e">
        <f t="shared" si="94"/>
        <v>#N/A</v>
      </c>
      <c r="Y197" s="671">
        <f>IF(G197="مدير ولائي",(HLOOKUP(I197,جدروظعليا,'f-travail'!$AT$3+1,FALSE)-3200),0)</f>
        <v>0</v>
      </c>
      <c r="Z197" s="672" t="str">
        <f t="shared" si="105"/>
        <v/>
      </c>
      <c r="AA197" s="671">
        <f t="shared" si="106"/>
        <v>0</v>
      </c>
      <c r="AB197" s="677" t="b">
        <f t="shared" si="95"/>
        <v>0</v>
      </c>
      <c r="AC197" s="678">
        <f t="shared" si="107"/>
        <v>0</v>
      </c>
      <c r="AD197" s="673"/>
      <c r="AE197" s="678">
        <f t="shared" si="96"/>
        <v>0</v>
      </c>
      <c r="AF197" s="678" t="e">
        <f t="shared" si="97"/>
        <v>#N/A</v>
      </c>
      <c r="AG197" s="678" t="e">
        <f t="shared" si="98"/>
        <v>#N/A</v>
      </c>
      <c r="AH197" s="673">
        <f t="shared" si="108"/>
        <v>0</v>
      </c>
      <c r="AI197" s="674" t="e">
        <f>IF(G197="مدير ولائي",(11000*35%),LOOKUP(D197,'f-travail'!A:A,'f-travail'!I:I))</f>
        <v>#N/A</v>
      </c>
      <c r="AJ197" s="673" t="e">
        <f>IF(G197="مدير ولائي",((W197+X197)*45)*80%,IF(V197&lt;8,0,IF(F197="إليزي",(LOOKUP(D197,'f-travail'!A:A,'f-travail'!O:O))*(AF197+AG197),LOOKUP(D197,'f-travail'!A:A,'f-travail'!P:P)*(AF197+AG197))))</f>
        <v>#N/A</v>
      </c>
      <c r="AK197" s="673" t="e">
        <f>IF(G197="مدير ولائي",0,LOOKUP(D197,'f-travail'!A:A,'f-travail'!Q:Q))</f>
        <v>#N/A</v>
      </c>
      <c r="AL197" s="673" t="e">
        <f>IF(G197="مدير ولائي",0,LOOKUP(D197,'f-travail'!A:A,'f-travail'!R:R)*(AF197+AG197))</f>
        <v>#N/A</v>
      </c>
      <c r="AM197" s="673" t="e">
        <f>IF(G197="مدير ولائي",0,LOOKUP(D197,'f-travail'!A:A,'f-travail'!S:S)*(AF197+AG197))</f>
        <v>#N/A</v>
      </c>
      <c r="AN197" s="673" t="e">
        <f>IF(G197="مدير ولائي",0,LOOKUP(D197,'f-travail'!A:A,'f-travail'!T:T)*(AF197+AG197))</f>
        <v>#N/A</v>
      </c>
      <c r="AO197" s="673" t="e">
        <f>IF(G197="مدير ولائي",0,LOOKUP(D197,'f-travail'!A:A,'f-travail'!U:U)*(AF197+AG197))</f>
        <v>#N/A</v>
      </c>
      <c r="AP197" s="673" t="e">
        <f>IF(G197="مدير ولائي",0,LOOKUP(D197,'f-travail'!A:A,'f-travail'!V:V)*(AF197+AG197))</f>
        <v>#N/A</v>
      </c>
      <c r="AQ197" s="673" t="e">
        <f>IF(G197="مدير ولائي",0,LOOKUP(D197,'f-travail'!A:A,'f-travail'!W:W)*(AF197+AG197))</f>
        <v>#N/A</v>
      </c>
      <c r="AR197" s="673">
        <f t="shared" si="109"/>
        <v>0</v>
      </c>
      <c r="AS197" s="673" t="e">
        <f>IF(G197="مدير ولائي",0,LOOKUP(D197,'f-travail'!A:A,'f-travail'!X:X)*(AF197+AG197))</f>
        <v>#N/A</v>
      </c>
      <c r="AT197" s="673" t="e">
        <f>IF(G197="مدير ولائي",0,LOOKUP(D197,'f-travail'!Y:Y,'f-travail'!R:R)*(AF197+AG197))</f>
        <v>#N/A</v>
      </c>
      <c r="AU197" s="673">
        <f t="shared" si="99"/>
        <v>0</v>
      </c>
      <c r="AV197" s="673">
        <f t="shared" si="100"/>
        <v>0</v>
      </c>
      <c r="AW197" s="673">
        <f t="shared" si="101"/>
        <v>0</v>
      </c>
      <c r="AY197" s="640" t="e">
        <f t="shared" si="110"/>
        <v>#N/A</v>
      </c>
      <c r="AZ197" s="673" t="e">
        <f t="shared" si="102"/>
        <v>#N/A</v>
      </c>
      <c r="BA197" s="639" t="e">
        <f t="shared" si="103"/>
        <v>#N/A</v>
      </c>
      <c r="BG197" s="639">
        <f t="shared" si="111"/>
        <v>0</v>
      </c>
      <c r="BH197" s="683">
        <f t="shared" si="112"/>
        <v>0</v>
      </c>
      <c r="BI197" s="683">
        <f t="shared" si="113"/>
        <v>0</v>
      </c>
      <c r="BJ197" s="641" t="e">
        <f t="shared" si="114"/>
        <v>#N/A</v>
      </c>
      <c r="BK197" s="641" t="e">
        <f t="shared" si="115"/>
        <v>#N/A</v>
      </c>
      <c r="BL197" s="641" t="e">
        <f t="shared" si="116"/>
        <v>#N/A</v>
      </c>
      <c r="BM197" s="684" t="e">
        <f t="shared" si="117"/>
        <v>#N/A</v>
      </c>
      <c r="BO197" s="682" t="e">
        <f>CONCATENATE(Z197," ",LOOKUP(D197,'f-travail'!A:A,'f-travail'!F:F))</f>
        <v>#N/A</v>
      </c>
      <c r="BP197" s="669" t="e">
        <f t="shared" si="104"/>
        <v>#N/A</v>
      </c>
    </row>
    <row r="198" spans="1:68">
      <c r="A198" s="636">
        <f t="shared" si="118"/>
        <v>197</v>
      </c>
      <c r="B198" s="637"/>
      <c r="C198" s="637"/>
      <c r="D198" s="652"/>
      <c r="E198" s="679" t="e">
        <f>LOOKUP(D198,'f-travail'!A:A,'f-travail'!B:B)</f>
        <v>#N/A</v>
      </c>
      <c r="F198" s="650"/>
      <c r="G198" s="650"/>
      <c r="H198" s="653"/>
      <c r="I198" s="653"/>
      <c r="J198" s="654"/>
      <c r="K198" s="650"/>
      <c r="L198" s="650"/>
      <c r="M198" s="650">
        <v>0</v>
      </c>
      <c r="N198" s="654"/>
      <c r="O198" s="654"/>
      <c r="P198" s="654"/>
      <c r="Q198" s="654"/>
      <c r="R198" s="676"/>
      <c r="S198" s="654"/>
      <c r="T198" s="675"/>
      <c r="U198" s="675"/>
      <c r="V198" s="670" t="e">
        <f>LOOKUP(D198,'f-travail'!A:A,'f-travail'!E:E)</f>
        <v>#N/A</v>
      </c>
      <c r="W198" s="670" t="e">
        <f>VLOOKUP(V198,جرقمإستدلالي,'f-travail'!$AD$4+1,FALSE)</f>
        <v>#N/A</v>
      </c>
      <c r="X198" s="671" t="e">
        <f t="shared" si="94"/>
        <v>#N/A</v>
      </c>
      <c r="Y198" s="671">
        <f>IF(G198="مدير ولائي",(HLOOKUP(I198,جدروظعليا,'f-travail'!$AT$3+1,FALSE)-3200),0)</f>
        <v>0</v>
      </c>
      <c r="Z198" s="672" t="str">
        <f t="shared" si="105"/>
        <v/>
      </c>
      <c r="AA198" s="671">
        <f t="shared" si="106"/>
        <v>0</v>
      </c>
      <c r="AB198" s="677" t="b">
        <f t="shared" si="95"/>
        <v>0</v>
      </c>
      <c r="AC198" s="678">
        <f t="shared" si="107"/>
        <v>0</v>
      </c>
      <c r="AD198" s="673"/>
      <c r="AE198" s="678">
        <f t="shared" si="96"/>
        <v>0</v>
      </c>
      <c r="AF198" s="678" t="e">
        <f t="shared" si="97"/>
        <v>#N/A</v>
      </c>
      <c r="AG198" s="678" t="e">
        <f t="shared" si="98"/>
        <v>#N/A</v>
      </c>
      <c r="AH198" s="673">
        <f t="shared" si="108"/>
        <v>0</v>
      </c>
      <c r="AI198" s="674" t="e">
        <f>IF(G198="مدير ولائي",(11000*35%),LOOKUP(D198,'f-travail'!A:A,'f-travail'!I:I))</f>
        <v>#N/A</v>
      </c>
      <c r="AJ198" s="673" t="e">
        <f>IF(G198="مدير ولائي",((W198+X198)*45)*80%,IF(V198&lt;8,0,IF(F198="إليزي",(LOOKUP(D198,'f-travail'!A:A,'f-travail'!O:O))*(AF198+AG198),LOOKUP(D198,'f-travail'!A:A,'f-travail'!P:P)*(AF198+AG198))))</f>
        <v>#N/A</v>
      </c>
      <c r="AK198" s="673" t="e">
        <f>IF(G198="مدير ولائي",0,LOOKUP(D198,'f-travail'!A:A,'f-travail'!Q:Q))</f>
        <v>#N/A</v>
      </c>
      <c r="AL198" s="673" t="e">
        <f>IF(G198="مدير ولائي",0,LOOKUP(D198,'f-travail'!A:A,'f-travail'!R:R)*(AF198+AG198))</f>
        <v>#N/A</v>
      </c>
      <c r="AM198" s="673" t="e">
        <f>IF(G198="مدير ولائي",0,LOOKUP(D198,'f-travail'!A:A,'f-travail'!S:S)*(AF198+AG198))</f>
        <v>#N/A</v>
      </c>
      <c r="AN198" s="673" t="e">
        <f>IF(G198="مدير ولائي",0,LOOKUP(D198,'f-travail'!A:A,'f-travail'!T:T)*(AF198+AG198))</f>
        <v>#N/A</v>
      </c>
      <c r="AO198" s="673" t="e">
        <f>IF(G198="مدير ولائي",0,LOOKUP(D198,'f-travail'!A:A,'f-travail'!U:U)*(AF198+AG198))</f>
        <v>#N/A</v>
      </c>
      <c r="AP198" s="673" t="e">
        <f>IF(G198="مدير ولائي",0,LOOKUP(D198,'f-travail'!A:A,'f-travail'!V:V)*(AF198+AG198))</f>
        <v>#N/A</v>
      </c>
      <c r="AQ198" s="673" t="e">
        <f>IF(G198="مدير ولائي",0,LOOKUP(D198,'f-travail'!A:A,'f-travail'!W:W)*(AF198+AG198))</f>
        <v>#N/A</v>
      </c>
      <c r="AR198" s="673">
        <f t="shared" si="109"/>
        <v>0</v>
      </c>
      <c r="AS198" s="673" t="e">
        <f>IF(G198="مدير ولائي",0,LOOKUP(D198,'f-travail'!A:A,'f-travail'!X:X)*(AF198+AG198))</f>
        <v>#N/A</v>
      </c>
      <c r="AT198" s="673" t="e">
        <f>IF(G198="مدير ولائي",0,LOOKUP(D198,'f-travail'!Y:Y,'f-travail'!R:R)*(AF198+AG198))</f>
        <v>#N/A</v>
      </c>
      <c r="AU198" s="673">
        <f t="shared" si="99"/>
        <v>0</v>
      </c>
      <c r="AV198" s="673">
        <f t="shared" si="100"/>
        <v>0</v>
      </c>
      <c r="AW198" s="673">
        <f t="shared" si="101"/>
        <v>0</v>
      </c>
      <c r="AY198" s="640" t="e">
        <f t="shared" si="110"/>
        <v>#N/A</v>
      </c>
      <c r="AZ198" s="673" t="e">
        <f t="shared" si="102"/>
        <v>#N/A</v>
      </c>
      <c r="BA198" s="639" t="e">
        <f t="shared" si="103"/>
        <v>#N/A</v>
      </c>
      <c r="BG198" s="639">
        <f t="shared" si="111"/>
        <v>0</v>
      </c>
      <c r="BH198" s="683">
        <f t="shared" si="112"/>
        <v>0</v>
      </c>
      <c r="BI198" s="683">
        <f t="shared" si="113"/>
        <v>0</v>
      </c>
      <c r="BJ198" s="641" t="e">
        <f t="shared" si="114"/>
        <v>#N/A</v>
      </c>
      <c r="BK198" s="641" t="e">
        <f t="shared" si="115"/>
        <v>#N/A</v>
      </c>
      <c r="BL198" s="641" t="e">
        <f t="shared" si="116"/>
        <v>#N/A</v>
      </c>
      <c r="BM198" s="684" t="e">
        <f t="shared" si="117"/>
        <v>#N/A</v>
      </c>
      <c r="BO198" s="682" t="e">
        <f>CONCATENATE(Z198," ",LOOKUP(D198,'f-travail'!A:A,'f-travail'!F:F))</f>
        <v>#N/A</v>
      </c>
      <c r="BP198" s="669" t="e">
        <f t="shared" si="104"/>
        <v>#N/A</v>
      </c>
    </row>
    <row r="199" spans="1:68">
      <c r="A199" s="636">
        <f t="shared" si="118"/>
        <v>198</v>
      </c>
      <c r="B199" s="637"/>
      <c r="C199" s="637"/>
      <c r="D199" s="652"/>
      <c r="E199" s="679" t="e">
        <f>LOOKUP(D199,'f-travail'!A:A,'f-travail'!B:B)</f>
        <v>#N/A</v>
      </c>
      <c r="F199" s="650"/>
      <c r="G199" s="650"/>
      <c r="H199" s="653"/>
      <c r="I199" s="653"/>
      <c r="J199" s="654"/>
      <c r="K199" s="650"/>
      <c r="L199" s="650"/>
      <c r="M199" s="650">
        <v>0</v>
      </c>
      <c r="N199" s="654"/>
      <c r="O199" s="654"/>
      <c r="P199" s="654"/>
      <c r="Q199" s="654"/>
      <c r="R199" s="676"/>
      <c r="S199" s="654"/>
      <c r="T199" s="675"/>
      <c r="U199" s="675"/>
      <c r="V199" s="670" t="e">
        <f>LOOKUP(D199,'f-travail'!A:A,'f-travail'!E:E)</f>
        <v>#N/A</v>
      </c>
      <c r="W199" s="670" t="e">
        <f>VLOOKUP(V199,جرقمإستدلالي,'f-travail'!$AD$4+1,FALSE)</f>
        <v>#N/A</v>
      </c>
      <c r="X199" s="671" t="e">
        <f t="shared" si="94"/>
        <v>#N/A</v>
      </c>
      <c r="Y199" s="671">
        <f>IF(G199="مدير ولائي",(HLOOKUP(I199,جدروظعليا,'f-travail'!$AT$3+1,FALSE)-3200),0)</f>
        <v>0</v>
      </c>
      <c r="Z199" s="672" t="str">
        <f t="shared" si="105"/>
        <v/>
      </c>
      <c r="AA199" s="671">
        <f t="shared" si="106"/>
        <v>0</v>
      </c>
      <c r="AB199" s="677" t="b">
        <f t="shared" si="95"/>
        <v>0</v>
      </c>
      <c r="AC199" s="678">
        <f t="shared" si="107"/>
        <v>0</v>
      </c>
      <c r="AD199" s="673"/>
      <c r="AE199" s="678">
        <f t="shared" si="96"/>
        <v>0</v>
      </c>
      <c r="AF199" s="678" t="e">
        <f t="shared" si="97"/>
        <v>#N/A</v>
      </c>
      <c r="AG199" s="678" t="e">
        <f t="shared" si="98"/>
        <v>#N/A</v>
      </c>
      <c r="AH199" s="673">
        <f t="shared" si="108"/>
        <v>0</v>
      </c>
      <c r="AI199" s="674" t="e">
        <f>IF(G199="مدير ولائي",(11000*35%),LOOKUP(D199,'f-travail'!A:A,'f-travail'!I:I))</f>
        <v>#N/A</v>
      </c>
      <c r="AJ199" s="673" t="e">
        <f>IF(G199="مدير ولائي",((W199+X199)*45)*80%,IF(V199&lt;8,0,IF(F199="إليزي",(LOOKUP(D199,'f-travail'!A:A,'f-travail'!O:O))*(AF199+AG199),LOOKUP(D199,'f-travail'!A:A,'f-travail'!P:P)*(AF199+AG199))))</f>
        <v>#N/A</v>
      </c>
      <c r="AK199" s="673" t="e">
        <f>IF(G199="مدير ولائي",0,LOOKUP(D199,'f-travail'!A:A,'f-travail'!Q:Q))</f>
        <v>#N/A</v>
      </c>
      <c r="AL199" s="673" t="e">
        <f>IF(G199="مدير ولائي",0,LOOKUP(D199,'f-travail'!A:A,'f-travail'!R:R)*(AF199+AG199))</f>
        <v>#N/A</v>
      </c>
      <c r="AM199" s="673" t="e">
        <f>IF(G199="مدير ولائي",0,LOOKUP(D199,'f-travail'!A:A,'f-travail'!S:S)*(AF199+AG199))</f>
        <v>#N/A</v>
      </c>
      <c r="AN199" s="673" t="e">
        <f>IF(G199="مدير ولائي",0,LOOKUP(D199,'f-travail'!A:A,'f-travail'!T:T)*(AF199+AG199))</f>
        <v>#N/A</v>
      </c>
      <c r="AO199" s="673" t="e">
        <f>IF(G199="مدير ولائي",0,LOOKUP(D199,'f-travail'!A:A,'f-travail'!U:U)*(AF199+AG199))</f>
        <v>#N/A</v>
      </c>
      <c r="AP199" s="673" t="e">
        <f>IF(G199="مدير ولائي",0,LOOKUP(D199,'f-travail'!A:A,'f-travail'!V:V)*(AF199+AG199))</f>
        <v>#N/A</v>
      </c>
      <c r="AQ199" s="673" t="e">
        <f>IF(G199="مدير ولائي",0,LOOKUP(D199,'f-travail'!A:A,'f-travail'!W:W)*(AF199+AG199))</f>
        <v>#N/A</v>
      </c>
      <c r="AR199" s="673">
        <f t="shared" si="109"/>
        <v>0</v>
      </c>
      <c r="AS199" s="673" t="e">
        <f>IF(G199="مدير ولائي",0,LOOKUP(D199,'f-travail'!A:A,'f-travail'!X:X)*(AF199+AG199))</f>
        <v>#N/A</v>
      </c>
      <c r="AT199" s="673" t="e">
        <f>IF(G199="مدير ولائي",0,LOOKUP(D199,'f-travail'!Y:Y,'f-travail'!R:R)*(AF199+AG199))</f>
        <v>#N/A</v>
      </c>
      <c r="AU199" s="673">
        <f t="shared" si="99"/>
        <v>0</v>
      </c>
      <c r="AV199" s="673">
        <f t="shared" si="100"/>
        <v>0</v>
      </c>
      <c r="AW199" s="673">
        <f t="shared" si="101"/>
        <v>0</v>
      </c>
      <c r="AY199" s="640" t="e">
        <f t="shared" si="110"/>
        <v>#N/A</v>
      </c>
      <c r="AZ199" s="673" t="e">
        <f t="shared" si="102"/>
        <v>#N/A</v>
      </c>
      <c r="BA199" s="639" t="e">
        <f t="shared" si="103"/>
        <v>#N/A</v>
      </c>
      <c r="BG199" s="639">
        <f t="shared" si="111"/>
        <v>0</v>
      </c>
      <c r="BH199" s="683">
        <f t="shared" si="112"/>
        <v>0</v>
      </c>
      <c r="BI199" s="683">
        <f t="shared" si="113"/>
        <v>0</v>
      </c>
      <c r="BJ199" s="641" t="e">
        <f t="shared" si="114"/>
        <v>#N/A</v>
      </c>
      <c r="BK199" s="641" t="e">
        <f t="shared" si="115"/>
        <v>#N/A</v>
      </c>
      <c r="BL199" s="641" t="e">
        <f t="shared" si="116"/>
        <v>#N/A</v>
      </c>
      <c r="BM199" s="684" t="e">
        <f t="shared" si="117"/>
        <v>#N/A</v>
      </c>
      <c r="BO199" s="682" t="e">
        <f>CONCATENATE(Z199," ",LOOKUP(D199,'f-travail'!A:A,'f-travail'!F:F))</f>
        <v>#N/A</v>
      </c>
      <c r="BP199" s="669" t="e">
        <f t="shared" si="104"/>
        <v>#N/A</v>
      </c>
    </row>
    <row r="200" spans="1:68">
      <c r="A200" s="636">
        <f t="shared" si="118"/>
        <v>199</v>
      </c>
      <c r="B200" s="637"/>
      <c r="C200" s="637"/>
      <c r="D200" s="652"/>
      <c r="E200" s="679" t="e">
        <f>LOOKUP(D200,'f-travail'!A:A,'f-travail'!B:B)</f>
        <v>#N/A</v>
      </c>
      <c r="F200" s="650"/>
      <c r="G200" s="650"/>
      <c r="H200" s="653"/>
      <c r="I200" s="653"/>
      <c r="J200" s="654"/>
      <c r="K200" s="650"/>
      <c r="L200" s="650"/>
      <c r="M200" s="650">
        <v>0</v>
      </c>
      <c r="N200" s="654"/>
      <c r="O200" s="654"/>
      <c r="P200" s="654"/>
      <c r="Q200" s="654"/>
      <c r="R200" s="676"/>
      <c r="S200" s="654"/>
      <c r="T200" s="675"/>
      <c r="U200" s="675"/>
      <c r="V200" s="670" t="e">
        <f>LOOKUP(D200,'f-travail'!A:A,'f-travail'!E:E)</f>
        <v>#N/A</v>
      </c>
      <c r="W200" s="670" t="e">
        <f>VLOOKUP(V200,جرقمإستدلالي,'f-travail'!$AD$4+1,FALSE)</f>
        <v>#N/A</v>
      </c>
      <c r="X200" s="671" t="e">
        <f t="shared" si="94"/>
        <v>#N/A</v>
      </c>
      <c r="Y200" s="671">
        <f>IF(G200="مدير ولائي",(HLOOKUP(I200,جدروظعليا,'f-travail'!$AT$3+1,FALSE)-3200),0)</f>
        <v>0</v>
      </c>
      <c r="Z200" s="672" t="str">
        <f t="shared" si="105"/>
        <v/>
      </c>
      <c r="AA200" s="671">
        <f t="shared" si="106"/>
        <v>0</v>
      </c>
      <c r="AB200" s="677" t="b">
        <f t="shared" si="95"/>
        <v>0</v>
      </c>
      <c r="AC200" s="678">
        <f t="shared" si="107"/>
        <v>0</v>
      </c>
      <c r="AD200" s="673"/>
      <c r="AE200" s="678">
        <f t="shared" si="96"/>
        <v>0</v>
      </c>
      <c r="AF200" s="678" t="e">
        <f t="shared" si="97"/>
        <v>#N/A</v>
      </c>
      <c r="AG200" s="678" t="e">
        <f t="shared" si="98"/>
        <v>#N/A</v>
      </c>
      <c r="AH200" s="673">
        <f t="shared" si="108"/>
        <v>0</v>
      </c>
      <c r="AI200" s="674" t="e">
        <f>IF(G200="مدير ولائي",(11000*35%),LOOKUP(D200,'f-travail'!A:A,'f-travail'!I:I))</f>
        <v>#N/A</v>
      </c>
      <c r="AJ200" s="673" t="e">
        <f>IF(G200="مدير ولائي",((W200+X200)*45)*80%,IF(V200&lt;8,0,IF(F200="إليزي",(LOOKUP(D200,'f-travail'!A:A,'f-travail'!O:O))*(AF200+AG200),LOOKUP(D200,'f-travail'!A:A,'f-travail'!P:P)*(AF200+AG200))))</f>
        <v>#N/A</v>
      </c>
      <c r="AK200" s="673" t="e">
        <f>IF(G200="مدير ولائي",0,LOOKUP(D200,'f-travail'!A:A,'f-travail'!Q:Q))</f>
        <v>#N/A</v>
      </c>
      <c r="AL200" s="673" t="e">
        <f>IF(G200="مدير ولائي",0,LOOKUP(D200,'f-travail'!A:A,'f-travail'!R:R)*(AF200+AG200))</f>
        <v>#N/A</v>
      </c>
      <c r="AM200" s="673" t="e">
        <f>IF(G200="مدير ولائي",0,LOOKUP(D200,'f-travail'!A:A,'f-travail'!S:S)*(AF200+AG200))</f>
        <v>#N/A</v>
      </c>
      <c r="AN200" s="673" t="e">
        <f>IF(G200="مدير ولائي",0,LOOKUP(D200,'f-travail'!A:A,'f-travail'!T:T)*(AF200+AG200))</f>
        <v>#N/A</v>
      </c>
      <c r="AO200" s="673" t="e">
        <f>IF(G200="مدير ولائي",0,LOOKUP(D200,'f-travail'!A:A,'f-travail'!U:U)*(AF200+AG200))</f>
        <v>#N/A</v>
      </c>
      <c r="AP200" s="673" t="e">
        <f>IF(G200="مدير ولائي",0,LOOKUP(D200,'f-travail'!A:A,'f-travail'!V:V)*(AF200+AG200))</f>
        <v>#N/A</v>
      </c>
      <c r="AQ200" s="673" t="e">
        <f>IF(G200="مدير ولائي",0,LOOKUP(D200,'f-travail'!A:A,'f-travail'!W:W)*(AF200+AG200))</f>
        <v>#N/A</v>
      </c>
      <c r="AR200" s="673">
        <f t="shared" si="109"/>
        <v>0</v>
      </c>
      <c r="AS200" s="673" t="e">
        <f>IF(G200="مدير ولائي",0,LOOKUP(D200,'f-travail'!A:A,'f-travail'!X:X)*(AF200+AG200))</f>
        <v>#N/A</v>
      </c>
      <c r="AT200" s="673" t="e">
        <f>IF(G200="مدير ولائي",0,LOOKUP(D200,'f-travail'!Y:Y,'f-travail'!R:R)*(AF200+AG200))</f>
        <v>#N/A</v>
      </c>
      <c r="AU200" s="673">
        <f t="shared" si="99"/>
        <v>0</v>
      </c>
      <c r="AV200" s="673">
        <f t="shared" si="100"/>
        <v>0</v>
      </c>
      <c r="AW200" s="673">
        <f t="shared" si="101"/>
        <v>0</v>
      </c>
      <c r="AY200" s="640" t="e">
        <f t="shared" si="110"/>
        <v>#N/A</v>
      </c>
      <c r="AZ200" s="673" t="e">
        <f t="shared" si="102"/>
        <v>#N/A</v>
      </c>
      <c r="BA200" s="639" t="e">
        <f t="shared" si="103"/>
        <v>#N/A</v>
      </c>
      <c r="BG200" s="639">
        <f t="shared" si="111"/>
        <v>0</v>
      </c>
      <c r="BH200" s="683">
        <f t="shared" si="112"/>
        <v>0</v>
      </c>
      <c r="BI200" s="683">
        <f t="shared" si="113"/>
        <v>0</v>
      </c>
      <c r="BJ200" s="641" t="e">
        <f t="shared" si="114"/>
        <v>#N/A</v>
      </c>
      <c r="BK200" s="641" t="e">
        <f t="shared" si="115"/>
        <v>#N/A</v>
      </c>
      <c r="BL200" s="641" t="e">
        <f t="shared" si="116"/>
        <v>#N/A</v>
      </c>
      <c r="BM200" s="684" t="e">
        <f t="shared" si="117"/>
        <v>#N/A</v>
      </c>
      <c r="BO200" s="682" t="e">
        <f>CONCATENATE(Z200," ",LOOKUP(D200,'f-travail'!A:A,'f-travail'!F:F))</f>
        <v>#N/A</v>
      </c>
      <c r="BP200" s="669" t="e">
        <f t="shared" si="104"/>
        <v>#N/A</v>
      </c>
    </row>
    <row r="201" spans="1:68">
      <c r="A201" s="636">
        <f t="shared" si="118"/>
        <v>200</v>
      </c>
      <c r="B201" s="637"/>
      <c r="C201" s="637"/>
      <c r="D201" s="652"/>
      <c r="E201" s="679" t="e">
        <f>LOOKUP(D201,'f-travail'!A:A,'f-travail'!B:B)</f>
        <v>#N/A</v>
      </c>
      <c r="F201" s="650"/>
      <c r="G201" s="650"/>
      <c r="H201" s="653"/>
      <c r="I201" s="653"/>
      <c r="J201" s="654"/>
      <c r="K201" s="650"/>
      <c r="L201" s="650"/>
      <c r="M201" s="650">
        <v>0</v>
      </c>
      <c r="N201" s="654"/>
      <c r="O201" s="654"/>
      <c r="P201" s="654"/>
      <c r="Q201" s="654"/>
      <c r="R201" s="676"/>
      <c r="S201" s="654"/>
      <c r="T201" s="675"/>
      <c r="U201" s="675"/>
      <c r="V201" s="670" t="e">
        <f>LOOKUP(D201,'f-travail'!A:A,'f-travail'!E:E)</f>
        <v>#N/A</v>
      </c>
      <c r="W201" s="670" t="e">
        <f>VLOOKUP(V201,جرقمإستدلالي,'f-travail'!$AD$4+1,FALSE)</f>
        <v>#N/A</v>
      </c>
      <c r="X201" s="671" t="e">
        <f t="shared" si="94"/>
        <v>#N/A</v>
      </c>
      <c r="Y201" s="671">
        <f>IF(G201="مدير ولائي",(HLOOKUP(I201,جدروظعليا,'f-travail'!$AT$3+1,FALSE)-3200),0)</f>
        <v>0</v>
      </c>
      <c r="Z201" s="672" t="str">
        <f t="shared" si="105"/>
        <v/>
      </c>
      <c r="AA201" s="671">
        <f t="shared" si="106"/>
        <v>0</v>
      </c>
      <c r="AB201" s="677" t="b">
        <f t="shared" si="95"/>
        <v>0</v>
      </c>
      <c r="AC201" s="678">
        <f t="shared" si="107"/>
        <v>0</v>
      </c>
      <c r="AD201" s="673"/>
      <c r="AE201" s="678">
        <f t="shared" si="96"/>
        <v>0</v>
      </c>
      <c r="AF201" s="678" t="e">
        <f t="shared" si="97"/>
        <v>#N/A</v>
      </c>
      <c r="AG201" s="678" t="e">
        <f t="shared" si="98"/>
        <v>#N/A</v>
      </c>
      <c r="AH201" s="673">
        <f t="shared" si="108"/>
        <v>0</v>
      </c>
      <c r="AI201" s="674" t="e">
        <f>IF(G201="مدير ولائي",(11000*35%),LOOKUP(D201,'f-travail'!A:A,'f-travail'!I:I))</f>
        <v>#N/A</v>
      </c>
      <c r="AJ201" s="673" t="e">
        <f>IF(G201="مدير ولائي",((W201+X201)*45)*80%,IF(V201&lt;8,0,IF(F201="إليزي",(LOOKUP(D201,'f-travail'!A:A,'f-travail'!O:O))*(AF201+AG201),LOOKUP(D201,'f-travail'!A:A,'f-travail'!P:P)*(AF201+AG201))))</f>
        <v>#N/A</v>
      </c>
      <c r="AK201" s="673" t="e">
        <f>IF(G201="مدير ولائي",0,LOOKUP(D201,'f-travail'!A:A,'f-travail'!Q:Q))</f>
        <v>#N/A</v>
      </c>
      <c r="AL201" s="673" t="e">
        <f>IF(G201="مدير ولائي",0,LOOKUP(D201,'f-travail'!A:A,'f-travail'!R:R)*(AF201+AG201))</f>
        <v>#N/A</v>
      </c>
      <c r="AM201" s="673" t="e">
        <f>IF(G201="مدير ولائي",0,LOOKUP(D201,'f-travail'!A:A,'f-travail'!S:S)*(AF201+AG201))</f>
        <v>#N/A</v>
      </c>
      <c r="AN201" s="673" t="e">
        <f>IF(G201="مدير ولائي",0,LOOKUP(D201,'f-travail'!A:A,'f-travail'!T:T)*(AF201+AG201))</f>
        <v>#N/A</v>
      </c>
      <c r="AO201" s="673" t="e">
        <f>IF(G201="مدير ولائي",0,LOOKUP(D201,'f-travail'!A:A,'f-travail'!U:U)*(AF201+AG201))</f>
        <v>#N/A</v>
      </c>
      <c r="AP201" s="673" t="e">
        <f>IF(G201="مدير ولائي",0,LOOKUP(D201,'f-travail'!A:A,'f-travail'!V:V)*(AF201+AG201))</f>
        <v>#N/A</v>
      </c>
      <c r="AQ201" s="673" t="e">
        <f>IF(G201="مدير ولائي",0,LOOKUP(D201,'f-travail'!A:A,'f-travail'!W:W)*(AF201+AG201))</f>
        <v>#N/A</v>
      </c>
      <c r="AR201" s="673">
        <f t="shared" si="109"/>
        <v>0</v>
      </c>
      <c r="AS201" s="673" t="e">
        <f>IF(G201="مدير ولائي",0,LOOKUP(D201,'f-travail'!A:A,'f-travail'!X:X)*(AF201+AG201))</f>
        <v>#N/A</v>
      </c>
      <c r="AT201" s="673" t="e">
        <f>IF(G201="مدير ولائي",0,LOOKUP(D201,'f-travail'!Y:Y,'f-travail'!R:R)*(AF201+AG201))</f>
        <v>#N/A</v>
      </c>
      <c r="AU201" s="673">
        <f t="shared" si="99"/>
        <v>0</v>
      </c>
      <c r="AV201" s="673">
        <f t="shared" si="100"/>
        <v>0</v>
      </c>
      <c r="AW201" s="673">
        <f t="shared" si="101"/>
        <v>0</v>
      </c>
      <c r="AY201" s="640" t="e">
        <f t="shared" si="110"/>
        <v>#N/A</v>
      </c>
      <c r="AZ201" s="673" t="e">
        <f t="shared" si="102"/>
        <v>#N/A</v>
      </c>
      <c r="BA201" s="639" t="e">
        <f t="shared" si="103"/>
        <v>#N/A</v>
      </c>
      <c r="BG201" s="639">
        <f t="shared" si="111"/>
        <v>0</v>
      </c>
      <c r="BH201" s="683">
        <f t="shared" si="112"/>
        <v>0</v>
      </c>
      <c r="BI201" s="683">
        <f t="shared" si="113"/>
        <v>0</v>
      </c>
      <c r="BJ201" s="641" t="e">
        <f t="shared" si="114"/>
        <v>#N/A</v>
      </c>
      <c r="BK201" s="641" t="e">
        <f t="shared" si="115"/>
        <v>#N/A</v>
      </c>
      <c r="BL201" s="641" t="e">
        <f t="shared" si="116"/>
        <v>#N/A</v>
      </c>
      <c r="BM201" s="684" t="e">
        <f t="shared" si="117"/>
        <v>#N/A</v>
      </c>
      <c r="BO201" s="682" t="e">
        <f>CONCATENATE(Z201," ",LOOKUP(D201,'f-travail'!A:A,'f-travail'!F:F))</f>
        <v>#N/A</v>
      </c>
      <c r="BP201" s="669" t="e">
        <f t="shared" si="104"/>
        <v>#N/A</v>
      </c>
    </row>
    <row r="202" spans="1:68">
      <c r="A202" s="636">
        <f t="shared" si="118"/>
        <v>201</v>
      </c>
      <c r="B202" s="637"/>
      <c r="C202" s="637"/>
      <c r="D202" s="652"/>
      <c r="E202" s="679" t="e">
        <f>LOOKUP(D202,'f-travail'!A:A,'f-travail'!B:B)</f>
        <v>#N/A</v>
      </c>
      <c r="F202" s="650"/>
      <c r="G202" s="650"/>
      <c r="H202" s="653"/>
      <c r="I202" s="653"/>
      <c r="J202" s="654"/>
      <c r="K202" s="650"/>
      <c r="L202" s="650"/>
      <c r="M202" s="650">
        <v>0</v>
      </c>
      <c r="N202" s="654"/>
      <c r="O202" s="654"/>
      <c r="P202" s="654"/>
      <c r="Q202" s="654"/>
      <c r="R202" s="676"/>
      <c r="S202" s="654"/>
      <c r="T202" s="675"/>
      <c r="U202" s="675"/>
      <c r="V202" s="670" t="e">
        <f>LOOKUP(D202,'f-travail'!A:A,'f-travail'!E:E)</f>
        <v>#N/A</v>
      </c>
      <c r="W202" s="670" t="e">
        <f>VLOOKUP(V202,جرقمإستدلالي,'f-travail'!$AD$4+1,FALSE)</f>
        <v>#N/A</v>
      </c>
      <c r="X202" s="671" t="e">
        <f t="shared" si="94"/>
        <v>#N/A</v>
      </c>
      <c r="Y202" s="671">
        <f>IF(G202="مدير ولائي",(HLOOKUP(I202,جدروظعليا,'f-travail'!$AT$3+1,FALSE)-3200),0)</f>
        <v>0</v>
      </c>
      <c r="Z202" s="672" t="str">
        <f t="shared" si="105"/>
        <v/>
      </c>
      <c r="AA202" s="671">
        <f t="shared" si="106"/>
        <v>0</v>
      </c>
      <c r="AB202" s="677" t="b">
        <f t="shared" si="95"/>
        <v>0</v>
      </c>
      <c r="AC202" s="678">
        <f t="shared" si="107"/>
        <v>0</v>
      </c>
      <c r="AD202" s="673"/>
      <c r="AE202" s="678">
        <f t="shared" si="96"/>
        <v>0</v>
      </c>
      <c r="AF202" s="678" t="e">
        <f t="shared" si="97"/>
        <v>#N/A</v>
      </c>
      <c r="AG202" s="678" t="e">
        <f t="shared" si="98"/>
        <v>#N/A</v>
      </c>
      <c r="AH202" s="673">
        <f t="shared" si="108"/>
        <v>0</v>
      </c>
      <c r="AI202" s="674" t="e">
        <f>IF(G202="مدير ولائي",(11000*35%),LOOKUP(D202,'f-travail'!A:A,'f-travail'!I:I))</f>
        <v>#N/A</v>
      </c>
      <c r="AJ202" s="673" t="e">
        <f>IF(G202="مدير ولائي",((W202+X202)*45)*80%,IF(V202&lt;8,0,IF(F202="إليزي",(LOOKUP(D202,'f-travail'!A:A,'f-travail'!O:O))*(AF202+AG202),LOOKUP(D202,'f-travail'!A:A,'f-travail'!P:P)*(AF202+AG202))))</f>
        <v>#N/A</v>
      </c>
      <c r="AK202" s="673" t="e">
        <f>IF(G202="مدير ولائي",0,LOOKUP(D202,'f-travail'!A:A,'f-travail'!Q:Q))</f>
        <v>#N/A</v>
      </c>
      <c r="AL202" s="673" t="e">
        <f>IF(G202="مدير ولائي",0,LOOKUP(D202,'f-travail'!A:A,'f-travail'!R:R)*(AF202+AG202))</f>
        <v>#N/A</v>
      </c>
      <c r="AM202" s="673" t="e">
        <f>IF(G202="مدير ولائي",0,LOOKUP(D202,'f-travail'!A:A,'f-travail'!S:S)*(AF202+AG202))</f>
        <v>#N/A</v>
      </c>
      <c r="AN202" s="673" t="e">
        <f>IF(G202="مدير ولائي",0,LOOKUP(D202,'f-travail'!A:A,'f-travail'!T:T)*(AF202+AG202))</f>
        <v>#N/A</v>
      </c>
      <c r="AO202" s="673" t="e">
        <f>IF(G202="مدير ولائي",0,LOOKUP(D202,'f-travail'!A:A,'f-travail'!U:U)*(AF202+AG202))</f>
        <v>#N/A</v>
      </c>
      <c r="AP202" s="673" t="e">
        <f>IF(G202="مدير ولائي",0,LOOKUP(D202,'f-travail'!A:A,'f-travail'!V:V)*(AF202+AG202))</f>
        <v>#N/A</v>
      </c>
      <c r="AQ202" s="673" t="e">
        <f>IF(G202="مدير ولائي",0,LOOKUP(D202,'f-travail'!A:A,'f-travail'!W:W)*(AF202+AG202))</f>
        <v>#N/A</v>
      </c>
      <c r="AR202" s="673">
        <f t="shared" si="109"/>
        <v>0</v>
      </c>
      <c r="AS202" s="673" t="e">
        <f>IF(G202="مدير ولائي",0,LOOKUP(D202,'f-travail'!A:A,'f-travail'!X:X)*(AF202+AG202))</f>
        <v>#N/A</v>
      </c>
      <c r="AT202" s="673" t="e">
        <f>IF(G202="مدير ولائي",0,LOOKUP(D202,'f-travail'!Y:Y,'f-travail'!R:R)*(AF202+AG202))</f>
        <v>#N/A</v>
      </c>
      <c r="AU202" s="673">
        <f t="shared" si="99"/>
        <v>0</v>
      </c>
      <c r="AV202" s="673">
        <f t="shared" si="100"/>
        <v>0</v>
      </c>
      <c r="AW202" s="673">
        <f t="shared" si="101"/>
        <v>0</v>
      </c>
      <c r="AY202" s="640" t="e">
        <f t="shared" si="110"/>
        <v>#N/A</v>
      </c>
      <c r="AZ202" s="673" t="e">
        <f t="shared" si="102"/>
        <v>#N/A</v>
      </c>
      <c r="BA202" s="639" t="e">
        <f t="shared" si="103"/>
        <v>#N/A</v>
      </c>
      <c r="BG202" s="639">
        <f t="shared" si="111"/>
        <v>0</v>
      </c>
      <c r="BH202" s="683">
        <f t="shared" si="112"/>
        <v>0</v>
      </c>
      <c r="BI202" s="683">
        <f t="shared" si="113"/>
        <v>0</v>
      </c>
      <c r="BJ202" s="641" t="e">
        <f t="shared" si="114"/>
        <v>#N/A</v>
      </c>
      <c r="BK202" s="641" t="e">
        <f t="shared" si="115"/>
        <v>#N/A</v>
      </c>
      <c r="BL202" s="641" t="e">
        <f t="shared" si="116"/>
        <v>#N/A</v>
      </c>
      <c r="BM202" s="684" t="e">
        <f t="shared" si="117"/>
        <v>#N/A</v>
      </c>
      <c r="BO202" s="682" t="e">
        <f>CONCATENATE(Z202," ",LOOKUP(D202,'f-travail'!A:A,'f-travail'!F:F))</f>
        <v>#N/A</v>
      </c>
      <c r="BP202" s="669" t="e">
        <f t="shared" si="104"/>
        <v>#N/A</v>
      </c>
    </row>
    <row r="203" spans="1:68">
      <c r="A203" s="636">
        <f t="shared" si="118"/>
        <v>202</v>
      </c>
      <c r="B203" s="637"/>
      <c r="C203" s="637"/>
      <c r="D203" s="652"/>
      <c r="E203" s="679" t="e">
        <f>LOOKUP(D203,'f-travail'!A:A,'f-travail'!B:B)</f>
        <v>#N/A</v>
      </c>
      <c r="F203" s="650"/>
      <c r="G203" s="650"/>
      <c r="H203" s="653"/>
      <c r="I203" s="653"/>
      <c r="J203" s="654"/>
      <c r="K203" s="650"/>
      <c r="L203" s="650"/>
      <c r="M203" s="650">
        <v>0</v>
      </c>
      <c r="N203" s="654"/>
      <c r="O203" s="654"/>
      <c r="P203" s="654"/>
      <c r="Q203" s="654"/>
      <c r="R203" s="676"/>
      <c r="S203" s="654"/>
      <c r="T203" s="675"/>
      <c r="U203" s="675"/>
      <c r="V203" s="670" t="e">
        <f>LOOKUP(D203,'f-travail'!A:A,'f-travail'!E:E)</f>
        <v>#N/A</v>
      </c>
      <c r="W203" s="670" t="e">
        <f>VLOOKUP(V203,جرقمإستدلالي,'f-travail'!$AD$4+1,FALSE)</f>
        <v>#N/A</v>
      </c>
      <c r="X203" s="671" t="e">
        <f t="shared" si="94"/>
        <v>#N/A</v>
      </c>
      <c r="Y203" s="671">
        <f>IF(G203="مدير ولائي",(HLOOKUP(I203,جدروظعليا,'f-travail'!$AT$3+1,FALSE)-3200),0)</f>
        <v>0</v>
      </c>
      <c r="Z203" s="672" t="str">
        <f t="shared" si="105"/>
        <v/>
      </c>
      <c r="AA203" s="671">
        <f t="shared" si="106"/>
        <v>0</v>
      </c>
      <c r="AB203" s="677" t="b">
        <f t="shared" si="95"/>
        <v>0</v>
      </c>
      <c r="AC203" s="678">
        <f t="shared" si="107"/>
        <v>0</v>
      </c>
      <c r="AD203" s="673"/>
      <c r="AE203" s="678">
        <f t="shared" si="96"/>
        <v>0</v>
      </c>
      <c r="AF203" s="678" t="e">
        <f t="shared" si="97"/>
        <v>#N/A</v>
      </c>
      <c r="AG203" s="678" t="e">
        <f t="shared" si="98"/>
        <v>#N/A</v>
      </c>
      <c r="AH203" s="673">
        <f t="shared" si="108"/>
        <v>0</v>
      </c>
      <c r="AI203" s="674" t="e">
        <f>IF(G203="مدير ولائي",(11000*35%),LOOKUP(D203,'f-travail'!A:A,'f-travail'!I:I))</f>
        <v>#N/A</v>
      </c>
      <c r="AJ203" s="673" t="e">
        <f>IF(G203="مدير ولائي",((W203+X203)*45)*80%,IF(V203&lt;8,0,IF(F203="إليزي",(LOOKUP(D203,'f-travail'!A:A,'f-travail'!O:O))*(AF203+AG203),LOOKUP(D203,'f-travail'!A:A,'f-travail'!P:P)*(AF203+AG203))))</f>
        <v>#N/A</v>
      </c>
      <c r="AK203" s="673" t="e">
        <f>IF(G203="مدير ولائي",0,LOOKUP(D203,'f-travail'!A:A,'f-travail'!Q:Q))</f>
        <v>#N/A</v>
      </c>
      <c r="AL203" s="673" t="e">
        <f>IF(G203="مدير ولائي",0,LOOKUP(D203,'f-travail'!A:A,'f-travail'!R:R)*(AF203+AG203))</f>
        <v>#N/A</v>
      </c>
      <c r="AM203" s="673" t="e">
        <f>IF(G203="مدير ولائي",0,LOOKUP(D203,'f-travail'!A:A,'f-travail'!S:S)*(AF203+AG203))</f>
        <v>#N/A</v>
      </c>
      <c r="AN203" s="673" t="e">
        <f>IF(G203="مدير ولائي",0,LOOKUP(D203,'f-travail'!A:A,'f-travail'!T:T)*(AF203+AG203))</f>
        <v>#N/A</v>
      </c>
      <c r="AO203" s="673" t="e">
        <f>IF(G203="مدير ولائي",0,LOOKUP(D203,'f-travail'!A:A,'f-travail'!U:U)*(AF203+AG203))</f>
        <v>#N/A</v>
      </c>
      <c r="AP203" s="673" t="e">
        <f>IF(G203="مدير ولائي",0,LOOKUP(D203,'f-travail'!A:A,'f-travail'!V:V)*(AF203+AG203))</f>
        <v>#N/A</v>
      </c>
      <c r="AQ203" s="673" t="e">
        <f>IF(G203="مدير ولائي",0,LOOKUP(D203,'f-travail'!A:A,'f-travail'!W:W)*(AF203+AG203))</f>
        <v>#N/A</v>
      </c>
      <c r="AR203" s="673">
        <f t="shared" si="109"/>
        <v>0</v>
      </c>
      <c r="AS203" s="673" t="e">
        <f>IF(G203="مدير ولائي",0,LOOKUP(D203,'f-travail'!A:A,'f-travail'!X:X)*(AF203+AG203))</f>
        <v>#N/A</v>
      </c>
      <c r="AT203" s="673" t="e">
        <f>IF(G203="مدير ولائي",0,LOOKUP(D203,'f-travail'!Y:Y,'f-travail'!R:R)*(AF203+AG203))</f>
        <v>#N/A</v>
      </c>
      <c r="AU203" s="673">
        <f t="shared" si="99"/>
        <v>0</v>
      </c>
      <c r="AV203" s="673">
        <f t="shared" si="100"/>
        <v>0</v>
      </c>
      <c r="AW203" s="673">
        <f t="shared" si="101"/>
        <v>0</v>
      </c>
      <c r="AY203" s="640" t="e">
        <f t="shared" si="110"/>
        <v>#N/A</v>
      </c>
      <c r="AZ203" s="673" t="e">
        <f t="shared" si="102"/>
        <v>#N/A</v>
      </c>
      <c r="BA203" s="639" t="e">
        <f t="shared" si="103"/>
        <v>#N/A</v>
      </c>
      <c r="BG203" s="639">
        <f t="shared" si="111"/>
        <v>0</v>
      </c>
      <c r="BH203" s="683">
        <f t="shared" si="112"/>
        <v>0</v>
      </c>
      <c r="BI203" s="683">
        <f t="shared" si="113"/>
        <v>0</v>
      </c>
      <c r="BJ203" s="641" t="e">
        <f t="shared" si="114"/>
        <v>#N/A</v>
      </c>
      <c r="BK203" s="641" t="e">
        <f t="shared" si="115"/>
        <v>#N/A</v>
      </c>
      <c r="BL203" s="641" t="e">
        <f t="shared" si="116"/>
        <v>#N/A</v>
      </c>
      <c r="BM203" s="684" t="e">
        <f t="shared" si="117"/>
        <v>#N/A</v>
      </c>
      <c r="BO203" s="682" t="e">
        <f>CONCATENATE(Z203," ",LOOKUP(D203,'f-travail'!A:A,'f-travail'!F:F))</f>
        <v>#N/A</v>
      </c>
      <c r="BP203" s="669" t="e">
        <f t="shared" si="104"/>
        <v>#N/A</v>
      </c>
    </row>
    <row r="204" spans="1:68">
      <c r="A204" s="636">
        <f t="shared" si="118"/>
        <v>203</v>
      </c>
      <c r="B204" s="637"/>
      <c r="C204" s="637"/>
      <c r="D204" s="652"/>
      <c r="E204" s="679" t="e">
        <f>LOOKUP(D204,'f-travail'!A:A,'f-travail'!B:B)</f>
        <v>#N/A</v>
      </c>
      <c r="F204" s="650"/>
      <c r="G204" s="650"/>
      <c r="H204" s="653"/>
      <c r="I204" s="653"/>
      <c r="J204" s="654"/>
      <c r="K204" s="650"/>
      <c r="L204" s="650"/>
      <c r="M204" s="650">
        <v>0</v>
      </c>
      <c r="N204" s="654"/>
      <c r="O204" s="654"/>
      <c r="P204" s="654"/>
      <c r="Q204" s="654"/>
      <c r="R204" s="676"/>
      <c r="S204" s="654"/>
      <c r="T204" s="675"/>
      <c r="U204" s="675"/>
      <c r="V204" s="670" t="e">
        <f>LOOKUP(D204,'f-travail'!A:A,'f-travail'!E:E)</f>
        <v>#N/A</v>
      </c>
      <c r="W204" s="670" t="e">
        <f>VLOOKUP(V204,جرقمإستدلالي,'f-travail'!$AD$4+1,FALSE)</f>
        <v>#N/A</v>
      </c>
      <c r="X204" s="671" t="e">
        <f t="shared" si="94"/>
        <v>#N/A</v>
      </c>
      <c r="Y204" s="671">
        <f>IF(G204="مدير ولائي",(HLOOKUP(I204,جدروظعليا,'f-travail'!$AT$3+1,FALSE)-3200),0)</f>
        <v>0</v>
      </c>
      <c r="Z204" s="672" t="str">
        <f t="shared" si="105"/>
        <v/>
      </c>
      <c r="AA204" s="671">
        <f t="shared" si="106"/>
        <v>0</v>
      </c>
      <c r="AB204" s="677" t="b">
        <f t="shared" si="95"/>
        <v>0</v>
      </c>
      <c r="AC204" s="678">
        <f t="shared" si="107"/>
        <v>0</v>
      </c>
      <c r="AD204" s="673"/>
      <c r="AE204" s="678">
        <f t="shared" si="96"/>
        <v>0</v>
      </c>
      <c r="AF204" s="678" t="e">
        <f t="shared" si="97"/>
        <v>#N/A</v>
      </c>
      <c r="AG204" s="678" t="e">
        <f t="shared" si="98"/>
        <v>#N/A</v>
      </c>
      <c r="AH204" s="673">
        <f t="shared" si="108"/>
        <v>0</v>
      </c>
      <c r="AI204" s="674" t="e">
        <f>IF(G204="مدير ولائي",(11000*35%),LOOKUP(D204,'f-travail'!A:A,'f-travail'!I:I))</f>
        <v>#N/A</v>
      </c>
      <c r="AJ204" s="673" t="e">
        <f>IF(G204="مدير ولائي",((W204+X204)*45)*80%,IF(V204&lt;8,0,IF(F204="إليزي",(LOOKUP(D204,'f-travail'!A:A,'f-travail'!O:O))*(AF204+AG204),LOOKUP(D204,'f-travail'!A:A,'f-travail'!P:P)*(AF204+AG204))))</f>
        <v>#N/A</v>
      </c>
      <c r="AK204" s="673" t="e">
        <f>IF(G204="مدير ولائي",0,LOOKUP(D204,'f-travail'!A:A,'f-travail'!Q:Q))</f>
        <v>#N/A</v>
      </c>
      <c r="AL204" s="673" t="e">
        <f>IF(G204="مدير ولائي",0,LOOKUP(D204,'f-travail'!A:A,'f-travail'!R:R)*(AF204+AG204))</f>
        <v>#N/A</v>
      </c>
      <c r="AM204" s="673" t="e">
        <f>IF(G204="مدير ولائي",0,LOOKUP(D204,'f-travail'!A:A,'f-travail'!S:S)*(AF204+AG204))</f>
        <v>#N/A</v>
      </c>
      <c r="AN204" s="673" t="e">
        <f>IF(G204="مدير ولائي",0,LOOKUP(D204,'f-travail'!A:A,'f-travail'!T:T)*(AF204+AG204))</f>
        <v>#N/A</v>
      </c>
      <c r="AO204" s="673" t="e">
        <f>IF(G204="مدير ولائي",0,LOOKUP(D204,'f-travail'!A:A,'f-travail'!U:U)*(AF204+AG204))</f>
        <v>#N/A</v>
      </c>
      <c r="AP204" s="673" t="e">
        <f>IF(G204="مدير ولائي",0,LOOKUP(D204,'f-travail'!A:A,'f-travail'!V:V)*(AF204+AG204))</f>
        <v>#N/A</v>
      </c>
      <c r="AQ204" s="673" t="e">
        <f>IF(G204="مدير ولائي",0,LOOKUP(D204,'f-travail'!A:A,'f-travail'!W:W)*(AF204+AG204))</f>
        <v>#N/A</v>
      </c>
      <c r="AR204" s="673">
        <f t="shared" si="109"/>
        <v>0</v>
      </c>
      <c r="AS204" s="673" t="e">
        <f>IF(G204="مدير ولائي",0,LOOKUP(D204,'f-travail'!A:A,'f-travail'!X:X)*(AF204+AG204))</f>
        <v>#N/A</v>
      </c>
      <c r="AT204" s="673" t="e">
        <f>IF(G204="مدير ولائي",0,LOOKUP(D204,'f-travail'!Y:Y,'f-travail'!R:R)*(AF204+AG204))</f>
        <v>#N/A</v>
      </c>
      <c r="AU204" s="673">
        <f t="shared" si="99"/>
        <v>0</v>
      </c>
      <c r="AV204" s="673">
        <f t="shared" si="100"/>
        <v>0</v>
      </c>
      <c r="AW204" s="673">
        <f t="shared" si="101"/>
        <v>0</v>
      </c>
      <c r="AY204" s="640" t="e">
        <f t="shared" si="110"/>
        <v>#N/A</v>
      </c>
      <c r="AZ204" s="673" t="e">
        <f t="shared" si="102"/>
        <v>#N/A</v>
      </c>
      <c r="BA204" s="639" t="e">
        <f t="shared" si="103"/>
        <v>#N/A</v>
      </c>
      <c r="BG204" s="639">
        <f t="shared" si="111"/>
        <v>0</v>
      </c>
      <c r="BH204" s="683">
        <f t="shared" si="112"/>
        <v>0</v>
      </c>
      <c r="BI204" s="683">
        <f t="shared" si="113"/>
        <v>0</v>
      </c>
      <c r="BJ204" s="641" t="e">
        <f t="shared" si="114"/>
        <v>#N/A</v>
      </c>
      <c r="BK204" s="641" t="e">
        <f t="shared" si="115"/>
        <v>#N/A</v>
      </c>
      <c r="BL204" s="641" t="e">
        <f t="shared" si="116"/>
        <v>#N/A</v>
      </c>
      <c r="BM204" s="684" t="e">
        <f t="shared" si="117"/>
        <v>#N/A</v>
      </c>
      <c r="BO204" s="682" t="e">
        <f>CONCATENATE(Z204," ",LOOKUP(D204,'f-travail'!A:A,'f-travail'!F:F))</f>
        <v>#N/A</v>
      </c>
      <c r="BP204" s="669" t="e">
        <f t="shared" si="104"/>
        <v>#N/A</v>
      </c>
    </row>
    <row r="205" spans="1:68">
      <c r="A205" s="636">
        <f t="shared" si="118"/>
        <v>204</v>
      </c>
      <c r="B205" s="637"/>
      <c r="C205" s="637"/>
      <c r="D205" s="652"/>
      <c r="E205" s="679" t="e">
        <f>LOOKUP(D205,'f-travail'!A:A,'f-travail'!B:B)</f>
        <v>#N/A</v>
      </c>
      <c r="F205" s="650"/>
      <c r="G205" s="650"/>
      <c r="H205" s="653"/>
      <c r="I205" s="653"/>
      <c r="J205" s="654"/>
      <c r="K205" s="650"/>
      <c r="L205" s="650"/>
      <c r="M205" s="650">
        <v>0</v>
      </c>
      <c r="N205" s="654"/>
      <c r="O205" s="654"/>
      <c r="P205" s="654"/>
      <c r="Q205" s="654"/>
      <c r="R205" s="676"/>
      <c r="S205" s="654"/>
      <c r="T205" s="675"/>
      <c r="U205" s="675"/>
      <c r="V205" s="670" t="e">
        <f>LOOKUP(D205,'f-travail'!A:A,'f-travail'!E:E)</f>
        <v>#N/A</v>
      </c>
      <c r="W205" s="670" t="e">
        <f>VLOOKUP(V205,جرقمإستدلالي,'f-travail'!$AD$4+1,FALSE)</f>
        <v>#N/A</v>
      </c>
      <c r="X205" s="671" t="e">
        <f t="shared" si="94"/>
        <v>#N/A</v>
      </c>
      <c r="Y205" s="671">
        <f>IF(G205="مدير ولائي",(HLOOKUP(I205,جدروظعليا,'f-travail'!$AT$3+1,FALSE)-3200),0)</f>
        <v>0</v>
      </c>
      <c r="Z205" s="672" t="str">
        <f t="shared" si="105"/>
        <v/>
      </c>
      <c r="AA205" s="671">
        <f t="shared" si="106"/>
        <v>0</v>
      </c>
      <c r="AB205" s="677" t="b">
        <f t="shared" si="95"/>
        <v>0</v>
      </c>
      <c r="AC205" s="678">
        <f t="shared" si="107"/>
        <v>0</v>
      </c>
      <c r="AD205" s="673"/>
      <c r="AE205" s="678">
        <f t="shared" si="96"/>
        <v>0</v>
      </c>
      <c r="AF205" s="678" t="e">
        <f t="shared" si="97"/>
        <v>#N/A</v>
      </c>
      <c r="AG205" s="678" t="e">
        <f t="shared" si="98"/>
        <v>#N/A</v>
      </c>
      <c r="AH205" s="673">
        <f t="shared" si="108"/>
        <v>0</v>
      </c>
      <c r="AI205" s="674" t="e">
        <f>IF(G205="مدير ولائي",(11000*35%),LOOKUP(D205,'f-travail'!A:A,'f-travail'!I:I))</f>
        <v>#N/A</v>
      </c>
      <c r="AJ205" s="673" t="e">
        <f>IF(G205="مدير ولائي",((W205+X205)*45)*80%,IF(V205&lt;8,0,IF(F205="إليزي",(LOOKUP(D205,'f-travail'!A:A,'f-travail'!O:O))*(AF205+AG205),LOOKUP(D205,'f-travail'!A:A,'f-travail'!P:P)*(AF205+AG205))))</f>
        <v>#N/A</v>
      </c>
      <c r="AK205" s="673" t="e">
        <f>IF(G205="مدير ولائي",0,LOOKUP(D205,'f-travail'!A:A,'f-travail'!Q:Q))</f>
        <v>#N/A</v>
      </c>
      <c r="AL205" s="673" t="e">
        <f>IF(G205="مدير ولائي",0,LOOKUP(D205,'f-travail'!A:A,'f-travail'!R:R)*(AF205+AG205))</f>
        <v>#N/A</v>
      </c>
      <c r="AM205" s="673" t="e">
        <f>IF(G205="مدير ولائي",0,LOOKUP(D205,'f-travail'!A:A,'f-travail'!S:S)*(AF205+AG205))</f>
        <v>#N/A</v>
      </c>
      <c r="AN205" s="673" t="e">
        <f>IF(G205="مدير ولائي",0,LOOKUP(D205,'f-travail'!A:A,'f-travail'!T:T)*(AF205+AG205))</f>
        <v>#N/A</v>
      </c>
      <c r="AO205" s="673" t="e">
        <f>IF(G205="مدير ولائي",0,LOOKUP(D205,'f-travail'!A:A,'f-travail'!U:U)*(AF205+AG205))</f>
        <v>#N/A</v>
      </c>
      <c r="AP205" s="673" t="e">
        <f>IF(G205="مدير ولائي",0,LOOKUP(D205,'f-travail'!A:A,'f-travail'!V:V)*(AF205+AG205))</f>
        <v>#N/A</v>
      </c>
      <c r="AQ205" s="673" t="e">
        <f>IF(G205="مدير ولائي",0,LOOKUP(D205,'f-travail'!A:A,'f-travail'!W:W)*(AF205+AG205))</f>
        <v>#N/A</v>
      </c>
      <c r="AR205" s="673">
        <f t="shared" si="109"/>
        <v>0</v>
      </c>
      <c r="AS205" s="673" t="e">
        <f>IF(G205="مدير ولائي",0,LOOKUP(D205,'f-travail'!A:A,'f-travail'!X:X)*(AF205+AG205))</f>
        <v>#N/A</v>
      </c>
      <c r="AT205" s="673" t="e">
        <f>IF(G205="مدير ولائي",0,LOOKUP(D205,'f-travail'!Y:Y,'f-travail'!R:R)*(AF205+AG205))</f>
        <v>#N/A</v>
      </c>
      <c r="AU205" s="673">
        <f t="shared" si="99"/>
        <v>0</v>
      </c>
      <c r="AV205" s="673">
        <f t="shared" si="100"/>
        <v>0</v>
      </c>
      <c r="AW205" s="673">
        <f t="shared" si="101"/>
        <v>0</v>
      </c>
      <c r="AY205" s="640" t="e">
        <f t="shared" si="110"/>
        <v>#N/A</v>
      </c>
      <c r="AZ205" s="673" t="e">
        <f t="shared" si="102"/>
        <v>#N/A</v>
      </c>
      <c r="BA205" s="639" t="e">
        <f t="shared" si="103"/>
        <v>#N/A</v>
      </c>
      <c r="BG205" s="639">
        <f t="shared" si="111"/>
        <v>0</v>
      </c>
      <c r="BH205" s="683">
        <f t="shared" si="112"/>
        <v>0</v>
      </c>
      <c r="BI205" s="683">
        <f t="shared" si="113"/>
        <v>0</v>
      </c>
      <c r="BJ205" s="641" t="e">
        <f t="shared" si="114"/>
        <v>#N/A</v>
      </c>
      <c r="BK205" s="641" t="e">
        <f t="shared" si="115"/>
        <v>#N/A</v>
      </c>
      <c r="BL205" s="641" t="e">
        <f t="shared" si="116"/>
        <v>#N/A</v>
      </c>
      <c r="BM205" s="684" t="e">
        <f t="shared" si="117"/>
        <v>#N/A</v>
      </c>
      <c r="BO205" s="682" t="e">
        <f>CONCATENATE(Z205," ",LOOKUP(D205,'f-travail'!A:A,'f-travail'!F:F))</f>
        <v>#N/A</v>
      </c>
      <c r="BP205" s="669" t="e">
        <f t="shared" si="104"/>
        <v>#N/A</v>
      </c>
    </row>
    <row r="206" spans="1:68">
      <c r="A206" s="636">
        <f t="shared" si="118"/>
        <v>205</v>
      </c>
      <c r="B206" s="637"/>
      <c r="C206" s="637"/>
      <c r="D206" s="652"/>
      <c r="E206" s="679" t="e">
        <f>LOOKUP(D206,'f-travail'!A:A,'f-travail'!B:B)</f>
        <v>#N/A</v>
      </c>
      <c r="F206" s="650"/>
      <c r="G206" s="650"/>
      <c r="H206" s="653"/>
      <c r="I206" s="653"/>
      <c r="J206" s="654"/>
      <c r="K206" s="650"/>
      <c r="L206" s="650"/>
      <c r="M206" s="650">
        <v>0</v>
      </c>
      <c r="N206" s="654"/>
      <c r="O206" s="654"/>
      <c r="P206" s="654"/>
      <c r="Q206" s="654"/>
      <c r="R206" s="676"/>
      <c r="S206" s="654"/>
      <c r="T206" s="675"/>
      <c r="U206" s="675"/>
      <c r="V206" s="670" t="e">
        <f>LOOKUP(D206,'f-travail'!A:A,'f-travail'!E:E)</f>
        <v>#N/A</v>
      </c>
      <c r="W206" s="670" t="e">
        <f>VLOOKUP(V206,جرقمإستدلالي,'f-travail'!$AD$4+1,FALSE)</f>
        <v>#N/A</v>
      </c>
      <c r="X206" s="671" t="e">
        <f t="shared" si="94"/>
        <v>#N/A</v>
      </c>
      <c r="Y206" s="671">
        <f>IF(G206="مدير ولائي",(HLOOKUP(I206,جدروظعليا,'f-travail'!$AT$3+1,FALSE)-3200),0)</f>
        <v>0</v>
      </c>
      <c r="Z206" s="672" t="str">
        <f t="shared" si="105"/>
        <v/>
      </c>
      <c r="AA206" s="671">
        <f t="shared" si="106"/>
        <v>0</v>
      </c>
      <c r="AB206" s="677" t="b">
        <f t="shared" si="95"/>
        <v>0</v>
      </c>
      <c r="AC206" s="678">
        <f t="shared" si="107"/>
        <v>0</v>
      </c>
      <c r="AD206" s="673"/>
      <c r="AE206" s="678">
        <f t="shared" si="96"/>
        <v>0</v>
      </c>
      <c r="AF206" s="678" t="e">
        <f t="shared" si="97"/>
        <v>#N/A</v>
      </c>
      <c r="AG206" s="678" t="e">
        <f t="shared" si="98"/>
        <v>#N/A</v>
      </c>
      <c r="AH206" s="673">
        <f t="shared" si="108"/>
        <v>0</v>
      </c>
      <c r="AI206" s="674" t="e">
        <f>IF(G206="مدير ولائي",(11000*35%),LOOKUP(D206,'f-travail'!A:A,'f-travail'!I:I))</f>
        <v>#N/A</v>
      </c>
      <c r="AJ206" s="673" t="e">
        <f>IF(G206="مدير ولائي",((W206+X206)*45)*80%,IF(V206&lt;8,0,IF(F206="إليزي",(LOOKUP(D206,'f-travail'!A:A,'f-travail'!O:O))*(AF206+AG206),LOOKUP(D206,'f-travail'!A:A,'f-travail'!P:P)*(AF206+AG206))))</f>
        <v>#N/A</v>
      </c>
      <c r="AK206" s="673" t="e">
        <f>IF(G206="مدير ولائي",0,LOOKUP(D206,'f-travail'!A:A,'f-travail'!Q:Q))</f>
        <v>#N/A</v>
      </c>
      <c r="AL206" s="673" t="e">
        <f>IF(G206="مدير ولائي",0,LOOKUP(D206,'f-travail'!A:A,'f-travail'!R:R)*(AF206+AG206))</f>
        <v>#N/A</v>
      </c>
      <c r="AM206" s="673" t="e">
        <f>IF(G206="مدير ولائي",0,LOOKUP(D206,'f-travail'!A:A,'f-travail'!S:S)*(AF206+AG206))</f>
        <v>#N/A</v>
      </c>
      <c r="AN206" s="673" t="e">
        <f>IF(G206="مدير ولائي",0,LOOKUP(D206,'f-travail'!A:A,'f-travail'!T:T)*(AF206+AG206))</f>
        <v>#N/A</v>
      </c>
      <c r="AO206" s="673" t="e">
        <f>IF(G206="مدير ولائي",0,LOOKUP(D206,'f-travail'!A:A,'f-travail'!U:U)*(AF206+AG206))</f>
        <v>#N/A</v>
      </c>
      <c r="AP206" s="673" t="e">
        <f>IF(G206="مدير ولائي",0,LOOKUP(D206,'f-travail'!A:A,'f-travail'!V:V)*(AF206+AG206))</f>
        <v>#N/A</v>
      </c>
      <c r="AQ206" s="673" t="e">
        <f>IF(G206="مدير ولائي",0,LOOKUP(D206,'f-travail'!A:A,'f-travail'!W:W)*(AF206+AG206))</f>
        <v>#N/A</v>
      </c>
      <c r="AR206" s="673">
        <f t="shared" si="109"/>
        <v>0</v>
      </c>
      <c r="AS206" s="673" t="e">
        <f>IF(G206="مدير ولائي",0,LOOKUP(D206,'f-travail'!A:A,'f-travail'!X:X)*(AF206+AG206))</f>
        <v>#N/A</v>
      </c>
      <c r="AT206" s="673" t="e">
        <f>IF(G206="مدير ولائي",0,LOOKUP(D206,'f-travail'!Y:Y,'f-travail'!R:R)*(AF206+AG206))</f>
        <v>#N/A</v>
      </c>
      <c r="AU206" s="673">
        <f t="shared" si="99"/>
        <v>0</v>
      </c>
      <c r="AV206" s="673">
        <f t="shared" si="100"/>
        <v>0</v>
      </c>
      <c r="AW206" s="673">
        <f t="shared" si="101"/>
        <v>0</v>
      </c>
      <c r="AY206" s="640" t="e">
        <f t="shared" si="110"/>
        <v>#N/A</v>
      </c>
      <c r="AZ206" s="673" t="e">
        <f t="shared" si="102"/>
        <v>#N/A</v>
      </c>
      <c r="BA206" s="639" t="e">
        <f t="shared" si="103"/>
        <v>#N/A</v>
      </c>
      <c r="BG206" s="639">
        <f t="shared" si="111"/>
        <v>0</v>
      </c>
      <c r="BH206" s="683">
        <f t="shared" si="112"/>
        <v>0</v>
      </c>
      <c r="BI206" s="683">
        <f t="shared" si="113"/>
        <v>0</v>
      </c>
      <c r="BJ206" s="641" t="e">
        <f t="shared" si="114"/>
        <v>#N/A</v>
      </c>
      <c r="BK206" s="641" t="e">
        <f t="shared" si="115"/>
        <v>#N/A</v>
      </c>
      <c r="BL206" s="641" t="e">
        <f t="shared" si="116"/>
        <v>#N/A</v>
      </c>
      <c r="BM206" s="684" t="e">
        <f t="shared" si="117"/>
        <v>#N/A</v>
      </c>
      <c r="BO206" s="682" t="e">
        <f>CONCATENATE(Z206," ",LOOKUP(D206,'f-travail'!A:A,'f-travail'!F:F))</f>
        <v>#N/A</v>
      </c>
      <c r="BP206" s="669" t="e">
        <f t="shared" si="104"/>
        <v>#N/A</v>
      </c>
    </row>
    <row r="207" spans="1:68">
      <c r="A207" s="636">
        <f t="shared" si="118"/>
        <v>206</v>
      </c>
      <c r="B207" s="637"/>
      <c r="C207" s="637"/>
      <c r="D207" s="652"/>
      <c r="E207" s="679" t="e">
        <f>LOOKUP(D207,'f-travail'!A:A,'f-travail'!B:B)</f>
        <v>#N/A</v>
      </c>
      <c r="F207" s="650"/>
      <c r="G207" s="650"/>
      <c r="H207" s="653"/>
      <c r="I207" s="653"/>
      <c r="J207" s="654"/>
      <c r="K207" s="650"/>
      <c r="L207" s="650"/>
      <c r="M207" s="650">
        <v>0</v>
      </c>
      <c r="N207" s="654"/>
      <c r="O207" s="654"/>
      <c r="P207" s="654"/>
      <c r="Q207" s="654"/>
      <c r="R207" s="676"/>
      <c r="S207" s="654"/>
      <c r="T207" s="675"/>
      <c r="U207" s="675"/>
      <c r="V207" s="670" t="e">
        <f>LOOKUP(D207,'f-travail'!A:A,'f-travail'!E:E)</f>
        <v>#N/A</v>
      </c>
      <c r="W207" s="670" t="e">
        <f>VLOOKUP(V207,جرقمإستدلالي,'f-travail'!$AD$4+1,FALSE)</f>
        <v>#N/A</v>
      </c>
      <c r="X207" s="671" t="e">
        <f t="shared" si="94"/>
        <v>#N/A</v>
      </c>
      <c r="Y207" s="671">
        <f>IF(G207="مدير ولائي",(HLOOKUP(I207,جدروظعليا,'f-travail'!$AT$3+1,FALSE)-3200),0)</f>
        <v>0</v>
      </c>
      <c r="Z207" s="672" t="str">
        <f t="shared" si="105"/>
        <v/>
      </c>
      <c r="AA207" s="671">
        <f t="shared" si="106"/>
        <v>0</v>
      </c>
      <c r="AB207" s="677" t="b">
        <f t="shared" si="95"/>
        <v>0</v>
      </c>
      <c r="AC207" s="678">
        <f t="shared" si="107"/>
        <v>0</v>
      </c>
      <c r="AD207" s="673"/>
      <c r="AE207" s="678">
        <f t="shared" si="96"/>
        <v>0</v>
      </c>
      <c r="AF207" s="678" t="e">
        <f t="shared" si="97"/>
        <v>#N/A</v>
      </c>
      <c r="AG207" s="678" t="e">
        <f t="shared" si="98"/>
        <v>#N/A</v>
      </c>
      <c r="AH207" s="673">
        <f t="shared" si="108"/>
        <v>0</v>
      </c>
      <c r="AI207" s="674" t="e">
        <f>IF(G207="مدير ولائي",(11000*35%),LOOKUP(D207,'f-travail'!A:A,'f-travail'!I:I))</f>
        <v>#N/A</v>
      </c>
      <c r="AJ207" s="673" t="e">
        <f>IF(G207="مدير ولائي",((W207+X207)*45)*80%,IF(V207&lt;8,0,IF(F207="إليزي",(LOOKUP(D207,'f-travail'!A:A,'f-travail'!O:O))*(AF207+AG207),LOOKUP(D207,'f-travail'!A:A,'f-travail'!P:P)*(AF207+AG207))))</f>
        <v>#N/A</v>
      </c>
      <c r="AK207" s="673" t="e">
        <f>IF(G207="مدير ولائي",0,LOOKUP(D207,'f-travail'!A:A,'f-travail'!Q:Q))</f>
        <v>#N/A</v>
      </c>
      <c r="AL207" s="673" t="e">
        <f>IF(G207="مدير ولائي",0,LOOKUP(D207,'f-travail'!A:A,'f-travail'!R:R)*(AF207+AG207))</f>
        <v>#N/A</v>
      </c>
      <c r="AM207" s="673" t="e">
        <f>IF(G207="مدير ولائي",0,LOOKUP(D207,'f-travail'!A:A,'f-travail'!S:S)*(AF207+AG207))</f>
        <v>#N/A</v>
      </c>
      <c r="AN207" s="673" t="e">
        <f>IF(G207="مدير ولائي",0,LOOKUP(D207,'f-travail'!A:A,'f-travail'!T:T)*(AF207+AG207))</f>
        <v>#N/A</v>
      </c>
      <c r="AO207" s="673" t="e">
        <f>IF(G207="مدير ولائي",0,LOOKUP(D207,'f-travail'!A:A,'f-travail'!U:U)*(AF207+AG207))</f>
        <v>#N/A</v>
      </c>
      <c r="AP207" s="673" t="e">
        <f>IF(G207="مدير ولائي",0,LOOKUP(D207,'f-travail'!A:A,'f-travail'!V:V)*(AF207+AG207))</f>
        <v>#N/A</v>
      </c>
      <c r="AQ207" s="673" t="e">
        <f>IF(G207="مدير ولائي",0,LOOKUP(D207,'f-travail'!A:A,'f-travail'!W:W)*(AF207+AG207))</f>
        <v>#N/A</v>
      </c>
      <c r="AR207" s="673">
        <f t="shared" si="109"/>
        <v>0</v>
      </c>
      <c r="AS207" s="673" t="e">
        <f>IF(G207="مدير ولائي",0,LOOKUP(D207,'f-travail'!A:A,'f-travail'!X:X)*(AF207+AG207))</f>
        <v>#N/A</v>
      </c>
      <c r="AT207" s="673" t="e">
        <f>IF(G207="مدير ولائي",0,LOOKUP(D207,'f-travail'!Y:Y,'f-travail'!R:R)*(AF207+AG207))</f>
        <v>#N/A</v>
      </c>
      <c r="AU207" s="673">
        <f t="shared" si="99"/>
        <v>0</v>
      </c>
      <c r="AV207" s="673">
        <f t="shared" si="100"/>
        <v>0</v>
      </c>
      <c r="AW207" s="673">
        <f t="shared" si="101"/>
        <v>0</v>
      </c>
      <c r="AY207" s="640" t="e">
        <f t="shared" si="110"/>
        <v>#N/A</v>
      </c>
      <c r="AZ207" s="673" t="e">
        <f t="shared" si="102"/>
        <v>#N/A</v>
      </c>
      <c r="BA207" s="639" t="e">
        <f t="shared" si="103"/>
        <v>#N/A</v>
      </c>
      <c r="BG207" s="639">
        <f t="shared" si="111"/>
        <v>0</v>
      </c>
      <c r="BH207" s="683">
        <f t="shared" si="112"/>
        <v>0</v>
      </c>
      <c r="BI207" s="683">
        <f t="shared" si="113"/>
        <v>0</v>
      </c>
      <c r="BJ207" s="641" t="e">
        <f t="shared" si="114"/>
        <v>#N/A</v>
      </c>
      <c r="BK207" s="641" t="e">
        <f t="shared" si="115"/>
        <v>#N/A</v>
      </c>
      <c r="BL207" s="641" t="e">
        <f t="shared" si="116"/>
        <v>#N/A</v>
      </c>
      <c r="BM207" s="684" t="e">
        <f t="shared" si="117"/>
        <v>#N/A</v>
      </c>
      <c r="BO207" s="682" t="e">
        <f>CONCATENATE(Z207," ",LOOKUP(D207,'f-travail'!A:A,'f-travail'!F:F))</f>
        <v>#N/A</v>
      </c>
      <c r="BP207" s="669" t="e">
        <f t="shared" si="104"/>
        <v>#N/A</v>
      </c>
    </row>
    <row r="208" spans="1:68">
      <c r="A208" s="636">
        <f t="shared" si="118"/>
        <v>207</v>
      </c>
      <c r="B208" s="637"/>
      <c r="C208" s="637"/>
      <c r="D208" s="652"/>
      <c r="E208" s="679" t="e">
        <f>LOOKUP(D208,'f-travail'!A:A,'f-travail'!B:B)</f>
        <v>#N/A</v>
      </c>
      <c r="F208" s="650"/>
      <c r="G208" s="650"/>
      <c r="H208" s="653"/>
      <c r="I208" s="653"/>
      <c r="J208" s="654"/>
      <c r="K208" s="650"/>
      <c r="L208" s="650"/>
      <c r="M208" s="650">
        <v>0</v>
      </c>
      <c r="N208" s="654"/>
      <c r="O208" s="654"/>
      <c r="P208" s="654"/>
      <c r="Q208" s="654"/>
      <c r="R208" s="676"/>
      <c r="S208" s="654"/>
      <c r="T208" s="675"/>
      <c r="U208" s="675"/>
      <c r="V208" s="670" t="e">
        <f>LOOKUP(D208,'f-travail'!A:A,'f-travail'!E:E)</f>
        <v>#N/A</v>
      </c>
      <c r="W208" s="670" t="e">
        <f>VLOOKUP(V208,جرقمإستدلالي,'f-travail'!$AD$4+1,FALSE)</f>
        <v>#N/A</v>
      </c>
      <c r="X208" s="671" t="e">
        <f t="shared" si="94"/>
        <v>#N/A</v>
      </c>
      <c r="Y208" s="671">
        <f>IF(G208="مدير ولائي",(HLOOKUP(I208,جدروظعليا,'f-travail'!$AT$3+1,FALSE)-3200),0)</f>
        <v>0</v>
      </c>
      <c r="Z208" s="672" t="str">
        <f t="shared" si="105"/>
        <v/>
      </c>
      <c r="AA208" s="671">
        <f t="shared" si="106"/>
        <v>0</v>
      </c>
      <c r="AB208" s="677" t="b">
        <f t="shared" si="95"/>
        <v>0</v>
      </c>
      <c r="AC208" s="678">
        <f t="shared" si="107"/>
        <v>0</v>
      </c>
      <c r="AD208" s="673"/>
      <c r="AE208" s="678">
        <f t="shared" si="96"/>
        <v>0</v>
      </c>
      <c r="AF208" s="678" t="e">
        <f t="shared" si="97"/>
        <v>#N/A</v>
      </c>
      <c r="AG208" s="678" t="e">
        <f t="shared" si="98"/>
        <v>#N/A</v>
      </c>
      <c r="AH208" s="673">
        <f t="shared" si="108"/>
        <v>0</v>
      </c>
      <c r="AI208" s="674" t="e">
        <f>IF(G208="مدير ولائي",(11000*35%),LOOKUP(D208,'f-travail'!A:A,'f-travail'!I:I))</f>
        <v>#N/A</v>
      </c>
      <c r="AJ208" s="673" t="e">
        <f>IF(G208="مدير ولائي",((W208+X208)*45)*80%,IF(V208&lt;8,0,IF(F208="إليزي",(LOOKUP(D208,'f-travail'!A:A,'f-travail'!O:O))*(AF208+AG208),LOOKUP(D208,'f-travail'!A:A,'f-travail'!P:P)*(AF208+AG208))))</f>
        <v>#N/A</v>
      </c>
      <c r="AK208" s="673" t="e">
        <f>IF(G208="مدير ولائي",0,LOOKUP(D208,'f-travail'!A:A,'f-travail'!Q:Q))</f>
        <v>#N/A</v>
      </c>
      <c r="AL208" s="673" t="e">
        <f>IF(G208="مدير ولائي",0,LOOKUP(D208,'f-travail'!A:A,'f-travail'!R:R)*(AF208+AG208))</f>
        <v>#N/A</v>
      </c>
      <c r="AM208" s="673" t="e">
        <f>IF(G208="مدير ولائي",0,LOOKUP(D208,'f-travail'!A:A,'f-travail'!S:S)*(AF208+AG208))</f>
        <v>#N/A</v>
      </c>
      <c r="AN208" s="673" t="e">
        <f>IF(G208="مدير ولائي",0,LOOKUP(D208,'f-travail'!A:A,'f-travail'!T:T)*(AF208+AG208))</f>
        <v>#N/A</v>
      </c>
      <c r="AO208" s="673" t="e">
        <f>IF(G208="مدير ولائي",0,LOOKUP(D208,'f-travail'!A:A,'f-travail'!U:U)*(AF208+AG208))</f>
        <v>#N/A</v>
      </c>
      <c r="AP208" s="673" t="e">
        <f>IF(G208="مدير ولائي",0,LOOKUP(D208,'f-travail'!A:A,'f-travail'!V:V)*(AF208+AG208))</f>
        <v>#N/A</v>
      </c>
      <c r="AQ208" s="673" t="e">
        <f>IF(G208="مدير ولائي",0,LOOKUP(D208,'f-travail'!A:A,'f-travail'!W:W)*(AF208+AG208))</f>
        <v>#N/A</v>
      </c>
      <c r="AR208" s="673">
        <f t="shared" si="109"/>
        <v>0</v>
      </c>
      <c r="AS208" s="673" t="e">
        <f>IF(G208="مدير ولائي",0,LOOKUP(D208,'f-travail'!A:A,'f-travail'!X:X)*(AF208+AG208))</f>
        <v>#N/A</v>
      </c>
      <c r="AT208" s="673" t="e">
        <f>IF(G208="مدير ولائي",0,LOOKUP(D208,'f-travail'!Y:Y,'f-travail'!R:R)*(AF208+AG208))</f>
        <v>#N/A</v>
      </c>
      <c r="AU208" s="673">
        <f t="shared" si="99"/>
        <v>0</v>
      </c>
      <c r="AV208" s="673">
        <f t="shared" si="100"/>
        <v>0</v>
      </c>
      <c r="AW208" s="673">
        <f t="shared" si="101"/>
        <v>0</v>
      </c>
      <c r="AY208" s="640" t="e">
        <f t="shared" si="110"/>
        <v>#N/A</v>
      </c>
      <c r="AZ208" s="673" t="e">
        <f t="shared" si="102"/>
        <v>#N/A</v>
      </c>
      <c r="BA208" s="639" t="e">
        <f t="shared" si="103"/>
        <v>#N/A</v>
      </c>
      <c r="BG208" s="639">
        <f t="shared" si="111"/>
        <v>0</v>
      </c>
      <c r="BH208" s="683">
        <f t="shared" si="112"/>
        <v>0</v>
      </c>
      <c r="BI208" s="683">
        <f t="shared" si="113"/>
        <v>0</v>
      </c>
      <c r="BJ208" s="641" t="e">
        <f t="shared" si="114"/>
        <v>#N/A</v>
      </c>
      <c r="BK208" s="641" t="e">
        <f t="shared" si="115"/>
        <v>#N/A</v>
      </c>
      <c r="BL208" s="641" t="e">
        <f t="shared" si="116"/>
        <v>#N/A</v>
      </c>
      <c r="BM208" s="684" t="e">
        <f t="shared" si="117"/>
        <v>#N/A</v>
      </c>
      <c r="BO208" s="682" t="e">
        <f>CONCATENATE(Z208," ",LOOKUP(D208,'f-travail'!A:A,'f-travail'!F:F))</f>
        <v>#N/A</v>
      </c>
      <c r="BP208" s="669" t="e">
        <f t="shared" si="104"/>
        <v>#N/A</v>
      </c>
    </row>
    <row r="209" spans="1:68">
      <c r="A209" s="636">
        <f t="shared" si="118"/>
        <v>208</v>
      </c>
      <c r="B209" s="637"/>
      <c r="C209" s="637"/>
      <c r="D209" s="652"/>
      <c r="E209" s="679" t="e">
        <f>LOOKUP(D209,'f-travail'!A:A,'f-travail'!B:B)</f>
        <v>#N/A</v>
      </c>
      <c r="F209" s="650"/>
      <c r="G209" s="650"/>
      <c r="H209" s="653"/>
      <c r="I209" s="653"/>
      <c r="J209" s="654"/>
      <c r="K209" s="650"/>
      <c r="L209" s="650"/>
      <c r="M209" s="650">
        <v>0</v>
      </c>
      <c r="N209" s="654"/>
      <c r="O209" s="654"/>
      <c r="P209" s="654"/>
      <c r="Q209" s="654"/>
      <c r="R209" s="676"/>
      <c r="S209" s="654"/>
      <c r="T209" s="675"/>
      <c r="U209" s="675"/>
      <c r="V209" s="670" t="e">
        <f>LOOKUP(D209,'f-travail'!A:A,'f-travail'!E:E)</f>
        <v>#N/A</v>
      </c>
      <c r="W209" s="670" t="e">
        <f>VLOOKUP(V209,جرقمإستدلالي,'f-travail'!$AD$4+1,FALSE)</f>
        <v>#N/A</v>
      </c>
      <c r="X209" s="671" t="e">
        <f t="shared" si="94"/>
        <v>#N/A</v>
      </c>
      <c r="Y209" s="671">
        <f>IF(G209="مدير ولائي",(HLOOKUP(I209,جدروظعليا,'f-travail'!$AT$3+1,FALSE)-3200),0)</f>
        <v>0</v>
      </c>
      <c r="Z209" s="672" t="str">
        <f t="shared" si="105"/>
        <v/>
      </c>
      <c r="AA209" s="671">
        <f t="shared" si="106"/>
        <v>0</v>
      </c>
      <c r="AB209" s="677" t="b">
        <f t="shared" si="95"/>
        <v>0</v>
      </c>
      <c r="AC209" s="678">
        <f t="shared" si="107"/>
        <v>0</v>
      </c>
      <c r="AD209" s="673"/>
      <c r="AE209" s="678">
        <f t="shared" si="96"/>
        <v>0</v>
      </c>
      <c r="AF209" s="678" t="e">
        <f t="shared" si="97"/>
        <v>#N/A</v>
      </c>
      <c r="AG209" s="678" t="e">
        <f t="shared" si="98"/>
        <v>#N/A</v>
      </c>
      <c r="AH209" s="673">
        <f t="shared" si="108"/>
        <v>0</v>
      </c>
      <c r="AI209" s="674" t="e">
        <f>IF(G209="مدير ولائي",(11000*35%),LOOKUP(D209,'f-travail'!A:A,'f-travail'!I:I))</f>
        <v>#N/A</v>
      </c>
      <c r="AJ209" s="673" t="e">
        <f>IF(G209="مدير ولائي",((W209+X209)*45)*80%,IF(V209&lt;8,0,IF(F209="إليزي",(LOOKUP(D209,'f-travail'!A:A,'f-travail'!O:O))*(AF209+AG209),LOOKUP(D209,'f-travail'!A:A,'f-travail'!P:P)*(AF209+AG209))))</f>
        <v>#N/A</v>
      </c>
      <c r="AK209" s="673" t="e">
        <f>IF(G209="مدير ولائي",0,LOOKUP(D209,'f-travail'!A:A,'f-travail'!Q:Q))</f>
        <v>#N/A</v>
      </c>
      <c r="AL209" s="673" t="e">
        <f>IF(G209="مدير ولائي",0,LOOKUP(D209,'f-travail'!A:A,'f-travail'!R:R)*(AF209+AG209))</f>
        <v>#N/A</v>
      </c>
      <c r="AM209" s="673" t="e">
        <f>IF(G209="مدير ولائي",0,LOOKUP(D209,'f-travail'!A:A,'f-travail'!S:S)*(AF209+AG209))</f>
        <v>#N/A</v>
      </c>
      <c r="AN209" s="673" t="e">
        <f>IF(G209="مدير ولائي",0,LOOKUP(D209,'f-travail'!A:A,'f-travail'!T:T)*(AF209+AG209))</f>
        <v>#N/A</v>
      </c>
      <c r="AO209" s="673" t="e">
        <f>IF(G209="مدير ولائي",0,LOOKUP(D209,'f-travail'!A:A,'f-travail'!U:U)*(AF209+AG209))</f>
        <v>#N/A</v>
      </c>
      <c r="AP209" s="673" t="e">
        <f>IF(G209="مدير ولائي",0,LOOKUP(D209,'f-travail'!A:A,'f-travail'!V:V)*(AF209+AG209))</f>
        <v>#N/A</v>
      </c>
      <c r="AQ209" s="673" t="e">
        <f>IF(G209="مدير ولائي",0,LOOKUP(D209,'f-travail'!A:A,'f-travail'!W:W)*(AF209+AG209))</f>
        <v>#N/A</v>
      </c>
      <c r="AR209" s="673">
        <f t="shared" si="109"/>
        <v>0</v>
      </c>
      <c r="AS209" s="673" t="e">
        <f>IF(G209="مدير ولائي",0,LOOKUP(D209,'f-travail'!A:A,'f-travail'!X:X)*(AF209+AG209))</f>
        <v>#N/A</v>
      </c>
      <c r="AT209" s="673" t="e">
        <f>IF(G209="مدير ولائي",0,LOOKUP(D209,'f-travail'!Y:Y,'f-travail'!R:R)*(AF209+AG209))</f>
        <v>#N/A</v>
      </c>
      <c r="AU209" s="673">
        <f t="shared" si="99"/>
        <v>0</v>
      </c>
      <c r="AV209" s="673">
        <f t="shared" si="100"/>
        <v>0</v>
      </c>
      <c r="AW209" s="673">
        <f t="shared" si="101"/>
        <v>0</v>
      </c>
      <c r="AY209" s="640" t="e">
        <f t="shared" si="110"/>
        <v>#N/A</v>
      </c>
      <c r="AZ209" s="673" t="e">
        <f t="shared" si="102"/>
        <v>#N/A</v>
      </c>
      <c r="BA209" s="639" t="e">
        <f t="shared" si="103"/>
        <v>#N/A</v>
      </c>
      <c r="BG209" s="639">
        <f t="shared" si="111"/>
        <v>0</v>
      </c>
      <c r="BH209" s="683">
        <f t="shared" si="112"/>
        <v>0</v>
      </c>
      <c r="BI209" s="683">
        <f t="shared" si="113"/>
        <v>0</v>
      </c>
      <c r="BJ209" s="641" t="e">
        <f t="shared" si="114"/>
        <v>#N/A</v>
      </c>
      <c r="BK209" s="641" t="e">
        <f t="shared" si="115"/>
        <v>#N/A</v>
      </c>
      <c r="BL209" s="641" t="e">
        <f t="shared" si="116"/>
        <v>#N/A</v>
      </c>
      <c r="BM209" s="684" t="e">
        <f t="shared" si="117"/>
        <v>#N/A</v>
      </c>
      <c r="BO209" s="682" t="e">
        <f>CONCATENATE(Z209," ",LOOKUP(D209,'f-travail'!A:A,'f-travail'!F:F))</f>
        <v>#N/A</v>
      </c>
      <c r="BP209" s="669" t="e">
        <f t="shared" si="104"/>
        <v>#N/A</v>
      </c>
    </row>
    <row r="210" spans="1:68">
      <c r="A210" s="636">
        <f t="shared" si="118"/>
        <v>209</v>
      </c>
      <c r="B210" s="637"/>
      <c r="C210" s="637"/>
      <c r="D210" s="652"/>
      <c r="E210" s="679" t="e">
        <f>LOOKUP(D210,'f-travail'!A:A,'f-travail'!B:B)</f>
        <v>#N/A</v>
      </c>
      <c r="F210" s="650"/>
      <c r="G210" s="650"/>
      <c r="H210" s="653"/>
      <c r="I210" s="653"/>
      <c r="J210" s="654"/>
      <c r="K210" s="650"/>
      <c r="L210" s="650"/>
      <c r="M210" s="650">
        <v>0</v>
      </c>
      <c r="N210" s="654"/>
      <c r="O210" s="654"/>
      <c r="P210" s="654"/>
      <c r="Q210" s="654"/>
      <c r="R210" s="676"/>
      <c r="S210" s="654"/>
      <c r="T210" s="675"/>
      <c r="U210" s="675"/>
      <c r="V210" s="670" t="e">
        <f>LOOKUP(D210,'f-travail'!A:A,'f-travail'!E:E)</f>
        <v>#N/A</v>
      </c>
      <c r="W210" s="670" t="e">
        <f>VLOOKUP(V210,جرقمإستدلالي,'f-travail'!$AD$4+1,FALSE)</f>
        <v>#N/A</v>
      </c>
      <c r="X210" s="671" t="e">
        <f t="shared" si="94"/>
        <v>#N/A</v>
      </c>
      <c r="Y210" s="671">
        <f>IF(G210="مدير ولائي",(HLOOKUP(I210,جدروظعليا,'f-travail'!$AT$3+1,FALSE)-3200),0)</f>
        <v>0</v>
      </c>
      <c r="Z210" s="672" t="str">
        <f t="shared" si="105"/>
        <v/>
      </c>
      <c r="AA210" s="671">
        <f t="shared" si="106"/>
        <v>0</v>
      </c>
      <c r="AB210" s="677" t="b">
        <f t="shared" si="95"/>
        <v>0</v>
      </c>
      <c r="AC210" s="678">
        <f t="shared" si="107"/>
        <v>0</v>
      </c>
      <c r="AD210" s="673"/>
      <c r="AE210" s="678">
        <f t="shared" si="96"/>
        <v>0</v>
      </c>
      <c r="AF210" s="678" t="e">
        <f t="shared" si="97"/>
        <v>#N/A</v>
      </c>
      <c r="AG210" s="678" t="e">
        <f t="shared" si="98"/>
        <v>#N/A</v>
      </c>
      <c r="AH210" s="673">
        <f t="shared" si="108"/>
        <v>0</v>
      </c>
      <c r="AI210" s="674" t="e">
        <f>IF(G210="مدير ولائي",(11000*35%),LOOKUP(D210,'f-travail'!A:A,'f-travail'!I:I))</f>
        <v>#N/A</v>
      </c>
      <c r="AJ210" s="673" t="e">
        <f>IF(G210="مدير ولائي",((W210+X210)*45)*80%,IF(V210&lt;8,0,IF(F210="إليزي",(LOOKUP(D210,'f-travail'!A:A,'f-travail'!O:O))*(AF210+AG210),LOOKUP(D210,'f-travail'!A:A,'f-travail'!P:P)*(AF210+AG210))))</f>
        <v>#N/A</v>
      </c>
      <c r="AK210" s="673" t="e">
        <f>IF(G210="مدير ولائي",0,LOOKUP(D210,'f-travail'!A:A,'f-travail'!Q:Q))</f>
        <v>#N/A</v>
      </c>
      <c r="AL210" s="673" t="e">
        <f>IF(G210="مدير ولائي",0,LOOKUP(D210,'f-travail'!A:A,'f-travail'!R:R)*(AF210+AG210))</f>
        <v>#N/A</v>
      </c>
      <c r="AM210" s="673" t="e">
        <f>IF(G210="مدير ولائي",0,LOOKUP(D210,'f-travail'!A:A,'f-travail'!S:S)*(AF210+AG210))</f>
        <v>#N/A</v>
      </c>
      <c r="AN210" s="673" t="e">
        <f>IF(G210="مدير ولائي",0,LOOKUP(D210,'f-travail'!A:A,'f-travail'!T:T)*(AF210+AG210))</f>
        <v>#N/A</v>
      </c>
      <c r="AO210" s="673" t="e">
        <f>IF(G210="مدير ولائي",0,LOOKUP(D210,'f-travail'!A:A,'f-travail'!U:U)*(AF210+AG210))</f>
        <v>#N/A</v>
      </c>
      <c r="AP210" s="673" t="e">
        <f>IF(G210="مدير ولائي",0,LOOKUP(D210,'f-travail'!A:A,'f-travail'!V:V)*(AF210+AG210))</f>
        <v>#N/A</v>
      </c>
      <c r="AQ210" s="673" t="e">
        <f>IF(G210="مدير ولائي",0,LOOKUP(D210,'f-travail'!A:A,'f-travail'!W:W)*(AF210+AG210))</f>
        <v>#N/A</v>
      </c>
      <c r="AR210" s="673">
        <f t="shared" si="109"/>
        <v>0</v>
      </c>
      <c r="AS210" s="673" t="e">
        <f>IF(G210="مدير ولائي",0,LOOKUP(D210,'f-travail'!A:A,'f-travail'!X:X)*(AF210+AG210))</f>
        <v>#N/A</v>
      </c>
      <c r="AT210" s="673" t="e">
        <f>IF(G210="مدير ولائي",0,LOOKUP(D210,'f-travail'!Y:Y,'f-travail'!R:R)*(AF210+AG210))</f>
        <v>#N/A</v>
      </c>
      <c r="AU210" s="673">
        <f t="shared" si="99"/>
        <v>0</v>
      </c>
      <c r="AV210" s="673">
        <f t="shared" si="100"/>
        <v>0</v>
      </c>
      <c r="AW210" s="673">
        <f t="shared" si="101"/>
        <v>0</v>
      </c>
      <c r="AY210" s="640" t="e">
        <f t="shared" si="110"/>
        <v>#N/A</v>
      </c>
      <c r="AZ210" s="673" t="e">
        <f t="shared" si="102"/>
        <v>#N/A</v>
      </c>
      <c r="BA210" s="639" t="e">
        <f t="shared" si="103"/>
        <v>#N/A</v>
      </c>
      <c r="BG210" s="639">
        <f t="shared" si="111"/>
        <v>0</v>
      </c>
      <c r="BH210" s="683">
        <f t="shared" si="112"/>
        <v>0</v>
      </c>
      <c r="BI210" s="683">
        <f t="shared" si="113"/>
        <v>0</v>
      </c>
      <c r="BJ210" s="641" t="e">
        <f t="shared" si="114"/>
        <v>#N/A</v>
      </c>
      <c r="BK210" s="641" t="e">
        <f t="shared" si="115"/>
        <v>#N/A</v>
      </c>
      <c r="BL210" s="641" t="e">
        <f t="shared" si="116"/>
        <v>#N/A</v>
      </c>
      <c r="BM210" s="684" t="e">
        <f t="shared" si="117"/>
        <v>#N/A</v>
      </c>
      <c r="BO210" s="682" t="e">
        <f>CONCATENATE(Z210," ",LOOKUP(D210,'f-travail'!A:A,'f-travail'!F:F))</f>
        <v>#N/A</v>
      </c>
      <c r="BP210" s="669" t="e">
        <f t="shared" si="104"/>
        <v>#N/A</v>
      </c>
    </row>
    <row r="211" spans="1:68">
      <c r="A211" s="636">
        <f t="shared" si="118"/>
        <v>210</v>
      </c>
      <c r="B211" s="637"/>
      <c r="C211" s="637"/>
      <c r="D211" s="652"/>
      <c r="E211" s="679" t="e">
        <f>LOOKUP(D211,'f-travail'!A:A,'f-travail'!B:B)</f>
        <v>#N/A</v>
      </c>
      <c r="F211" s="650"/>
      <c r="G211" s="650"/>
      <c r="H211" s="653"/>
      <c r="I211" s="653"/>
      <c r="J211" s="654"/>
      <c r="K211" s="650"/>
      <c r="L211" s="650"/>
      <c r="M211" s="650">
        <v>0</v>
      </c>
      <c r="N211" s="654"/>
      <c r="O211" s="654"/>
      <c r="P211" s="654"/>
      <c r="Q211" s="654"/>
      <c r="R211" s="676"/>
      <c r="S211" s="654"/>
      <c r="T211" s="675"/>
      <c r="U211" s="675"/>
      <c r="V211" s="670" t="e">
        <f>LOOKUP(D211,'f-travail'!A:A,'f-travail'!E:E)</f>
        <v>#N/A</v>
      </c>
      <c r="W211" s="670" t="e">
        <f>VLOOKUP(V211,جرقمإستدلالي,'f-travail'!$AD$4+1,FALSE)</f>
        <v>#N/A</v>
      </c>
      <c r="X211" s="671" t="e">
        <f t="shared" si="94"/>
        <v>#N/A</v>
      </c>
      <c r="Y211" s="671">
        <f>IF(G211="مدير ولائي",(HLOOKUP(I211,جدروظعليا,'f-travail'!$AT$3+1,FALSE)-3200),0)</f>
        <v>0</v>
      </c>
      <c r="Z211" s="672" t="str">
        <f t="shared" si="105"/>
        <v/>
      </c>
      <c r="AA211" s="671">
        <f t="shared" si="106"/>
        <v>0</v>
      </c>
      <c r="AB211" s="677" t="b">
        <f t="shared" si="95"/>
        <v>0</v>
      </c>
      <c r="AC211" s="678">
        <f t="shared" si="107"/>
        <v>0</v>
      </c>
      <c r="AD211" s="673"/>
      <c r="AE211" s="678">
        <f t="shared" si="96"/>
        <v>0</v>
      </c>
      <c r="AF211" s="678" t="e">
        <f t="shared" si="97"/>
        <v>#N/A</v>
      </c>
      <c r="AG211" s="678" t="e">
        <f t="shared" si="98"/>
        <v>#N/A</v>
      </c>
      <c r="AH211" s="673">
        <f t="shared" si="108"/>
        <v>0</v>
      </c>
      <c r="AI211" s="674" t="e">
        <f>IF(G211="مدير ولائي",(11000*35%),LOOKUP(D211,'f-travail'!A:A,'f-travail'!I:I))</f>
        <v>#N/A</v>
      </c>
      <c r="AJ211" s="673" t="e">
        <f>IF(G211="مدير ولائي",((W211+X211)*45)*80%,IF(V211&lt;8,0,IF(F211="إليزي",(LOOKUP(D211,'f-travail'!A:A,'f-travail'!O:O))*(AF211+AG211),LOOKUP(D211,'f-travail'!A:A,'f-travail'!P:P)*(AF211+AG211))))</f>
        <v>#N/A</v>
      </c>
      <c r="AK211" s="673" t="e">
        <f>IF(G211="مدير ولائي",0,LOOKUP(D211,'f-travail'!A:A,'f-travail'!Q:Q))</f>
        <v>#N/A</v>
      </c>
      <c r="AL211" s="673" t="e">
        <f>IF(G211="مدير ولائي",0,LOOKUP(D211,'f-travail'!A:A,'f-travail'!R:R)*(AF211+AG211))</f>
        <v>#N/A</v>
      </c>
      <c r="AM211" s="673" t="e">
        <f>IF(G211="مدير ولائي",0,LOOKUP(D211,'f-travail'!A:A,'f-travail'!S:S)*(AF211+AG211))</f>
        <v>#N/A</v>
      </c>
      <c r="AN211" s="673" t="e">
        <f>IF(G211="مدير ولائي",0,LOOKUP(D211,'f-travail'!A:A,'f-travail'!T:T)*(AF211+AG211))</f>
        <v>#N/A</v>
      </c>
      <c r="AO211" s="673" t="e">
        <f>IF(G211="مدير ولائي",0,LOOKUP(D211,'f-travail'!A:A,'f-travail'!U:U)*(AF211+AG211))</f>
        <v>#N/A</v>
      </c>
      <c r="AP211" s="673" t="e">
        <f>IF(G211="مدير ولائي",0,LOOKUP(D211,'f-travail'!A:A,'f-travail'!V:V)*(AF211+AG211))</f>
        <v>#N/A</v>
      </c>
      <c r="AQ211" s="673" t="e">
        <f>IF(G211="مدير ولائي",0,LOOKUP(D211,'f-travail'!A:A,'f-travail'!W:W)*(AF211+AG211))</f>
        <v>#N/A</v>
      </c>
      <c r="AR211" s="673">
        <f t="shared" si="109"/>
        <v>0</v>
      </c>
      <c r="AS211" s="673" t="e">
        <f>IF(G211="مدير ولائي",0,LOOKUP(D211,'f-travail'!A:A,'f-travail'!X:X)*(AF211+AG211))</f>
        <v>#N/A</v>
      </c>
      <c r="AT211" s="673" t="e">
        <f>IF(G211="مدير ولائي",0,LOOKUP(D211,'f-travail'!Y:Y,'f-travail'!R:R)*(AF211+AG211))</f>
        <v>#N/A</v>
      </c>
      <c r="AU211" s="673">
        <f t="shared" si="99"/>
        <v>0</v>
      </c>
      <c r="AV211" s="673">
        <f t="shared" si="100"/>
        <v>0</v>
      </c>
      <c r="AW211" s="673">
        <f t="shared" si="101"/>
        <v>0</v>
      </c>
      <c r="AY211" s="640" t="e">
        <f t="shared" si="110"/>
        <v>#N/A</v>
      </c>
      <c r="AZ211" s="673" t="e">
        <f t="shared" si="102"/>
        <v>#N/A</v>
      </c>
      <c r="BA211" s="639" t="e">
        <f t="shared" si="103"/>
        <v>#N/A</v>
      </c>
      <c r="BG211" s="639">
        <f t="shared" si="111"/>
        <v>0</v>
      </c>
      <c r="BH211" s="683">
        <f t="shared" si="112"/>
        <v>0</v>
      </c>
      <c r="BI211" s="683">
        <f t="shared" si="113"/>
        <v>0</v>
      </c>
      <c r="BJ211" s="641" t="e">
        <f t="shared" si="114"/>
        <v>#N/A</v>
      </c>
      <c r="BK211" s="641" t="e">
        <f t="shared" si="115"/>
        <v>#N/A</v>
      </c>
      <c r="BL211" s="641" t="e">
        <f t="shared" si="116"/>
        <v>#N/A</v>
      </c>
      <c r="BM211" s="684" t="e">
        <f t="shared" si="117"/>
        <v>#N/A</v>
      </c>
      <c r="BO211" s="682" t="e">
        <f>CONCATENATE(Z211," ",LOOKUP(D211,'f-travail'!A:A,'f-travail'!F:F))</f>
        <v>#N/A</v>
      </c>
      <c r="BP211" s="669" t="e">
        <f t="shared" si="104"/>
        <v>#N/A</v>
      </c>
    </row>
    <row r="212" spans="1:68">
      <c r="A212" s="636">
        <f t="shared" si="118"/>
        <v>211</v>
      </c>
      <c r="B212" s="637"/>
      <c r="C212" s="637"/>
      <c r="D212" s="652"/>
      <c r="E212" s="679" t="e">
        <f>LOOKUP(D212,'f-travail'!A:A,'f-travail'!B:B)</f>
        <v>#N/A</v>
      </c>
      <c r="F212" s="650"/>
      <c r="G212" s="650"/>
      <c r="H212" s="653"/>
      <c r="I212" s="653"/>
      <c r="J212" s="654"/>
      <c r="K212" s="650"/>
      <c r="L212" s="650"/>
      <c r="M212" s="650">
        <v>0</v>
      </c>
      <c r="N212" s="654"/>
      <c r="O212" s="654"/>
      <c r="P212" s="654"/>
      <c r="Q212" s="654"/>
      <c r="R212" s="676"/>
      <c r="S212" s="654"/>
      <c r="T212" s="675"/>
      <c r="U212" s="675"/>
      <c r="V212" s="670" t="e">
        <f>LOOKUP(D212,'f-travail'!A:A,'f-travail'!E:E)</f>
        <v>#N/A</v>
      </c>
      <c r="W212" s="670" t="e">
        <f>VLOOKUP(V212,جرقمإستدلالي,'f-travail'!$AD$4+1,FALSE)</f>
        <v>#N/A</v>
      </c>
      <c r="X212" s="671" t="e">
        <f t="shared" si="94"/>
        <v>#N/A</v>
      </c>
      <c r="Y212" s="671">
        <f>IF(G212="مدير ولائي",(HLOOKUP(I212,جدروظعليا,'f-travail'!$AT$3+1,FALSE)-3200),0)</f>
        <v>0</v>
      </c>
      <c r="Z212" s="672" t="str">
        <f t="shared" si="105"/>
        <v/>
      </c>
      <c r="AA212" s="671">
        <f t="shared" si="106"/>
        <v>0</v>
      </c>
      <c r="AB212" s="677" t="b">
        <f t="shared" si="95"/>
        <v>0</v>
      </c>
      <c r="AC212" s="678">
        <f t="shared" si="107"/>
        <v>0</v>
      </c>
      <c r="AD212" s="673"/>
      <c r="AE212" s="678">
        <f t="shared" si="96"/>
        <v>0</v>
      </c>
      <c r="AF212" s="678" t="e">
        <f t="shared" si="97"/>
        <v>#N/A</v>
      </c>
      <c r="AG212" s="678" t="e">
        <f t="shared" si="98"/>
        <v>#N/A</v>
      </c>
      <c r="AH212" s="673">
        <f t="shared" si="108"/>
        <v>0</v>
      </c>
      <c r="AI212" s="674" t="e">
        <f>IF(G212="مدير ولائي",(11000*35%),LOOKUP(D212,'f-travail'!A:A,'f-travail'!I:I))</f>
        <v>#N/A</v>
      </c>
      <c r="AJ212" s="673" t="e">
        <f>IF(G212="مدير ولائي",((W212+X212)*45)*80%,IF(V212&lt;8,0,IF(F212="إليزي",(LOOKUP(D212,'f-travail'!A:A,'f-travail'!O:O))*(AF212+AG212),LOOKUP(D212,'f-travail'!A:A,'f-travail'!P:P)*(AF212+AG212))))</f>
        <v>#N/A</v>
      </c>
      <c r="AK212" s="673" t="e">
        <f>IF(G212="مدير ولائي",0,LOOKUP(D212,'f-travail'!A:A,'f-travail'!Q:Q))</f>
        <v>#N/A</v>
      </c>
      <c r="AL212" s="673" t="e">
        <f>IF(G212="مدير ولائي",0,LOOKUP(D212,'f-travail'!A:A,'f-travail'!R:R)*(AF212+AG212))</f>
        <v>#N/A</v>
      </c>
      <c r="AM212" s="673" t="e">
        <f>IF(G212="مدير ولائي",0,LOOKUP(D212,'f-travail'!A:A,'f-travail'!S:S)*(AF212+AG212))</f>
        <v>#N/A</v>
      </c>
      <c r="AN212" s="673" t="e">
        <f>IF(G212="مدير ولائي",0,LOOKUP(D212,'f-travail'!A:A,'f-travail'!T:T)*(AF212+AG212))</f>
        <v>#N/A</v>
      </c>
      <c r="AO212" s="673" t="e">
        <f>IF(G212="مدير ولائي",0,LOOKUP(D212,'f-travail'!A:A,'f-travail'!U:U)*(AF212+AG212))</f>
        <v>#N/A</v>
      </c>
      <c r="AP212" s="673" t="e">
        <f>IF(G212="مدير ولائي",0,LOOKUP(D212,'f-travail'!A:A,'f-travail'!V:V)*(AF212+AG212))</f>
        <v>#N/A</v>
      </c>
      <c r="AQ212" s="673" t="e">
        <f>IF(G212="مدير ولائي",0,LOOKUP(D212,'f-travail'!A:A,'f-travail'!W:W)*(AF212+AG212))</f>
        <v>#N/A</v>
      </c>
      <c r="AR212" s="673">
        <f t="shared" si="109"/>
        <v>0</v>
      </c>
      <c r="AS212" s="673" t="e">
        <f>IF(G212="مدير ولائي",0,LOOKUP(D212,'f-travail'!A:A,'f-travail'!X:X)*(AF212+AG212))</f>
        <v>#N/A</v>
      </c>
      <c r="AT212" s="673" t="e">
        <f>IF(G212="مدير ولائي",0,LOOKUP(D212,'f-travail'!Y:Y,'f-travail'!R:R)*(AF212+AG212))</f>
        <v>#N/A</v>
      </c>
      <c r="AU212" s="673">
        <f t="shared" si="99"/>
        <v>0</v>
      </c>
      <c r="AV212" s="673">
        <f t="shared" si="100"/>
        <v>0</v>
      </c>
      <c r="AW212" s="673">
        <f t="shared" si="101"/>
        <v>0</v>
      </c>
      <c r="AY212" s="640" t="e">
        <f t="shared" si="110"/>
        <v>#N/A</v>
      </c>
      <c r="AZ212" s="673" t="e">
        <f t="shared" si="102"/>
        <v>#N/A</v>
      </c>
      <c r="BA212" s="639" t="e">
        <f t="shared" si="103"/>
        <v>#N/A</v>
      </c>
      <c r="BG212" s="639">
        <f t="shared" si="111"/>
        <v>0</v>
      </c>
      <c r="BH212" s="683">
        <f t="shared" si="112"/>
        <v>0</v>
      </c>
      <c r="BI212" s="683">
        <f t="shared" si="113"/>
        <v>0</v>
      </c>
      <c r="BJ212" s="641" t="e">
        <f t="shared" si="114"/>
        <v>#N/A</v>
      </c>
      <c r="BK212" s="641" t="e">
        <f t="shared" si="115"/>
        <v>#N/A</v>
      </c>
      <c r="BL212" s="641" t="e">
        <f t="shared" si="116"/>
        <v>#N/A</v>
      </c>
      <c r="BM212" s="684" t="e">
        <f t="shared" si="117"/>
        <v>#N/A</v>
      </c>
      <c r="BO212" s="682" t="e">
        <f>CONCATENATE(Z212," ",LOOKUP(D212,'f-travail'!A:A,'f-travail'!F:F))</f>
        <v>#N/A</v>
      </c>
      <c r="BP212" s="669" t="e">
        <f t="shared" si="104"/>
        <v>#N/A</v>
      </c>
    </row>
    <row r="213" spans="1:68">
      <c r="A213" s="636">
        <f t="shared" si="118"/>
        <v>212</v>
      </c>
      <c r="B213" s="637"/>
      <c r="C213" s="637"/>
      <c r="D213" s="652"/>
      <c r="E213" s="679" t="e">
        <f>LOOKUP(D213,'f-travail'!A:A,'f-travail'!B:B)</f>
        <v>#N/A</v>
      </c>
      <c r="F213" s="650"/>
      <c r="G213" s="650"/>
      <c r="H213" s="653"/>
      <c r="I213" s="653"/>
      <c r="J213" s="654"/>
      <c r="K213" s="650"/>
      <c r="L213" s="650"/>
      <c r="M213" s="650">
        <v>0</v>
      </c>
      <c r="N213" s="654"/>
      <c r="O213" s="654"/>
      <c r="P213" s="654"/>
      <c r="Q213" s="654"/>
      <c r="R213" s="676"/>
      <c r="S213" s="654"/>
      <c r="T213" s="675"/>
      <c r="U213" s="675"/>
      <c r="V213" s="670" t="e">
        <f>LOOKUP(D213,'f-travail'!A:A,'f-travail'!E:E)</f>
        <v>#N/A</v>
      </c>
      <c r="W213" s="670" t="e">
        <f>VLOOKUP(V213,جرقمإستدلالي,'f-travail'!$AD$4+1,FALSE)</f>
        <v>#N/A</v>
      </c>
      <c r="X213" s="671" t="e">
        <f t="shared" si="94"/>
        <v>#N/A</v>
      </c>
      <c r="Y213" s="671">
        <f>IF(G213="مدير ولائي",(HLOOKUP(I213,جدروظعليا,'f-travail'!$AT$3+1,FALSE)-3200),0)</f>
        <v>0</v>
      </c>
      <c r="Z213" s="672" t="str">
        <f t="shared" si="105"/>
        <v/>
      </c>
      <c r="AA213" s="671">
        <f t="shared" si="106"/>
        <v>0</v>
      </c>
      <c r="AB213" s="677" t="b">
        <f t="shared" si="95"/>
        <v>0</v>
      </c>
      <c r="AC213" s="678">
        <f t="shared" si="107"/>
        <v>0</v>
      </c>
      <c r="AD213" s="673"/>
      <c r="AE213" s="678">
        <f t="shared" si="96"/>
        <v>0</v>
      </c>
      <c r="AF213" s="678" t="e">
        <f t="shared" si="97"/>
        <v>#N/A</v>
      </c>
      <c r="AG213" s="678" t="e">
        <f t="shared" si="98"/>
        <v>#N/A</v>
      </c>
      <c r="AH213" s="673">
        <f t="shared" si="108"/>
        <v>0</v>
      </c>
      <c r="AI213" s="674" t="e">
        <f>IF(G213="مدير ولائي",(11000*35%),LOOKUP(D213,'f-travail'!A:A,'f-travail'!I:I))</f>
        <v>#N/A</v>
      </c>
      <c r="AJ213" s="673" t="e">
        <f>IF(G213="مدير ولائي",((W213+X213)*45)*80%,IF(V213&lt;8,0,IF(F213="إليزي",(LOOKUP(D213,'f-travail'!A:A,'f-travail'!O:O))*(AF213+AG213),LOOKUP(D213,'f-travail'!A:A,'f-travail'!P:P)*(AF213+AG213))))</f>
        <v>#N/A</v>
      </c>
      <c r="AK213" s="673" t="e">
        <f>IF(G213="مدير ولائي",0,LOOKUP(D213,'f-travail'!A:A,'f-travail'!Q:Q))</f>
        <v>#N/A</v>
      </c>
      <c r="AL213" s="673" t="e">
        <f>IF(G213="مدير ولائي",0,LOOKUP(D213,'f-travail'!A:A,'f-travail'!R:R)*(AF213+AG213))</f>
        <v>#N/A</v>
      </c>
      <c r="AM213" s="673" t="e">
        <f>IF(G213="مدير ولائي",0,LOOKUP(D213,'f-travail'!A:A,'f-travail'!S:S)*(AF213+AG213))</f>
        <v>#N/A</v>
      </c>
      <c r="AN213" s="673" t="e">
        <f>IF(G213="مدير ولائي",0,LOOKUP(D213,'f-travail'!A:A,'f-travail'!T:T)*(AF213+AG213))</f>
        <v>#N/A</v>
      </c>
      <c r="AO213" s="673" t="e">
        <f>IF(G213="مدير ولائي",0,LOOKUP(D213,'f-travail'!A:A,'f-travail'!U:U)*(AF213+AG213))</f>
        <v>#N/A</v>
      </c>
      <c r="AP213" s="673" t="e">
        <f>IF(G213="مدير ولائي",0,LOOKUP(D213,'f-travail'!A:A,'f-travail'!V:V)*(AF213+AG213))</f>
        <v>#N/A</v>
      </c>
      <c r="AQ213" s="673" t="e">
        <f>IF(G213="مدير ولائي",0,LOOKUP(D213,'f-travail'!A:A,'f-travail'!W:W)*(AF213+AG213))</f>
        <v>#N/A</v>
      </c>
      <c r="AR213" s="673">
        <f t="shared" si="109"/>
        <v>0</v>
      </c>
      <c r="AS213" s="673" t="e">
        <f>IF(G213="مدير ولائي",0,LOOKUP(D213,'f-travail'!A:A,'f-travail'!X:X)*(AF213+AG213))</f>
        <v>#N/A</v>
      </c>
      <c r="AT213" s="673" t="e">
        <f>IF(G213="مدير ولائي",0,LOOKUP(D213,'f-travail'!Y:Y,'f-travail'!R:R)*(AF213+AG213))</f>
        <v>#N/A</v>
      </c>
      <c r="AU213" s="673">
        <f t="shared" si="99"/>
        <v>0</v>
      </c>
      <c r="AV213" s="673">
        <f t="shared" si="100"/>
        <v>0</v>
      </c>
      <c r="AW213" s="673">
        <f t="shared" si="101"/>
        <v>0</v>
      </c>
      <c r="AY213" s="640" t="e">
        <f t="shared" si="110"/>
        <v>#N/A</v>
      </c>
      <c r="AZ213" s="673" t="e">
        <f t="shared" si="102"/>
        <v>#N/A</v>
      </c>
      <c r="BA213" s="639" t="e">
        <f t="shared" si="103"/>
        <v>#N/A</v>
      </c>
      <c r="BG213" s="639">
        <f t="shared" si="111"/>
        <v>0</v>
      </c>
      <c r="BH213" s="683">
        <f t="shared" si="112"/>
        <v>0</v>
      </c>
      <c r="BI213" s="683">
        <f t="shared" si="113"/>
        <v>0</v>
      </c>
      <c r="BJ213" s="641" t="e">
        <f t="shared" si="114"/>
        <v>#N/A</v>
      </c>
      <c r="BK213" s="641" t="e">
        <f t="shared" si="115"/>
        <v>#N/A</v>
      </c>
      <c r="BL213" s="641" t="e">
        <f t="shared" si="116"/>
        <v>#N/A</v>
      </c>
      <c r="BM213" s="684" t="e">
        <f t="shared" si="117"/>
        <v>#N/A</v>
      </c>
      <c r="BO213" s="682" t="e">
        <f>CONCATENATE(Z213," ",LOOKUP(D213,'f-travail'!A:A,'f-travail'!F:F))</f>
        <v>#N/A</v>
      </c>
      <c r="BP213" s="669" t="e">
        <f t="shared" si="104"/>
        <v>#N/A</v>
      </c>
    </row>
    <row r="214" spans="1:68">
      <c r="A214" s="636">
        <f t="shared" si="118"/>
        <v>213</v>
      </c>
      <c r="B214" s="637"/>
      <c r="C214" s="637"/>
      <c r="D214" s="652"/>
      <c r="E214" s="679" t="e">
        <f>LOOKUP(D214,'f-travail'!A:A,'f-travail'!B:B)</f>
        <v>#N/A</v>
      </c>
      <c r="F214" s="650"/>
      <c r="G214" s="650"/>
      <c r="H214" s="653"/>
      <c r="I214" s="653"/>
      <c r="J214" s="654"/>
      <c r="K214" s="650"/>
      <c r="L214" s="650"/>
      <c r="M214" s="650">
        <v>0</v>
      </c>
      <c r="N214" s="654"/>
      <c r="O214" s="654"/>
      <c r="P214" s="654"/>
      <c r="Q214" s="654"/>
      <c r="R214" s="676"/>
      <c r="S214" s="654"/>
      <c r="T214" s="675"/>
      <c r="U214" s="675"/>
      <c r="V214" s="670" t="e">
        <f>LOOKUP(D214,'f-travail'!A:A,'f-travail'!E:E)</f>
        <v>#N/A</v>
      </c>
      <c r="W214" s="670" t="e">
        <f>VLOOKUP(V214,جرقمإستدلالي,'f-travail'!$AD$4+1,FALSE)</f>
        <v>#N/A</v>
      </c>
      <c r="X214" s="671" t="e">
        <f t="shared" si="94"/>
        <v>#N/A</v>
      </c>
      <c r="Y214" s="671">
        <f>IF(G214="مدير ولائي",(HLOOKUP(I214,جدروظعليا,'f-travail'!$AT$3+1,FALSE)-3200),0)</f>
        <v>0</v>
      </c>
      <c r="Z214" s="672" t="str">
        <f t="shared" si="105"/>
        <v/>
      </c>
      <c r="AA214" s="671">
        <f t="shared" si="106"/>
        <v>0</v>
      </c>
      <c r="AB214" s="677" t="b">
        <f t="shared" si="95"/>
        <v>0</v>
      </c>
      <c r="AC214" s="678">
        <f t="shared" si="107"/>
        <v>0</v>
      </c>
      <c r="AD214" s="673"/>
      <c r="AE214" s="678">
        <f t="shared" si="96"/>
        <v>0</v>
      </c>
      <c r="AF214" s="678" t="e">
        <f t="shared" si="97"/>
        <v>#N/A</v>
      </c>
      <c r="AG214" s="678" t="e">
        <f t="shared" si="98"/>
        <v>#N/A</v>
      </c>
      <c r="AH214" s="673">
        <f t="shared" si="108"/>
        <v>0</v>
      </c>
      <c r="AI214" s="674" t="e">
        <f>IF(G214="مدير ولائي",(11000*35%),LOOKUP(D214,'f-travail'!A:A,'f-travail'!I:I))</f>
        <v>#N/A</v>
      </c>
      <c r="AJ214" s="673" t="e">
        <f>IF(G214="مدير ولائي",((W214+X214)*45)*80%,IF(V214&lt;8,0,IF(F214="إليزي",(LOOKUP(D214,'f-travail'!A:A,'f-travail'!O:O))*(AF214+AG214),LOOKUP(D214,'f-travail'!A:A,'f-travail'!P:P)*(AF214+AG214))))</f>
        <v>#N/A</v>
      </c>
      <c r="AK214" s="673" t="e">
        <f>IF(G214="مدير ولائي",0,LOOKUP(D214,'f-travail'!A:A,'f-travail'!Q:Q))</f>
        <v>#N/A</v>
      </c>
      <c r="AL214" s="673" t="e">
        <f>IF(G214="مدير ولائي",0,LOOKUP(D214,'f-travail'!A:A,'f-travail'!R:R)*(AF214+AG214))</f>
        <v>#N/A</v>
      </c>
      <c r="AM214" s="673" t="e">
        <f>IF(G214="مدير ولائي",0,LOOKUP(D214,'f-travail'!A:A,'f-travail'!S:S)*(AF214+AG214))</f>
        <v>#N/A</v>
      </c>
      <c r="AN214" s="673" t="e">
        <f>IF(G214="مدير ولائي",0,LOOKUP(D214,'f-travail'!A:A,'f-travail'!T:T)*(AF214+AG214))</f>
        <v>#N/A</v>
      </c>
      <c r="AO214" s="673" t="e">
        <f>IF(G214="مدير ولائي",0,LOOKUP(D214,'f-travail'!A:A,'f-travail'!U:U)*(AF214+AG214))</f>
        <v>#N/A</v>
      </c>
      <c r="AP214" s="673" t="e">
        <f>IF(G214="مدير ولائي",0,LOOKUP(D214,'f-travail'!A:A,'f-travail'!V:V)*(AF214+AG214))</f>
        <v>#N/A</v>
      </c>
      <c r="AQ214" s="673" t="e">
        <f>IF(G214="مدير ولائي",0,LOOKUP(D214,'f-travail'!A:A,'f-travail'!W:W)*(AF214+AG214))</f>
        <v>#N/A</v>
      </c>
      <c r="AR214" s="673">
        <f t="shared" si="109"/>
        <v>0</v>
      </c>
      <c r="AS214" s="673" t="e">
        <f>IF(G214="مدير ولائي",0,LOOKUP(D214,'f-travail'!A:A,'f-travail'!X:X)*(AF214+AG214))</f>
        <v>#N/A</v>
      </c>
      <c r="AT214" s="673" t="e">
        <f>IF(G214="مدير ولائي",0,LOOKUP(D214,'f-travail'!Y:Y,'f-travail'!R:R)*(AF214+AG214))</f>
        <v>#N/A</v>
      </c>
      <c r="AU214" s="673">
        <f t="shared" si="99"/>
        <v>0</v>
      </c>
      <c r="AV214" s="673">
        <f t="shared" si="100"/>
        <v>0</v>
      </c>
      <c r="AW214" s="673">
        <f t="shared" si="101"/>
        <v>0</v>
      </c>
      <c r="AY214" s="640" t="e">
        <f t="shared" si="110"/>
        <v>#N/A</v>
      </c>
      <c r="AZ214" s="673" t="e">
        <f t="shared" si="102"/>
        <v>#N/A</v>
      </c>
      <c r="BA214" s="639" t="e">
        <f t="shared" si="103"/>
        <v>#N/A</v>
      </c>
      <c r="BG214" s="639">
        <f t="shared" si="111"/>
        <v>0</v>
      </c>
      <c r="BH214" s="683">
        <f t="shared" si="112"/>
        <v>0</v>
      </c>
      <c r="BI214" s="683">
        <f t="shared" si="113"/>
        <v>0</v>
      </c>
      <c r="BJ214" s="641" t="e">
        <f t="shared" si="114"/>
        <v>#N/A</v>
      </c>
      <c r="BK214" s="641" t="e">
        <f t="shared" si="115"/>
        <v>#N/A</v>
      </c>
      <c r="BL214" s="641" t="e">
        <f t="shared" si="116"/>
        <v>#N/A</v>
      </c>
      <c r="BM214" s="684" t="e">
        <f t="shared" si="117"/>
        <v>#N/A</v>
      </c>
      <c r="BO214" s="682" t="e">
        <f>CONCATENATE(Z214," ",LOOKUP(D214,'f-travail'!A:A,'f-travail'!F:F))</f>
        <v>#N/A</v>
      </c>
      <c r="BP214" s="669" t="e">
        <f t="shared" si="104"/>
        <v>#N/A</v>
      </c>
    </row>
    <row r="215" spans="1:68">
      <c r="A215" s="636">
        <f t="shared" si="118"/>
        <v>214</v>
      </c>
      <c r="B215" s="637"/>
      <c r="C215" s="637"/>
      <c r="D215" s="652"/>
      <c r="E215" s="679" t="e">
        <f>LOOKUP(D215,'f-travail'!A:A,'f-travail'!B:B)</f>
        <v>#N/A</v>
      </c>
      <c r="F215" s="650"/>
      <c r="G215" s="650"/>
      <c r="H215" s="653"/>
      <c r="I215" s="653"/>
      <c r="J215" s="654"/>
      <c r="K215" s="650"/>
      <c r="L215" s="650"/>
      <c r="M215" s="650">
        <v>0</v>
      </c>
      <c r="N215" s="654"/>
      <c r="O215" s="654"/>
      <c r="P215" s="654"/>
      <c r="Q215" s="654"/>
      <c r="R215" s="676"/>
      <c r="S215" s="654"/>
      <c r="T215" s="675"/>
      <c r="U215" s="675"/>
      <c r="V215" s="670" t="e">
        <f>LOOKUP(D215,'f-travail'!A:A,'f-travail'!E:E)</f>
        <v>#N/A</v>
      </c>
      <c r="W215" s="670" t="e">
        <f>VLOOKUP(V215,جرقمإستدلالي,'f-travail'!$AD$4+1,FALSE)</f>
        <v>#N/A</v>
      </c>
      <c r="X215" s="671" t="e">
        <f t="shared" si="94"/>
        <v>#N/A</v>
      </c>
      <c r="Y215" s="671">
        <f>IF(G215="مدير ولائي",(HLOOKUP(I215,جدروظعليا,'f-travail'!$AT$3+1,FALSE)-3200),0)</f>
        <v>0</v>
      </c>
      <c r="Z215" s="672" t="str">
        <f t="shared" si="105"/>
        <v/>
      </c>
      <c r="AA215" s="671">
        <f t="shared" si="106"/>
        <v>0</v>
      </c>
      <c r="AB215" s="677" t="b">
        <f t="shared" si="95"/>
        <v>0</v>
      </c>
      <c r="AC215" s="678">
        <f t="shared" si="107"/>
        <v>0</v>
      </c>
      <c r="AD215" s="673"/>
      <c r="AE215" s="678">
        <f t="shared" si="96"/>
        <v>0</v>
      </c>
      <c r="AF215" s="678" t="e">
        <f t="shared" si="97"/>
        <v>#N/A</v>
      </c>
      <c r="AG215" s="678" t="e">
        <f t="shared" si="98"/>
        <v>#N/A</v>
      </c>
      <c r="AH215" s="673">
        <f t="shared" si="108"/>
        <v>0</v>
      </c>
      <c r="AI215" s="674" t="e">
        <f>IF(G215="مدير ولائي",(11000*35%),LOOKUP(D215,'f-travail'!A:A,'f-travail'!I:I))</f>
        <v>#N/A</v>
      </c>
      <c r="AJ215" s="673" t="e">
        <f>IF(G215="مدير ولائي",((W215+X215)*45)*80%,IF(V215&lt;8,0,IF(F215="إليزي",(LOOKUP(D215,'f-travail'!A:A,'f-travail'!O:O))*(AF215+AG215),LOOKUP(D215,'f-travail'!A:A,'f-travail'!P:P)*(AF215+AG215))))</f>
        <v>#N/A</v>
      </c>
      <c r="AK215" s="673" t="e">
        <f>IF(G215="مدير ولائي",0,LOOKUP(D215,'f-travail'!A:A,'f-travail'!Q:Q))</f>
        <v>#N/A</v>
      </c>
      <c r="AL215" s="673" t="e">
        <f>IF(G215="مدير ولائي",0,LOOKUP(D215,'f-travail'!A:A,'f-travail'!R:R)*(AF215+AG215))</f>
        <v>#N/A</v>
      </c>
      <c r="AM215" s="673" t="e">
        <f>IF(G215="مدير ولائي",0,LOOKUP(D215,'f-travail'!A:A,'f-travail'!S:S)*(AF215+AG215))</f>
        <v>#N/A</v>
      </c>
      <c r="AN215" s="673" t="e">
        <f>IF(G215="مدير ولائي",0,LOOKUP(D215,'f-travail'!A:A,'f-travail'!T:T)*(AF215+AG215))</f>
        <v>#N/A</v>
      </c>
      <c r="AO215" s="673" t="e">
        <f>IF(G215="مدير ولائي",0,LOOKUP(D215,'f-travail'!A:A,'f-travail'!U:U)*(AF215+AG215))</f>
        <v>#N/A</v>
      </c>
      <c r="AP215" s="673" t="e">
        <f>IF(G215="مدير ولائي",0,LOOKUP(D215,'f-travail'!A:A,'f-travail'!V:V)*(AF215+AG215))</f>
        <v>#N/A</v>
      </c>
      <c r="AQ215" s="673" t="e">
        <f>IF(G215="مدير ولائي",0,LOOKUP(D215,'f-travail'!A:A,'f-travail'!W:W)*(AF215+AG215))</f>
        <v>#N/A</v>
      </c>
      <c r="AR215" s="673">
        <f t="shared" si="109"/>
        <v>0</v>
      </c>
      <c r="AS215" s="673" t="e">
        <f>IF(G215="مدير ولائي",0,LOOKUP(D215,'f-travail'!A:A,'f-travail'!X:X)*(AF215+AG215))</f>
        <v>#N/A</v>
      </c>
      <c r="AT215" s="673" t="e">
        <f>IF(G215="مدير ولائي",0,LOOKUP(D215,'f-travail'!Y:Y,'f-travail'!R:R)*(AF215+AG215))</f>
        <v>#N/A</v>
      </c>
      <c r="AU215" s="673">
        <f t="shared" si="99"/>
        <v>0</v>
      </c>
      <c r="AV215" s="673">
        <f t="shared" si="100"/>
        <v>0</v>
      </c>
      <c r="AW215" s="673">
        <f t="shared" si="101"/>
        <v>0</v>
      </c>
      <c r="AY215" s="640" t="e">
        <f t="shared" si="110"/>
        <v>#N/A</v>
      </c>
      <c r="AZ215" s="673" t="e">
        <f t="shared" si="102"/>
        <v>#N/A</v>
      </c>
      <c r="BA215" s="639" t="e">
        <f t="shared" si="103"/>
        <v>#N/A</v>
      </c>
      <c r="BG215" s="639">
        <f t="shared" si="111"/>
        <v>0</v>
      </c>
      <c r="BH215" s="683">
        <f t="shared" si="112"/>
        <v>0</v>
      </c>
      <c r="BI215" s="683">
        <f t="shared" si="113"/>
        <v>0</v>
      </c>
      <c r="BJ215" s="641" t="e">
        <f t="shared" si="114"/>
        <v>#N/A</v>
      </c>
      <c r="BK215" s="641" t="e">
        <f t="shared" si="115"/>
        <v>#N/A</v>
      </c>
      <c r="BL215" s="641" t="e">
        <f t="shared" si="116"/>
        <v>#N/A</v>
      </c>
      <c r="BM215" s="684" t="e">
        <f t="shared" si="117"/>
        <v>#N/A</v>
      </c>
      <c r="BO215" s="682" t="e">
        <f>CONCATENATE(Z215," ",LOOKUP(D215,'f-travail'!A:A,'f-travail'!F:F))</f>
        <v>#N/A</v>
      </c>
      <c r="BP215" s="669" t="e">
        <f t="shared" si="104"/>
        <v>#N/A</v>
      </c>
    </row>
    <row r="216" spans="1:68">
      <c r="A216" s="636">
        <f t="shared" si="118"/>
        <v>215</v>
      </c>
      <c r="B216" s="637"/>
      <c r="C216" s="637"/>
      <c r="D216" s="652"/>
      <c r="E216" s="679" t="e">
        <f>LOOKUP(D216,'f-travail'!A:A,'f-travail'!B:B)</f>
        <v>#N/A</v>
      </c>
      <c r="F216" s="650"/>
      <c r="G216" s="650"/>
      <c r="H216" s="653"/>
      <c r="I216" s="653"/>
      <c r="J216" s="654"/>
      <c r="K216" s="650"/>
      <c r="L216" s="650"/>
      <c r="M216" s="650">
        <v>0</v>
      </c>
      <c r="N216" s="654"/>
      <c r="O216" s="654"/>
      <c r="P216" s="654"/>
      <c r="Q216" s="654"/>
      <c r="R216" s="676"/>
      <c r="S216" s="654"/>
      <c r="T216" s="675"/>
      <c r="U216" s="675"/>
      <c r="V216" s="670" t="e">
        <f>LOOKUP(D216,'f-travail'!A:A,'f-travail'!E:E)</f>
        <v>#N/A</v>
      </c>
      <c r="W216" s="670" t="e">
        <f>VLOOKUP(V216,جرقمإستدلالي,'f-travail'!$AD$4+1,FALSE)</f>
        <v>#N/A</v>
      </c>
      <c r="X216" s="671" t="e">
        <f t="shared" si="94"/>
        <v>#N/A</v>
      </c>
      <c r="Y216" s="671">
        <f>IF(G216="مدير ولائي",(HLOOKUP(I216,جدروظعليا,'f-travail'!$AT$3+1,FALSE)-3200),0)</f>
        <v>0</v>
      </c>
      <c r="Z216" s="672" t="str">
        <f t="shared" si="105"/>
        <v/>
      </c>
      <c r="AA216" s="671">
        <f t="shared" si="106"/>
        <v>0</v>
      </c>
      <c r="AB216" s="677" t="b">
        <f t="shared" si="95"/>
        <v>0</v>
      </c>
      <c r="AC216" s="678">
        <f t="shared" si="107"/>
        <v>0</v>
      </c>
      <c r="AD216" s="673"/>
      <c r="AE216" s="678">
        <f t="shared" si="96"/>
        <v>0</v>
      </c>
      <c r="AF216" s="678" t="e">
        <f t="shared" si="97"/>
        <v>#N/A</v>
      </c>
      <c r="AG216" s="678" t="e">
        <f t="shared" si="98"/>
        <v>#N/A</v>
      </c>
      <c r="AH216" s="673">
        <f t="shared" si="108"/>
        <v>0</v>
      </c>
      <c r="AI216" s="674" t="e">
        <f>IF(G216="مدير ولائي",(11000*35%),LOOKUP(D216,'f-travail'!A:A,'f-travail'!I:I))</f>
        <v>#N/A</v>
      </c>
      <c r="AJ216" s="673" t="e">
        <f>IF(G216="مدير ولائي",((W216+X216)*45)*80%,IF(V216&lt;8,0,IF(F216="إليزي",(LOOKUP(D216,'f-travail'!A:A,'f-travail'!O:O))*(AF216+AG216),LOOKUP(D216,'f-travail'!A:A,'f-travail'!P:P)*(AF216+AG216))))</f>
        <v>#N/A</v>
      </c>
      <c r="AK216" s="673" t="e">
        <f>IF(G216="مدير ولائي",0,LOOKUP(D216,'f-travail'!A:A,'f-travail'!Q:Q))</f>
        <v>#N/A</v>
      </c>
      <c r="AL216" s="673" t="e">
        <f>IF(G216="مدير ولائي",0,LOOKUP(D216,'f-travail'!A:A,'f-travail'!R:R)*(AF216+AG216))</f>
        <v>#N/A</v>
      </c>
      <c r="AM216" s="673" t="e">
        <f>IF(G216="مدير ولائي",0,LOOKUP(D216,'f-travail'!A:A,'f-travail'!S:S)*(AF216+AG216))</f>
        <v>#N/A</v>
      </c>
      <c r="AN216" s="673" t="e">
        <f>IF(G216="مدير ولائي",0,LOOKUP(D216,'f-travail'!A:A,'f-travail'!T:T)*(AF216+AG216))</f>
        <v>#N/A</v>
      </c>
      <c r="AO216" s="673" t="e">
        <f>IF(G216="مدير ولائي",0,LOOKUP(D216,'f-travail'!A:A,'f-travail'!U:U)*(AF216+AG216))</f>
        <v>#N/A</v>
      </c>
      <c r="AP216" s="673" t="e">
        <f>IF(G216="مدير ولائي",0,LOOKUP(D216,'f-travail'!A:A,'f-travail'!V:V)*(AF216+AG216))</f>
        <v>#N/A</v>
      </c>
      <c r="AQ216" s="673" t="e">
        <f>IF(G216="مدير ولائي",0,LOOKUP(D216,'f-travail'!A:A,'f-travail'!W:W)*(AF216+AG216))</f>
        <v>#N/A</v>
      </c>
      <c r="AR216" s="673">
        <f t="shared" si="109"/>
        <v>0</v>
      </c>
      <c r="AS216" s="673" t="e">
        <f>IF(G216="مدير ولائي",0,LOOKUP(D216,'f-travail'!A:A,'f-travail'!X:X)*(AF216+AG216))</f>
        <v>#N/A</v>
      </c>
      <c r="AT216" s="673" t="e">
        <f>IF(G216="مدير ولائي",0,LOOKUP(D216,'f-travail'!Y:Y,'f-travail'!R:R)*(AF216+AG216))</f>
        <v>#N/A</v>
      </c>
      <c r="AU216" s="673">
        <f t="shared" si="99"/>
        <v>0</v>
      </c>
      <c r="AV216" s="673">
        <f t="shared" si="100"/>
        <v>0</v>
      </c>
      <c r="AW216" s="673">
        <f t="shared" si="101"/>
        <v>0</v>
      </c>
      <c r="AY216" s="640" t="e">
        <f t="shared" si="110"/>
        <v>#N/A</v>
      </c>
      <c r="AZ216" s="673" t="e">
        <f t="shared" si="102"/>
        <v>#N/A</v>
      </c>
      <c r="BA216" s="639" t="e">
        <f t="shared" si="103"/>
        <v>#N/A</v>
      </c>
      <c r="BG216" s="639">
        <f t="shared" si="111"/>
        <v>0</v>
      </c>
      <c r="BH216" s="683">
        <f t="shared" si="112"/>
        <v>0</v>
      </c>
      <c r="BI216" s="683">
        <f t="shared" si="113"/>
        <v>0</v>
      </c>
      <c r="BJ216" s="641" t="e">
        <f t="shared" si="114"/>
        <v>#N/A</v>
      </c>
      <c r="BK216" s="641" t="e">
        <f t="shared" si="115"/>
        <v>#N/A</v>
      </c>
      <c r="BL216" s="641" t="e">
        <f t="shared" si="116"/>
        <v>#N/A</v>
      </c>
      <c r="BM216" s="684" t="e">
        <f t="shared" si="117"/>
        <v>#N/A</v>
      </c>
      <c r="BO216" s="682" t="e">
        <f>CONCATENATE(Z216," ",LOOKUP(D216,'f-travail'!A:A,'f-travail'!F:F))</f>
        <v>#N/A</v>
      </c>
      <c r="BP216" s="669" t="e">
        <f t="shared" si="104"/>
        <v>#N/A</v>
      </c>
    </row>
    <row r="217" spans="1:68">
      <c r="A217" s="636">
        <f t="shared" si="118"/>
        <v>216</v>
      </c>
      <c r="B217" s="637"/>
      <c r="C217" s="637"/>
      <c r="D217" s="652"/>
      <c r="E217" s="679" t="e">
        <f>LOOKUP(D217,'f-travail'!A:A,'f-travail'!B:B)</f>
        <v>#N/A</v>
      </c>
      <c r="F217" s="650"/>
      <c r="G217" s="650"/>
      <c r="H217" s="653"/>
      <c r="I217" s="653"/>
      <c r="J217" s="654"/>
      <c r="K217" s="650"/>
      <c r="L217" s="650"/>
      <c r="M217" s="650">
        <v>0</v>
      </c>
      <c r="N217" s="654"/>
      <c r="O217" s="654"/>
      <c r="P217" s="654"/>
      <c r="Q217" s="654"/>
      <c r="R217" s="676"/>
      <c r="S217" s="654"/>
      <c r="T217" s="675"/>
      <c r="U217" s="675"/>
      <c r="V217" s="670" t="e">
        <f>LOOKUP(D217,'f-travail'!A:A,'f-travail'!E:E)</f>
        <v>#N/A</v>
      </c>
      <c r="W217" s="670" t="e">
        <f>VLOOKUP(V217,جرقمإستدلالي,'f-travail'!$AD$4+1,FALSE)</f>
        <v>#N/A</v>
      </c>
      <c r="X217" s="671" t="e">
        <f t="shared" si="94"/>
        <v>#N/A</v>
      </c>
      <c r="Y217" s="671">
        <f>IF(G217="مدير ولائي",(HLOOKUP(I217,جدروظعليا,'f-travail'!$AT$3+1,FALSE)-3200),0)</f>
        <v>0</v>
      </c>
      <c r="Z217" s="672" t="str">
        <f t="shared" si="105"/>
        <v/>
      </c>
      <c r="AA217" s="671">
        <f t="shared" si="106"/>
        <v>0</v>
      </c>
      <c r="AB217" s="677" t="b">
        <f t="shared" si="95"/>
        <v>0</v>
      </c>
      <c r="AC217" s="678">
        <f t="shared" si="107"/>
        <v>0</v>
      </c>
      <c r="AD217" s="673"/>
      <c r="AE217" s="678">
        <f t="shared" si="96"/>
        <v>0</v>
      </c>
      <c r="AF217" s="678" t="e">
        <f t="shared" si="97"/>
        <v>#N/A</v>
      </c>
      <c r="AG217" s="678" t="e">
        <f t="shared" si="98"/>
        <v>#N/A</v>
      </c>
      <c r="AH217" s="673">
        <f t="shared" si="108"/>
        <v>0</v>
      </c>
      <c r="AI217" s="674" t="e">
        <f>IF(G217="مدير ولائي",(11000*35%),LOOKUP(D217,'f-travail'!A:A,'f-travail'!I:I))</f>
        <v>#N/A</v>
      </c>
      <c r="AJ217" s="673" t="e">
        <f>IF(G217="مدير ولائي",((W217+X217)*45)*80%,IF(V217&lt;8,0,IF(F217="إليزي",(LOOKUP(D217,'f-travail'!A:A,'f-travail'!O:O))*(AF217+AG217),LOOKUP(D217,'f-travail'!A:A,'f-travail'!P:P)*(AF217+AG217))))</f>
        <v>#N/A</v>
      </c>
      <c r="AK217" s="673" t="e">
        <f>IF(G217="مدير ولائي",0,LOOKUP(D217,'f-travail'!A:A,'f-travail'!Q:Q))</f>
        <v>#N/A</v>
      </c>
      <c r="AL217" s="673" t="e">
        <f>IF(G217="مدير ولائي",0,LOOKUP(D217,'f-travail'!A:A,'f-travail'!R:R)*(AF217+AG217))</f>
        <v>#N/A</v>
      </c>
      <c r="AM217" s="673" t="e">
        <f>IF(G217="مدير ولائي",0,LOOKUP(D217,'f-travail'!A:A,'f-travail'!S:S)*(AF217+AG217))</f>
        <v>#N/A</v>
      </c>
      <c r="AN217" s="673" t="e">
        <f>IF(G217="مدير ولائي",0,LOOKUP(D217,'f-travail'!A:A,'f-travail'!T:T)*(AF217+AG217))</f>
        <v>#N/A</v>
      </c>
      <c r="AO217" s="673" t="e">
        <f>IF(G217="مدير ولائي",0,LOOKUP(D217,'f-travail'!A:A,'f-travail'!U:U)*(AF217+AG217))</f>
        <v>#N/A</v>
      </c>
      <c r="AP217" s="673" t="e">
        <f>IF(G217="مدير ولائي",0,LOOKUP(D217,'f-travail'!A:A,'f-travail'!V:V)*(AF217+AG217))</f>
        <v>#N/A</v>
      </c>
      <c r="AQ217" s="673" t="e">
        <f>IF(G217="مدير ولائي",0,LOOKUP(D217,'f-travail'!A:A,'f-travail'!W:W)*(AF217+AG217))</f>
        <v>#N/A</v>
      </c>
      <c r="AR217" s="673">
        <f t="shared" si="109"/>
        <v>0</v>
      </c>
      <c r="AS217" s="673" t="e">
        <f>IF(G217="مدير ولائي",0,LOOKUP(D217,'f-travail'!A:A,'f-travail'!X:X)*(AF217+AG217))</f>
        <v>#N/A</v>
      </c>
      <c r="AT217" s="673" t="e">
        <f>IF(G217="مدير ولائي",0,LOOKUP(D217,'f-travail'!Y:Y,'f-travail'!R:R)*(AF217+AG217))</f>
        <v>#N/A</v>
      </c>
      <c r="AU217" s="673">
        <f t="shared" si="99"/>
        <v>0</v>
      </c>
      <c r="AV217" s="673">
        <f t="shared" si="100"/>
        <v>0</v>
      </c>
      <c r="AW217" s="673">
        <f t="shared" si="101"/>
        <v>0</v>
      </c>
      <c r="AY217" s="640" t="e">
        <f t="shared" si="110"/>
        <v>#N/A</v>
      </c>
      <c r="AZ217" s="673" t="e">
        <f t="shared" si="102"/>
        <v>#N/A</v>
      </c>
      <c r="BA217" s="639" t="e">
        <f t="shared" si="103"/>
        <v>#N/A</v>
      </c>
      <c r="BG217" s="639">
        <f t="shared" si="111"/>
        <v>0</v>
      </c>
      <c r="BH217" s="683">
        <f t="shared" si="112"/>
        <v>0</v>
      </c>
      <c r="BI217" s="683">
        <f t="shared" si="113"/>
        <v>0</v>
      </c>
      <c r="BJ217" s="641" t="e">
        <f t="shared" si="114"/>
        <v>#N/A</v>
      </c>
      <c r="BK217" s="641" t="e">
        <f t="shared" si="115"/>
        <v>#N/A</v>
      </c>
      <c r="BL217" s="641" t="e">
        <f t="shared" si="116"/>
        <v>#N/A</v>
      </c>
      <c r="BM217" s="684" t="e">
        <f t="shared" si="117"/>
        <v>#N/A</v>
      </c>
      <c r="BO217" s="682" t="e">
        <f>CONCATENATE(Z217," ",LOOKUP(D217,'f-travail'!A:A,'f-travail'!F:F))</f>
        <v>#N/A</v>
      </c>
      <c r="BP217" s="669" t="e">
        <f t="shared" si="104"/>
        <v>#N/A</v>
      </c>
    </row>
    <row r="218" spans="1:68">
      <c r="A218" s="636">
        <f t="shared" si="118"/>
        <v>217</v>
      </c>
      <c r="B218" s="637"/>
      <c r="C218" s="637"/>
      <c r="D218" s="652"/>
      <c r="E218" s="679" t="e">
        <f>LOOKUP(D218,'f-travail'!A:A,'f-travail'!B:B)</f>
        <v>#N/A</v>
      </c>
      <c r="F218" s="650"/>
      <c r="G218" s="650"/>
      <c r="H218" s="653"/>
      <c r="I218" s="653"/>
      <c r="J218" s="654"/>
      <c r="K218" s="650"/>
      <c r="L218" s="650"/>
      <c r="M218" s="650">
        <v>0</v>
      </c>
      <c r="N218" s="654"/>
      <c r="O218" s="654"/>
      <c r="P218" s="654"/>
      <c r="Q218" s="654"/>
      <c r="R218" s="676"/>
      <c r="S218" s="654"/>
      <c r="T218" s="675"/>
      <c r="U218" s="675"/>
      <c r="V218" s="670" t="e">
        <f>LOOKUP(D218,'f-travail'!A:A,'f-travail'!E:E)</f>
        <v>#N/A</v>
      </c>
      <c r="W218" s="670" t="e">
        <f>VLOOKUP(V218,جرقمإستدلالي,'f-travail'!$AD$4+1,FALSE)</f>
        <v>#N/A</v>
      </c>
      <c r="X218" s="671" t="e">
        <f t="shared" si="94"/>
        <v>#N/A</v>
      </c>
      <c r="Y218" s="671">
        <f>IF(G218="مدير ولائي",(HLOOKUP(I218,جدروظعليا,'f-travail'!$AT$3+1,FALSE)-3200),0)</f>
        <v>0</v>
      </c>
      <c r="Z218" s="672" t="str">
        <f t="shared" si="105"/>
        <v/>
      </c>
      <c r="AA218" s="671">
        <f t="shared" si="106"/>
        <v>0</v>
      </c>
      <c r="AB218" s="677" t="b">
        <f t="shared" si="95"/>
        <v>0</v>
      </c>
      <c r="AC218" s="678">
        <f t="shared" si="107"/>
        <v>0</v>
      </c>
      <c r="AD218" s="673"/>
      <c r="AE218" s="678">
        <f t="shared" si="96"/>
        <v>0</v>
      </c>
      <c r="AF218" s="678" t="e">
        <f t="shared" si="97"/>
        <v>#N/A</v>
      </c>
      <c r="AG218" s="678" t="e">
        <f t="shared" si="98"/>
        <v>#N/A</v>
      </c>
      <c r="AH218" s="673">
        <f t="shared" si="108"/>
        <v>0</v>
      </c>
      <c r="AI218" s="674" t="e">
        <f>IF(G218="مدير ولائي",(11000*35%),LOOKUP(D218,'f-travail'!A:A,'f-travail'!I:I))</f>
        <v>#N/A</v>
      </c>
      <c r="AJ218" s="673" t="e">
        <f>IF(G218="مدير ولائي",((W218+X218)*45)*80%,IF(V218&lt;8,0,IF(F218="إليزي",(LOOKUP(D218,'f-travail'!A:A,'f-travail'!O:O))*(AF218+AG218),LOOKUP(D218,'f-travail'!A:A,'f-travail'!P:P)*(AF218+AG218))))</f>
        <v>#N/A</v>
      </c>
      <c r="AK218" s="673" t="e">
        <f>IF(G218="مدير ولائي",0,LOOKUP(D218,'f-travail'!A:A,'f-travail'!Q:Q))</f>
        <v>#N/A</v>
      </c>
      <c r="AL218" s="673" t="e">
        <f>IF(G218="مدير ولائي",0,LOOKUP(D218,'f-travail'!A:A,'f-travail'!R:R)*(AF218+AG218))</f>
        <v>#N/A</v>
      </c>
      <c r="AM218" s="673" t="e">
        <f>IF(G218="مدير ولائي",0,LOOKUP(D218,'f-travail'!A:A,'f-travail'!S:S)*(AF218+AG218))</f>
        <v>#N/A</v>
      </c>
      <c r="AN218" s="673" t="e">
        <f>IF(G218="مدير ولائي",0,LOOKUP(D218,'f-travail'!A:A,'f-travail'!T:T)*(AF218+AG218))</f>
        <v>#N/A</v>
      </c>
      <c r="AO218" s="673" t="e">
        <f>IF(G218="مدير ولائي",0,LOOKUP(D218,'f-travail'!A:A,'f-travail'!U:U)*(AF218+AG218))</f>
        <v>#N/A</v>
      </c>
      <c r="AP218" s="673" t="e">
        <f>IF(G218="مدير ولائي",0,LOOKUP(D218,'f-travail'!A:A,'f-travail'!V:V)*(AF218+AG218))</f>
        <v>#N/A</v>
      </c>
      <c r="AQ218" s="673" t="e">
        <f>IF(G218="مدير ولائي",0,LOOKUP(D218,'f-travail'!A:A,'f-travail'!W:W)*(AF218+AG218))</f>
        <v>#N/A</v>
      </c>
      <c r="AR218" s="673">
        <f t="shared" si="109"/>
        <v>0</v>
      </c>
      <c r="AS218" s="673" t="e">
        <f>IF(G218="مدير ولائي",0,LOOKUP(D218,'f-travail'!A:A,'f-travail'!X:X)*(AF218+AG218))</f>
        <v>#N/A</v>
      </c>
      <c r="AT218" s="673" t="e">
        <f>IF(G218="مدير ولائي",0,LOOKUP(D218,'f-travail'!Y:Y,'f-travail'!R:R)*(AF218+AG218))</f>
        <v>#N/A</v>
      </c>
      <c r="AU218" s="673">
        <f t="shared" si="99"/>
        <v>0</v>
      </c>
      <c r="AV218" s="673">
        <f t="shared" si="100"/>
        <v>0</v>
      </c>
      <c r="AW218" s="673">
        <f t="shared" si="101"/>
        <v>0</v>
      </c>
      <c r="AY218" s="640" t="e">
        <f t="shared" si="110"/>
        <v>#N/A</v>
      </c>
      <c r="AZ218" s="673" t="e">
        <f t="shared" si="102"/>
        <v>#N/A</v>
      </c>
      <c r="BA218" s="639" t="e">
        <f t="shared" si="103"/>
        <v>#N/A</v>
      </c>
      <c r="BG218" s="639">
        <f t="shared" si="111"/>
        <v>0</v>
      </c>
      <c r="BH218" s="683">
        <f t="shared" si="112"/>
        <v>0</v>
      </c>
      <c r="BI218" s="683">
        <f t="shared" si="113"/>
        <v>0</v>
      </c>
      <c r="BJ218" s="641" t="e">
        <f t="shared" si="114"/>
        <v>#N/A</v>
      </c>
      <c r="BK218" s="641" t="e">
        <f t="shared" si="115"/>
        <v>#N/A</v>
      </c>
      <c r="BL218" s="641" t="e">
        <f t="shared" si="116"/>
        <v>#N/A</v>
      </c>
      <c r="BM218" s="684" t="e">
        <f t="shared" si="117"/>
        <v>#N/A</v>
      </c>
      <c r="BO218" s="682" t="e">
        <f>CONCATENATE(Z218," ",LOOKUP(D218,'f-travail'!A:A,'f-travail'!F:F))</f>
        <v>#N/A</v>
      </c>
      <c r="BP218" s="669" t="e">
        <f t="shared" si="104"/>
        <v>#N/A</v>
      </c>
    </row>
    <row r="219" spans="1:68">
      <c r="A219" s="636">
        <f t="shared" si="118"/>
        <v>218</v>
      </c>
      <c r="B219" s="637"/>
      <c r="C219" s="637"/>
      <c r="D219" s="652"/>
      <c r="E219" s="679" t="e">
        <f>LOOKUP(D219,'f-travail'!A:A,'f-travail'!B:B)</f>
        <v>#N/A</v>
      </c>
      <c r="F219" s="650"/>
      <c r="G219" s="650"/>
      <c r="H219" s="653"/>
      <c r="I219" s="653"/>
      <c r="J219" s="654"/>
      <c r="K219" s="650"/>
      <c r="L219" s="650"/>
      <c r="M219" s="650">
        <v>0</v>
      </c>
      <c r="N219" s="654"/>
      <c r="O219" s="654"/>
      <c r="P219" s="654"/>
      <c r="Q219" s="654"/>
      <c r="R219" s="676"/>
      <c r="S219" s="654"/>
      <c r="T219" s="675"/>
      <c r="U219" s="675"/>
      <c r="V219" s="670" t="e">
        <f>LOOKUP(D219,'f-travail'!A:A,'f-travail'!E:E)</f>
        <v>#N/A</v>
      </c>
      <c r="W219" s="670" t="e">
        <f>VLOOKUP(V219,جرقمإستدلالي,'f-travail'!$AD$4+1,FALSE)</f>
        <v>#N/A</v>
      </c>
      <c r="X219" s="671" t="e">
        <f t="shared" si="94"/>
        <v>#N/A</v>
      </c>
      <c r="Y219" s="671">
        <f>IF(G219="مدير ولائي",(HLOOKUP(I219,جدروظعليا,'f-travail'!$AT$3+1,FALSE)-3200),0)</f>
        <v>0</v>
      </c>
      <c r="Z219" s="672" t="str">
        <f t="shared" si="105"/>
        <v/>
      </c>
      <c r="AA219" s="671">
        <f t="shared" si="106"/>
        <v>0</v>
      </c>
      <c r="AB219" s="677" t="b">
        <f t="shared" si="95"/>
        <v>0</v>
      </c>
      <c r="AC219" s="678">
        <f t="shared" si="107"/>
        <v>0</v>
      </c>
      <c r="AD219" s="673"/>
      <c r="AE219" s="678">
        <f t="shared" si="96"/>
        <v>0</v>
      </c>
      <c r="AF219" s="678" t="e">
        <f t="shared" si="97"/>
        <v>#N/A</v>
      </c>
      <c r="AG219" s="678" t="e">
        <f t="shared" si="98"/>
        <v>#N/A</v>
      </c>
      <c r="AH219" s="673">
        <f t="shared" si="108"/>
        <v>0</v>
      </c>
      <c r="AI219" s="674" t="e">
        <f>IF(G219="مدير ولائي",(11000*35%),LOOKUP(D219,'f-travail'!A:A,'f-travail'!I:I))</f>
        <v>#N/A</v>
      </c>
      <c r="AJ219" s="673" t="e">
        <f>IF(G219="مدير ولائي",((W219+X219)*45)*80%,IF(V219&lt;8,0,IF(F219="إليزي",(LOOKUP(D219,'f-travail'!A:A,'f-travail'!O:O))*(AF219+AG219),LOOKUP(D219,'f-travail'!A:A,'f-travail'!P:P)*(AF219+AG219))))</f>
        <v>#N/A</v>
      </c>
      <c r="AK219" s="673" t="e">
        <f>IF(G219="مدير ولائي",0,LOOKUP(D219,'f-travail'!A:A,'f-travail'!Q:Q))</f>
        <v>#N/A</v>
      </c>
      <c r="AL219" s="673" t="e">
        <f>IF(G219="مدير ولائي",0,LOOKUP(D219,'f-travail'!A:A,'f-travail'!R:R)*(AF219+AG219))</f>
        <v>#N/A</v>
      </c>
      <c r="AM219" s="673" t="e">
        <f>IF(G219="مدير ولائي",0,LOOKUP(D219,'f-travail'!A:A,'f-travail'!S:S)*(AF219+AG219))</f>
        <v>#N/A</v>
      </c>
      <c r="AN219" s="673" t="e">
        <f>IF(G219="مدير ولائي",0,LOOKUP(D219,'f-travail'!A:A,'f-travail'!T:T)*(AF219+AG219))</f>
        <v>#N/A</v>
      </c>
      <c r="AO219" s="673" t="e">
        <f>IF(G219="مدير ولائي",0,LOOKUP(D219,'f-travail'!A:A,'f-travail'!U:U)*(AF219+AG219))</f>
        <v>#N/A</v>
      </c>
      <c r="AP219" s="673" t="e">
        <f>IF(G219="مدير ولائي",0,LOOKUP(D219,'f-travail'!A:A,'f-travail'!V:V)*(AF219+AG219))</f>
        <v>#N/A</v>
      </c>
      <c r="AQ219" s="673" t="e">
        <f>IF(G219="مدير ولائي",0,LOOKUP(D219,'f-travail'!A:A,'f-travail'!W:W)*(AF219+AG219))</f>
        <v>#N/A</v>
      </c>
      <c r="AR219" s="673">
        <f t="shared" si="109"/>
        <v>0</v>
      </c>
      <c r="AS219" s="673" t="e">
        <f>IF(G219="مدير ولائي",0,LOOKUP(D219,'f-travail'!A:A,'f-travail'!X:X)*(AF219+AG219))</f>
        <v>#N/A</v>
      </c>
      <c r="AT219" s="673" t="e">
        <f>IF(G219="مدير ولائي",0,LOOKUP(D219,'f-travail'!Y:Y,'f-travail'!R:R)*(AF219+AG219))</f>
        <v>#N/A</v>
      </c>
      <c r="AU219" s="673">
        <f t="shared" si="99"/>
        <v>0</v>
      </c>
      <c r="AV219" s="673">
        <f t="shared" si="100"/>
        <v>0</v>
      </c>
      <c r="AW219" s="673">
        <f t="shared" si="101"/>
        <v>0</v>
      </c>
      <c r="AY219" s="640" t="e">
        <f t="shared" si="110"/>
        <v>#N/A</v>
      </c>
      <c r="AZ219" s="673" t="e">
        <f t="shared" si="102"/>
        <v>#N/A</v>
      </c>
      <c r="BA219" s="639" t="e">
        <f t="shared" si="103"/>
        <v>#N/A</v>
      </c>
      <c r="BG219" s="639">
        <f t="shared" si="111"/>
        <v>0</v>
      </c>
      <c r="BH219" s="683">
        <f t="shared" si="112"/>
        <v>0</v>
      </c>
      <c r="BI219" s="683">
        <f t="shared" si="113"/>
        <v>0</v>
      </c>
      <c r="BJ219" s="641" t="e">
        <f t="shared" si="114"/>
        <v>#N/A</v>
      </c>
      <c r="BK219" s="641" t="e">
        <f t="shared" si="115"/>
        <v>#N/A</v>
      </c>
      <c r="BL219" s="641" t="e">
        <f t="shared" si="116"/>
        <v>#N/A</v>
      </c>
      <c r="BM219" s="684" t="e">
        <f t="shared" si="117"/>
        <v>#N/A</v>
      </c>
      <c r="BO219" s="682" t="e">
        <f>CONCATENATE(Z219," ",LOOKUP(D219,'f-travail'!A:A,'f-travail'!F:F))</f>
        <v>#N/A</v>
      </c>
      <c r="BP219" s="669" t="e">
        <f t="shared" si="104"/>
        <v>#N/A</v>
      </c>
    </row>
    <row r="220" spans="1:68">
      <c r="A220" s="636">
        <f t="shared" si="118"/>
        <v>219</v>
      </c>
      <c r="B220" s="637"/>
      <c r="C220" s="637"/>
      <c r="D220" s="652"/>
      <c r="E220" s="679" t="e">
        <f>LOOKUP(D220,'f-travail'!A:A,'f-travail'!B:B)</f>
        <v>#N/A</v>
      </c>
      <c r="F220" s="650"/>
      <c r="G220" s="650"/>
      <c r="H220" s="653"/>
      <c r="I220" s="653"/>
      <c r="J220" s="654"/>
      <c r="K220" s="650"/>
      <c r="L220" s="650"/>
      <c r="M220" s="650">
        <v>0</v>
      </c>
      <c r="N220" s="654"/>
      <c r="O220" s="654"/>
      <c r="P220" s="654"/>
      <c r="Q220" s="654"/>
      <c r="R220" s="676"/>
      <c r="S220" s="654"/>
      <c r="T220" s="675"/>
      <c r="U220" s="675"/>
      <c r="V220" s="670" t="e">
        <f>LOOKUP(D220,'f-travail'!A:A,'f-travail'!E:E)</f>
        <v>#N/A</v>
      </c>
      <c r="W220" s="670" t="e">
        <f>VLOOKUP(V220,جرقمإستدلالي,'f-travail'!$AD$4+1,FALSE)</f>
        <v>#N/A</v>
      </c>
      <c r="X220" s="671" t="e">
        <f t="shared" si="94"/>
        <v>#N/A</v>
      </c>
      <c r="Y220" s="671">
        <f>IF(G220="مدير ولائي",(HLOOKUP(I220,جدروظعليا,'f-travail'!$AT$3+1,FALSE)-3200),0)</f>
        <v>0</v>
      </c>
      <c r="Z220" s="672" t="str">
        <f t="shared" si="105"/>
        <v/>
      </c>
      <c r="AA220" s="671">
        <f t="shared" si="106"/>
        <v>0</v>
      </c>
      <c r="AB220" s="677" t="b">
        <f t="shared" si="95"/>
        <v>0</v>
      </c>
      <c r="AC220" s="678">
        <f t="shared" si="107"/>
        <v>0</v>
      </c>
      <c r="AD220" s="673"/>
      <c r="AE220" s="678">
        <f t="shared" si="96"/>
        <v>0</v>
      </c>
      <c r="AF220" s="678" t="e">
        <f t="shared" si="97"/>
        <v>#N/A</v>
      </c>
      <c r="AG220" s="678" t="e">
        <f t="shared" si="98"/>
        <v>#N/A</v>
      </c>
      <c r="AH220" s="673">
        <f t="shared" si="108"/>
        <v>0</v>
      </c>
      <c r="AI220" s="674" t="e">
        <f>IF(G220="مدير ولائي",(11000*35%),LOOKUP(D220,'f-travail'!A:A,'f-travail'!I:I))</f>
        <v>#N/A</v>
      </c>
      <c r="AJ220" s="673" t="e">
        <f>IF(G220="مدير ولائي",((W220+X220)*45)*80%,IF(V220&lt;8,0,IF(F220="إليزي",(LOOKUP(D220,'f-travail'!A:A,'f-travail'!O:O))*(AF220+AG220),LOOKUP(D220,'f-travail'!A:A,'f-travail'!P:P)*(AF220+AG220))))</f>
        <v>#N/A</v>
      </c>
      <c r="AK220" s="673" t="e">
        <f>IF(G220="مدير ولائي",0,LOOKUP(D220,'f-travail'!A:A,'f-travail'!Q:Q))</f>
        <v>#N/A</v>
      </c>
      <c r="AL220" s="673" t="e">
        <f>IF(G220="مدير ولائي",0,LOOKUP(D220,'f-travail'!A:A,'f-travail'!R:R)*(AF220+AG220))</f>
        <v>#N/A</v>
      </c>
      <c r="AM220" s="673" t="e">
        <f>IF(G220="مدير ولائي",0,LOOKUP(D220,'f-travail'!A:A,'f-travail'!S:S)*(AF220+AG220))</f>
        <v>#N/A</v>
      </c>
      <c r="AN220" s="673" t="e">
        <f>IF(G220="مدير ولائي",0,LOOKUP(D220,'f-travail'!A:A,'f-travail'!T:T)*(AF220+AG220))</f>
        <v>#N/A</v>
      </c>
      <c r="AO220" s="673" t="e">
        <f>IF(G220="مدير ولائي",0,LOOKUP(D220,'f-travail'!A:A,'f-travail'!U:U)*(AF220+AG220))</f>
        <v>#N/A</v>
      </c>
      <c r="AP220" s="673" t="e">
        <f>IF(G220="مدير ولائي",0,LOOKUP(D220,'f-travail'!A:A,'f-travail'!V:V)*(AF220+AG220))</f>
        <v>#N/A</v>
      </c>
      <c r="AQ220" s="673" t="e">
        <f>IF(G220="مدير ولائي",0,LOOKUP(D220,'f-travail'!A:A,'f-travail'!W:W)*(AF220+AG220))</f>
        <v>#N/A</v>
      </c>
      <c r="AR220" s="673">
        <f t="shared" si="109"/>
        <v>0</v>
      </c>
      <c r="AS220" s="673" t="e">
        <f>IF(G220="مدير ولائي",0,LOOKUP(D220,'f-travail'!A:A,'f-travail'!X:X)*(AF220+AG220))</f>
        <v>#N/A</v>
      </c>
      <c r="AT220" s="673" t="e">
        <f>IF(G220="مدير ولائي",0,LOOKUP(D220,'f-travail'!Y:Y,'f-travail'!R:R)*(AF220+AG220))</f>
        <v>#N/A</v>
      </c>
      <c r="AU220" s="673">
        <f t="shared" si="99"/>
        <v>0</v>
      </c>
      <c r="AV220" s="673">
        <f t="shared" si="100"/>
        <v>0</v>
      </c>
      <c r="AW220" s="673">
        <f t="shared" si="101"/>
        <v>0</v>
      </c>
      <c r="AY220" s="640" t="e">
        <f t="shared" si="110"/>
        <v>#N/A</v>
      </c>
      <c r="AZ220" s="673" t="e">
        <f t="shared" si="102"/>
        <v>#N/A</v>
      </c>
      <c r="BA220" s="639" t="e">
        <f t="shared" si="103"/>
        <v>#N/A</v>
      </c>
      <c r="BG220" s="639">
        <f t="shared" si="111"/>
        <v>0</v>
      </c>
      <c r="BH220" s="683">
        <f t="shared" si="112"/>
        <v>0</v>
      </c>
      <c r="BI220" s="683">
        <f t="shared" si="113"/>
        <v>0</v>
      </c>
      <c r="BJ220" s="641" t="e">
        <f t="shared" si="114"/>
        <v>#N/A</v>
      </c>
      <c r="BK220" s="641" t="e">
        <f t="shared" si="115"/>
        <v>#N/A</v>
      </c>
      <c r="BL220" s="641" t="e">
        <f t="shared" si="116"/>
        <v>#N/A</v>
      </c>
      <c r="BM220" s="684" t="e">
        <f t="shared" si="117"/>
        <v>#N/A</v>
      </c>
      <c r="BO220" s="682" t="e">
        <f>CONCATENATE(Z220," ",LOOKUP(D220,'f-travail'!A:A,'f-travail'!F:F))</f>
        <v>#N/A</v>
      </c>
      <c r="BP220" s="669" t="e">
        <f t="shared" si="104"/>
        <v>#N/A</v>
      </c>
    </row>
    <row r="221" spans="1:68">
      <c r="A221" s="636">
        <f t="shared" si="118"/>
        <v>220</v>
      </c>
      <c r="B221" s="637"/>
      <c r="C221" s="637"/>
      <c r="D221" s="652"/>
      <c r="E221" s="679" t="e">
        <f>LOOKUP(D221,'f-travail'!A:A,'f-travail'!B:B)</f>
        <v>#N/A</v>
      </c>
      <c r="F221" s="650"/>
      <c r="G221" s="650"/>
      <c r="H221" s="653"/>
      <c r="I221" s="653"/>
      <c r="J221" s="654"/>
      <c r="K221" s="650"/>
      <c r="L221" s="650"/>
      <c r="M221" s="650">
        <v>0</v>
      </c>
      <c r="N221" s="654"/>
      <c r="O221" s="654"/>
      <c r="P221" s="654"/>
      <c r="Q221" s="654"/>
      <c r="R221" s="676"/>
      <c r="S221" s="654"/>
      <c r="T221" s="675"/>
      <c r="U221" s="675"/>
      <c r="V221" s="670" t="e">
        <f>LOOKUP(D221,'f-travail'!A:A,'f-travail'!E:E)</f>
        <v>#N/A</v>
      </c>
      <c r="W221" s="670" t="e">
        <f>VLOOKUP(V221,جرقمإستدلالي,'f-travail'!$AD$4+1,FALSE)</f>
        <v>#N/A</v>
      </c>
      <c r="X221" s="671" t="e">
        <f t="shared" si="94"/>
        <v>#N/A</v>
      </c>
      <c r="Y221" s="671">
        <f>IF(G221="مدير ولائي",(HLOOKUP(I221,جدروظعليا,'f-travail'!$AT$3+1,FALSE)-3200),0)</f>
        <v>0</v>
      </c>
      <c r="Z221" s="672" t="str">
        <f t="shared" si="105"/>
        <v/>
      </c>
      <c r="AA221" s="671">
        <f t="shared" si="106"/>
        <v>0</v>
      </c>
      <c r="AB221" s="677" t="b">
        <f t="shared" si="95"/>
        <v>0</v>
      </c>
      <c r="AC221" s="678">
        <f t="shared" si="107"/>
        <v>0</v>
      </c>
      <c r="AD221" s="673"/>
      <c r="AE221" s="678">
        <f t="shared" si="96"/>
        <v>0</v>
      </c>
      <c r="AF221" s="678" t="e">
        <f t="shared" si="97"/>
        <v>#N/A</v>
      </c>
      <c r="AG221" s="678" t="e">
        <f t="shared" si="98"/>
        <v>#N/A</v>
      </c>
      <c r="AH221" s="673">
        <f t="shared" si="108"/>
        <v>0</v>
      </c>
      <c r="AI221" s="674" t="e">
        <f>IF(G221="مدير ولائي",(11000*35%),LOOKUP(D221,'f-travail'!A:A,'f-travail'!I:I))</f>
        <v>#N/A</v>
      </c>
      <c r="AJ221" s="673" t="e">
        <f>IF(G221="مدير ولائي",((W221+X221)*45)*80%,IF(V221&lt;8,0,IF(F221="إليزي",(LOOKUP(D221,'f-travail'!A:A,'f-travail'!O:O))*(AF221+AG221),LOOKUP(D221,'f-travail'!A:A,'f-travail'!P:P)*(AF221+AG221))))</f>
        <v>#N/A</v>
      </c>
      <c r="AK221" s="673" t="e">
        <f>IF(G221="مدير ولائي",0,LOOKUP(D221,'f-travail'!A:A,'f-travail'!Q:Q))</f>
        <v>#N/A</v>
      </c>
      <c r="AL221" s="673" t="e">
        <f>IF(G221="مدير ولائي",0,LOOKUP(D221,'f-travail'!A:A,'f-travail'!R:R)*(AF221+AG221))</f>
        <v>#N/A</v>
      </c>
      <c r="AM221" s="673" t="e">
        <f>IF(G221="مدير ولائي",0,LOOKUP(D221,'f-travail'!A:A,'f-travail'!S:S)*(AF221+AG221))</f>
        <v>#N/A</v>
      </c>
      <c r="AN221" s="673" t="e">
        <f>IF(G221="مدير ولائي",0,LOOKUP(D221,'f-travail'!A:A,'f-travail'!T:T)*(AF221+AG221))</f>
        <v>#N/A</v>
      </c>
      <c r="AO221" s="673" t="e">
        <f>IF(G221="مدير ولائي",0,LOOKUP(D221,'f-travail'!A:A,'f-travail'!U:U)*(AF221+AG221))</f>
        <v>#N/A</v>
      </c>
      <c r="AP221" s="673" t="e">
        <f>IF(G221="مدير ولائي",0,LOOKUP(D221,'f-travail'!A:A,'f-travail'!V:V)*(AF221+AG221))</f>
        <v>#N/A</v>
      </c>
      <c r="AQ221" s="673" t="e">
        <f>IF(G221="مدير ولائي",0,LOOKUP(D221,'f-travail'!A:A,'f-travail'!W:W)*(AF221+AG221))</f>
        <v>#N/A</v>
      </c>
      <c r="AR221" s="673">
        <f t="shared" si="109"/>
        <v>0</v>
      </c>
      <c r="AS221" s="673" t="e">
        <f>IF(G221="مدير ولائي",0,LOOKUP(D221,'f-travail'!A:A,'f-travail'!X:X)*(AF221+AG221))</f>
        <v>#N/A</v>
      </c>
      <c r="AT221" s="673" t="e">
        <f>IF(G221="مدير ولائي",0,LOOKUP(D221,'f-travail'!Y:Y,'f-travail'!R:R)*(AF221+AG221))</f>
        <v>#N/A</v>
      </c>
      <c r="AU221" s="673">
        <f t="shared" si="99"/>
        <v>0</v>
      </c>
      <c r="AV221" s="673">
        <f t="shared" si="100"/>
        <v>0</v>
      </c>
      <c r="AW221" s="673">
        <f t="shared" si="101"/>
        <v>0</v>
      </c>
      <c r="AY221" s="640" t="e">
        <f t="shared" si="110"/>
        <v>#N/A</v>
      </c>
      <c r="AZ221" s="673" t="e">
        <f t="shared" si="102"/>
        <v>#N/A</v>
      </c>
      <c r="BA221" s="639" t="e">
        <f t="shared" si="103"/>
        <v>#N/A</v>
      </c>
      <c r="BG221" s="639">
        <f t="shared" si="111"/>
        <v>0</v>
      </c>
      <c r="BH221" s="683">
        <f t="shared" si="112"/>
        <v>0</v>
      </c>
      <c r="BI221" s="683">
        <f t="shared" si="113"/>
        <v>0</v>
      </c>
      <c r="BJ221" s="641" t="e">
        <f t="shared" si="114"/>
        <v>#N/A</v>
      </c>
      <c r="BK221" s="641" t="e">
        <f t="shared" si="115"/>
        <v>#N/A</v>
      </c>
      <c r="BL221" s="641" t="e">
        <f t="shared" si="116"/>
        <v>#N/A</v>
      </c>
      <c r="BM221" s="684" t="e">
        <f t="shared" si="117"/>
        <v>#N/A</v>
      </c>
      <c r="BO221" s="682" t="e">
        <f>CONCATENATE(Z221," ",LOOKUP(D221,'f-travail'!A:A,'f-travail'!F:F))</f>
        <v>#N/A</v>
      </c>
      <c r="BP221" s="669" t="e">
        <f t="shared" si="104"/>
        <v>#N/A</v>
      </c>
    </row>
    <row r="222" spans="1:68">
      <c r="A222" s="636">
        <f t="shared" si="118"/>
        <v>221</v>
      </c>
      <c r="B222" s="637"/>
      <c r="C222" s="637"/>
      <c r="D222" s="652"/>
      <c r="E222" s="679" t="e">
        <f>LOOKUP(D222,'f-travail'!A:A,'f-travail'!B:B)</f>
        <v>#N/A</v>
      </c>
      <c r="F222" s="650"/>
      <c r="G222" s="650"/>
      <c r="H222" s="653"/>
      <c r="I222" s="653"/>
      <c r="J222" s="654"/>
      <c r="K222" s="650"/>
      <c r="L222" s="650"/>
      <c r="M222" s="650">
        <v>0</v>
      </c>
      <c r="N222" s="654"/>
      <c r="O222" s="654"/>
      <c r="P222" s="654"/>
      <c r="Q222" s="654"/>
      <c r="R222" s="676"/>
      <c r="S222" s="654"/>
      <c r="T222" s="675"/>
      <c r="U222" s="675"/>
      <c r="V222" s="670" t="e">
        <f>LOOKUP(D222,'f-travail'!A:A,'f-travail'!E:E)</f>
        <v>#N/A</v>
      </c>
      <c r="W222" s="670" t="e">
        <f>VLOOKUP(V222,جرقمإستدلالي,'f-travail'!$AD$4+1,FALSE)</f>
        <v>#N/A</v>
      </c>
      <c r="X222" s="671" t="e">
        <f t="shared" si="94"/>
        <v>#N/A</v>
      </c>
      <c r="Y222" s="671">
        <f>IF(G222="مدير ولائي",(HLOOKUP(I222,جدروظعليا,'f-travail'!$AT$3+1,FALSE)-3200),0)</f>
        <v>0</v>
      </c>
      <c r="Z222" s="672" t="str">
        <f t="shared" si="105"/>
        <v/>
      </c>
      <c r="AA222" s="671">
        <f t="shared" si="106"/>
        <v>0</v>
      </c>
      <c r="AB222" s="677" t="b">
        <f t="shared" si="95"/>
        <v>0</v>
      </c>
      <c r="AC222" s="678">
        <f t="shared" si="107"/>
        <v>0</v>
      </c>
      <c r="AD222" s="673"/>
      <c r="AE222" s="678">
        <f t="shared" si="96"/>
        <v>0</v>
      </c>
      <c r="AF222" s="678" t="e">
        <f t="shared" si="97"/>
        <v>#N/A</v>
      </c>
      <c r="AG222" s="678" t="e">
        <f t="shared" si="98"/>
        <v>#N/A</v>
      </c>
      <c r="AH222" s="673">
        <f t="shared" si="108"/>
        <v>0</v>
      </c>
      <c r="AI222" s="674" t="e">
        <f>IF(G222="مدير ولائي",(11000*35%),LOOKUP(D222,'f-travail'!A:A,'f-travail'!I:I))</f>
        <v>#N/A</v>
      </c>
      <c r="AJ222" s="673" t="e">
        <f>IF(G222="مدير ولائي",((W222+X222)*45)*80%,IF(V222&lt;8,0,IF(F222="إليزي",(LOOKUP(D222,'f-travail'!A:A,'f-travail'!O:O))*(AF222+AG222),LOOKUP(D222,'f-travail'!A:A,'f-travail'!P:P)*(AF222+AG222))))</f>
        <v>#N/A</v>
      </c>
      <c r="AK222" s="673" t="e">
        <f>IF(G222="مدير ولائي",0,LOOKUP(D222,'f-travail'!A:A,'f-travail'!Q:Q))</f>
        <v>#N/A</v>
      </c>
      <c r="AL222" s="673" t="e">
        <f>IF(G222="مدير ولائي",0,LOOKUP(D222,'f-travail'!A:A,'f-travail'!R:R)*(AF222+AG222))</f>
        <v>#N/A</v>
      </c>
      <c r="AM222" s="673" t="e">
        <f>IF(G222="مدير ولائي",0,LOOKUP(D222,'f-travail'!A:A,'f-travail'!S:S)*(AF222+AG222))</f>
        <v>#N/A</v>
      </c>
      <c r="AN222" s="673" t="e">
        <f>IF(G222="مدير ولائي",0,LOOKUP(D222,'f-travail'!A:A,'f-travail'!T:T)*(AF222+AG222))</f>
        <v>#N/A</v>
      </c>
      <c r="AO222" s="673" t="e">
        <f>IF(G222="مدير ولائي",0,LOOKUP(D222,'f-travail'!A:A,'f-travail'!U:U)*(AF222+AG222))</f>
        <v>#N/A</v>
      </c>
      <c r="AP222" s="673" t="e">
        <f>IF(G222="مدير ولائي",0,LOOKUP(D222,'f-travail'!A:A,'f-travail'!V:V)*(AF222+AG222))</f>
        <v>#N/A</v>
      </c>
      <c r="AQ222" s="673" t="e">
        <f>IF(G222="مدير ولائي",0,LOOKUP(D222,'f-travail'!A:A,'f-travail'!W:W)*(AF222+AG222))</f>
        <v>#N/A</v>
      </c>
      <c r="AR222" s="673">
        <f t="shared" si="109"/>
        <v>0</v>
      </c>
      <c r="AS222" s="673" t="e">
        <f>IF(G222="مدير ولائي",0,LOOKUP(D222,'f-travail'!A:A,'f-travail'!X:X)*(AF222+AG222))</f>
        <v>#N/A</v>
      </c>
      <c r="AT222" s="673" t="e">
        <f>IF(G222="مدير ولائي",0,LOOKUP(D222,'f-travail'!Y:Y,'f-travail'!R:R)*(AF222+AG222))</f>
        <v>#N/A</v>
      </c>
      <c r="AU222" s="673">
        <f t="shared" si="99"/>
        <v>0</v>
      </c>
      <c r="AV222" s="673">
        <f t="shared" si="100"/>
        <v>0</v>
      </c>
      <c r="AW222" s="673">
        <f t="shared" si="101"/>
        <v>0</v>
      </c>
      <c r="AY222" s="640" t="e">
        <f t="shared" si="110"/>
        <v>#N/A</v>
      </c>
      <c r="AZ222" s="673" t="e">
        <f t="shared" si="102"/>
        <v>#N/A</v>
      </c>
      <c r="BA222" s="639" t="e">
        <f t="shared" si="103"/>
        <v>#N/A</v>
      </c>
      <c r="BG222" s="639">
        <f t="shared" si="111"/>
        <v>0</v>
      </c>
      <c r="BH222" s="683">
        <f t="shared" si="112"/>
        <v>0</v>
      </c>
      <c r="BI222" s="683">
        <f t="shared" si="113"/>
        <v>0</v>
      </c>
      <c r="BJ222" s="641" t="e">
        <f t="shared" si="114"/>
        <v>#N/A</v>
      </c>
      <c r="BK222" s="641" t="e">
        <f t="shared" si="115"/>
        <v>#N/A</v>
      </c>
      <c r="BL222" s="641" t="e">
        <f t="shared" si="116"/>
        <v>#N/A</v>
      </c>
      <c r="BM222" s="684" t="e">
        <f t="shared" si="117"/>
        <v>#N/A</v>
      </c>
      <c r="BO222" s="682" t="e">
        <f>CONCATENATE(Z222," ",LOOKUP(D222,'f-travail'!A:A,'f-travail'!F:F))</f>
        <v>#N/A</v>
      </c>
      <c r="BP222" s="669" t="e">
        <f t="shared" si="104"/>
        <v>#N/A</v>
      </c>
    </row>
    <row r="223" spans="1:68">
      <c r="A223" s="636">
        <f t="shared" si="118"/>
        <v>222</v>
      </c>
      <c r="B223" s="637"/>
      <c r="C223" s="637"/>
      <c r="D223" s="652"/>
      <c r="E223" s="679" t="e">
        <f>LOOKUP(D223,'f-travail'!A:A,'f-travail'!B:B)</f>
        <v>#N/A</v>
      </c>
      <c r="F223" s="650"/>
      <c r="G223" s="650"/>
      <c r="H223" s="653"/>
      <c r="I223" s="653"/>
      <c r="J223" s="654"/>
      <c r="K223" s="650"/>
      <c r="L223" s="650"/>
      <c r="M223" s="650">
        <v>0</v>
      </c>
      <c r="N223" s="654"/>
      <c r="O223" s="654"/>
      <c r="P223" s="654"/>
      <c r="Q223" s="654"/>
      <c r="R223" s="676"/>
      <c r="S223" s="654"/>
      <c r="T223" s="675"/>
      <c r="U223" s="675"/>
      <c r="V223" s="670" t="e">
        <f>LOOKUP(D223,'f-travail'!A:A,'f-travail'!E:E)</f>
        <v>#N/A</v>
      </c>
      <c r="W223" s="670" t="e">
        <f>VLOOKUP(V223,جرقمإستدلالي,'f-travail'!$AD$4+1,FALSE)</f>
        <v>#N/A</v>
      </c>
      <c r="X223" s="671" t="e">
        <f t="shared" si="94"/>
        <v>#N/A</v>
      </c>
      <c r="Y223" s="671">
        <f>IF(G223="مدير ولائي",(HLOOKUP(I223,جدروظعليا,'f-travail'!$AT$3+1,FALSE)-3200),0)</f>
        <v>0</v>
      </c>
      <c r="Z223" s="672" t="str">
        <f t="shared" si="105"/>
        <v/>
      </c>
      <c r="AA223" s="671">
        <f t="shared" si="106"/>
        <v>0</v>
      </c>
      <c r="AB223" s="677" t="b">
        <f t="shared" si="95"/>
        <v>0</v>
      </c>
      <c r="AC223" s="678">
        <f t="shared" si="107"/>
        <v>0</v>
      </c>
      <c r="AD223" s="673"/>
      <c r="AE223" s="678">
        <f t="shared" si="96"/>
        <v>0</v>
      </c>
      <c r="AF223" s="678" t="e">
        <f t="shared" si="97"/>
        <v>#N/A</v>
      </c>
      <c r="AG223" s="678" t="e">
        <f t="shared" si="98"/>
        <v>#N/A</v>
      </c>
      <c r="AH223" s="673">
        <f t="shared" si="108"/>
        <v>0</v>
      </c>
      <c r="AI223" s="674" t="e">
        <f>IF(G223="مدير ولائي",(11000*35%),LOOKUP(D223,'f-travail'!A:A,'f-travail'!I:I))</f>
        <v>#N/A</v>
      </c>
      <c r="AJ223" s="673" t="e">
        <f>IF(G223="مدير ولائي",((W223+X223)*45)*80%,IF(V223&lt;8,0,IF(F223="إليزي",(LOOKUP(D223,'f-travail'!A:A,'f-travail'!O:O))*(AF223+AG223),LOOKUP(D223,'f-travail'!A:A,'f-travail'!P:P)*(AF223+AG223))))</f>
        <v>#N/A</v>
      </c>
      <c r="AK223" s="673" t="e">
        <f>IF(G223="مدير ولائي",0,LOOKUP(D223,'f-travail'!A:A,'f-travail'!Q:Q))</f>
        <v>#N/A</v>
      </c>
      <c r="AL223" s="673" t="e">
        <f>IF(G223="مدير ولائي",0,LOOKUP(D223,'f-travail'!A:A,'f-travail'!R:R)*(AF223+AG223))</f>
        <v>#N/A</v>
      </c>
      <c r="AM223" s="673" t="e">
        <f>IF(G223="مدير ولائي",0,LOOKUP(D223,'f-travail'!A:A,'f-travail'!S:S)*(AF223+AG223))</f>
        <v>#N/A</v>
      </c>
      <c r="AN223" s="673" t="e">
        <f>IF(G223="مدير ولائي",0,LOOKUP(D223,'f-travail'!A:A,'f-travail'!T:T)*(AF223+AG223))</f>
        <v>#N/A</v>
      </c>
      <c r="AO223" s="673" t="e">
        <f>IF(G223="مدير ولائي",0,LOOKUP(D223,'f-travail'!A:A,'f-travail'!U:U)*(AF223+AG223))</f>
        <v>#N/A</v>
      </c>
      <c r="AP223" s="673" t="e">
        <f>IF(G223="مدير ولائي",0,LOOKUP(D223,'f-travail'!A:A,'f-travail'!V:V)*(AF223+AG223))</f>
        <v>#N/A</v>
      </c>
      <c r="AQ223" s="673" t="e">
        <f>IF(G223="مدير ولائي",0,LOOKUP(D223,'f-travail'!A:A,'f-travail'!W:W)*(AF223+AG223))</f>
        <v>#N/A</v>
      </c>
      <c r="AR223" s="673">
        <f t="shared" si="109"/>
        <v>0</v>
      </c>
      <c r="AS223" s="673" t="e">
        <f>IF(G223="مدير ولائي",0,LOOKUP(D223,'f-travail'!A:A,'f-travail'!X:X)*(AF223+AG223))</f>
        <v>#N/A</v>
      </c>
      <c r="AT223" s="673" t="e">
        <f>IF(G223="مدير ولائي",0,LOOKUP(D223,'f-travail'!Y:Y,'f-travail'!R:R)*(AF223+AG223))</f>
        <v>#N/A</v>
      </c>
      <c r="AU223" s="673">
        <f t="shared" si="99"/>
        <v>0</v>
      </c>
      <c r="AV223" s="673">
        <f t="shared" si="100"/>
        <v>0</v>
      </c>
      <c r="AW223" s="673">
        <f t="shared" si="101"/>
        <v>0</v>
      </c>
      <c r="AY223" s="640" t="e">
        <f t="shared" si="110"/>
        <v>#N/A</v>
      </c>
      <c r="AZ223" s="673" t="e">
        <f t="shared" si="102"/>
        <v>#N/A</v>
      </c>
      <c r="BA223" s="639" t="e">
        <f t="shared" si="103"/>
        <v>#N/A</v>
      </c>
      <c r="BG223" s="639">
        <f t="shared" si="111"/>
        <v>0</v>
      </c>
      <c r="BH223" s="683">
        <f t="shared" si="112"/>
        <v>0</v>
      </c>
      <c r="BI223" s="683">
        <f t="shared" si="113"/>
        <v>0</v>
      </c>
      <c r="BJ223" s="641" t="e">
        <f t="shared" si="114"/>
        <v>#N/A</v>
      </c>
      <c r="BK223" s="641" t="e">
        <f t="shared" si="115"/>
        <v>#N/A</v>
      </c>
      <c r="BL223" s="641" t="e">
        <f t="shared" si="116"/>
        <v>#N/A</v>
      </c>
      <c r="BM223" s="684" t="e">
        <f t="shared" si="117"/>
        <v>#N/A</v>
      </c>
      <c r="BO223" s="682" t="e">
        <f>CONCATENATE(Z223," ",LOOKUP(D223,'f-travail'!A:A,'f-travail'!F:F))</f>
        <v>#N/A</v>
      </c>
      <c r="BP223" s="669" t="e">
        <f t="shared" si="104"/>
        <v>#N/A</v>
      </c>
    </row>
    <row r="224" spans="1:68">
      <c r="A224" s="636">
        <f t="shared" si="118"/>
        <v>223</v>
      </c>
      <c r="B224" s="637"/>
      <c r="C224" s="637"/>
      <c r="D224" s="652"/>
      <c r="E224" s="679" t="e">
        <f>LOOKUP(D224,'f-travail'!A:A,'f-travail'!B:B)</f>
        <v>#N/A</v>
      </c>
      <c r="F224" s="650"/>
      <c r="G224" s="650"/>
      <c r="H224" s="653"/>
      <c r="I224" s="653"/>
      <c r="J224" s="654"/>
      <c r="K224" s="650"/>
      <c r="L224" s="650"/>
      <c r="M224" s="650">
        <v>0</v>
      </c>
      <c r="N224" s="654"/>
      <c r="O224" s="654"/>
      <c r="P224" s="654"/>
      <c r="Q224" s="654"/>
      <c r="R224" s="676"/>
      <c r="S224" s="654"/>
      <c r="T224" s="675"/>
      <c r="U224" s="675"/>
      <c r="V224" s="670" t="e">
        <f>LOOKUP(D224,'f-travail'!A:A,'f-travail'!E:E)</f>
        <v>#N/A</v>
      </c>
      <c r="W224" s="670" t="e">
        <f>VLOOKUP(V224,جرقمإستدلالي,'f-travail'!$AD$4+1,FALSE)</f>
        <v>#N/A</v>
      </c>
      <c r="X224" s="671" t="e">
        <f t="shared" si="94"/>
        <v>#N/A</v>
      </c>
      <c r="Y224" s="671">
        <f>IF(G224="مدير ولائي",(HLOOKUP(I224,جدروظعليا,'f-travail'!$AT$3+1,FALSE)-3200),0)</f>
        <v>0</v>
      </c>
      <c r="Z224" s="672" t="str">
        <f t="shared" si="105"/>
        <v/>
      </c>
      <c r="AA224" s="671">
        <f t="shared" si="106"/>
        <v>0</v>
      </c>
      <c r="AB224" s="677" t="b">
        <f t="shared" si="95"/>
        <v>0</v>
      </c>
      <c r="AC224" s="678">
        <f t="shared" si="107"/>
        <v>0</v>
      </c>
      <c r="AD224" s="673"/>
      <c r="AE224" s="678">
        <f t="shared" si="96"/>
        <v>0</v>
      </c>
      <c r="AF224" s="678" t="e">
        <f t="shared" si="97"/>
        <v>#N/A</v>
      </c>
      <c r="AG224" s="678" t="e">
        <f t="shared" si="98"/>
        <v>#N/A</v>
      </c>
      <c r="AH224" s="673">
        <f t="shared" si="108"/>
        <v>0</v>
      </c>
      <c r="AI224" s="674" t="e">
        <f>IF(G224="مدير ولائي",(11000*35%),LOOKUP(D224,'f-travail'!A:A,'f-travail'!I:I))</f>
        <v>#N/A</v>
      </c>
      <c r="AJ224" s="673" t="e">
        <f>IF(G224="مدير ولائي",((W224+X224)*45)*80%,IF(V224&lt;8,0,IF(F224="إليزي",(LOOKUP(D224,'f-travail'!A:A,'f-travail'!O:O))*(AF224+AG224),LOOKUP(D224,'f-travail'!A:A,'f-travail'!P:P)*(AF224+AG224))))</f>
        <v>#N/A</v>
      </c>
      <c r="AK224" s="673" t="e">
        <f>IF(G224="مدير ولائي",0,LOOKUP(D224,'f-travail'!A:A,'f-travail'!Q:Q))</f>
        <v>#N/A</v>
      </c>
      <c r="AL224" s="673" t="e">
        <f>IF(G224="مدير ولائي",0,LOOKUP(D224,'f-travail'!A:A,'f-travail'!R:R)*(AF224+AG224))</f>
        <v>#N/A</v>
      </c>
      <c r="AM224" s="673" t="e">
        <f>IF(G224="مدير ولائي",0,LOOKUP(D224,'f-travail'!A:A,'f-travail'!S:S)*(AF224+AG224))</f>
        <v>#N/A</v>
      </c>
      <c r="AN224" s="673" t="e">
        <f>IF(G224="مدير ولائي",0,LOOKUP(D224,'f-travail'!A:A,'f-travail'!T:T)*(AF224+AG224))</f>
        <v>#N/A</v>
      </c>
      <c r="AO224" s="673" t="e">
        <f>IF(G224="مدير ولائي",0,LOOKUP(D224,'f-travail'!A:A,'f-travail'!U:U)*(AF224+AG224))</f>
        <v>#N/A</v>
      </c>
      <c r="AP224" s="673" t="e">
        <f>IF(G224="مدير ولائي",0,LOOKUP(D224,'f-travail'!A:A,'f-travail'!V:V)*(AF224+AG224))</f>
        <v>#N/A</v>
      </c>
      <c r="AQ224" s="673" t="e">
        <f>IF(G224="مدير ولائي",0,LOOKUP(D224,'f-travail'!A:A,'f-travail'!W:W)*(AF224+AG224))</f>
        <v>#N/A</v>
      </c>
      <c r="AR224" s="673">
        <f t="shared" si="109"/>
        <v>0</v>
      </c>
      <c r="AS224" s="673" t="e">
        <f>IF(G224="مدير ولائي",0,LOOKUP(D224,'f-travail'!A:A,'f-travail'!X:X)*(AF224+AG224))</f>
        <v>#N/A</v>
      </c>
      <c r="AT224" s="673" t="e">
        <f>IF(G224="مدير ولائي",0,LOOKUP(D224,'f-travail'!Y:Y,'f-travail'!R:R)*(AF224+AG224))</f>
        <v>#N/A</v>
      </c>
      <c r="AU224" s="673">
        <f t="shared" si="99"/>
        <v>0</v>
      </c>
      <c r="AV224" s="673">
        <f t="shared" si="100"/>
        <v>0</v>
      </c>
      <c r="AW224" s="673">
        <f t="shared" si="101"/>
        <v>0</v>
      </c>
      <c r="AY224" s="640" t="e">
        <f t="shared" si="110"/>
        <v>#N/A</v>
      </c>
      <c r="AZ224" s="673" t="e">
        <f t="shared" si="102"/>
        <v>#N/A</v>
      </c>
      <c r="BA224" s="639" t="e">
        <f t="shared" si="103"/>
        <v>#N/A</v>
      </c>
      <c r="BG224" s="639">
        <f t="shared" si="111"/>
        <v>0</v>
      </c>
      <c r="BH224" s="683">
        <f t="shared" si="112"/>
        <v>0</v>
      </c>
      <c r="BI224" s="683">
        <f t="shared" si="113"/>
        <v>0</v>
      </c>
      <c r="BJ224" s="641" t="e">
        <f t="shared" si="114"/>
        <v>#N/A</v>
      </c>
      <c r="BK224" s="641" t="e">
        <f t="shared" si="115"/>
        <v>#N/A</v>
      </c>
      <c r="BL224" s="641" t="e">
        <f t="shared" si="116"/>
        <v>#N/A</v>
      </c>
      <c r="BM224" s="684" t="e">
        <f t="shared" si="117"/>
        <v>#N/A</v>
      </c>
      <c r="BO224" s="682" t="e">
        <f>CONCATENATE(Z224," ",LOOKUP(D224,'f-travail'!A:A,'f-travail'!F:F))</f>
        <v>#N/A</v>
      </c>
      <c r="BP224" s="669" t="e">
        <f t="shared" si="104"/>
        <v>#N/A</v>
      </c>
    </row>
    <row r="225" spans="1:68">
      <c r="A225" s="636">
        <f t="shared" si="118"/>
        <v>224</v>
      </c>
      <c r="B225" s="637"/>
      <c r="C225" s="637"/>
      <c r="D225" s="652"/>
      <c r="E225" s="679" t="e">
        <f>LOOKUP(D225,'f-travail'!A:A,'f-travail'!B:B)</f>
        <v>#N/A</v>
      </c>
      <c r="F225" s="650"/>
      <c r="G225" s="650"/>
      <c r="H225" s="653"/>
      <c r="I225" s="653"/>
      <c r="J225" s="654"/>
      <c r="K225" s="650"/>
      <c r="L225" s="650"/>
      <c r="M225" s="650">
        <v>0</v>
      </c>
      <c r="N225" s="654"/>
      <c r="O225" s="654"/>
      <c r="P225" s="654"/>
      <c r="Q225" s="654"/>
      <c r="R225" s="676"/>
      <c r="S225" s="654"/>
      <c r="T225" s="675"/>
      <c r="U225" s="675"/>
      <c r="V225" s="670" t="e">
        <f>LOOKUP(D225,'f-travail'!A:A,'f-travail'!E:E)</f>
        <v>#N/A</v>
      </c>
      <c r="W225" s="670" t="e">
        <f>VLOOKUP(V225,جرقمإستدلالي,'f-travail'!$AD$4+1,FALSE)</f>
        <v>#N/A</v>
      </c>
      <c r="X225" s="671" t="e">
        <f t="shared" si="94"/>
        <v>#N/A</v>
      </c>
      <c r="Y225" s="671">
        <f>IF(G225="مدير ولائي",(HLOOKUP(I225,جدروظعليا,'f-travail'!$AT$3+1,FALSE)-3200),0)</f>
        <v>0</v>
      </c>
      <c r="Z225" s="672" t="str">
        <f t="shared" si="105"/>
        <v/>
      </c>
      <c r="AA225" s="671">
        <f t="shared" si="106"/>
        <v>0</v>
      </c>
      <c r="AB225" s="677" t="b">
        <f t="shared" si="95"/>
        <v>0</v>
      </c>
      <c r="AC225" s="678">
        <f t="shared" si="107"/>
        <v>0</v>
      </c>
      <c r="AD225" s="673"/>
      <c r="AE225" s="678">
        <f t="shared" si="96"/>
        <v>0</v>
      </c>
      <c r="AF225" s="678" t="e">
        <f t="shared" si="97"/>
        <v>#N/A</v>
      </c>
      <c r="AG225" s="678" t="e">
        <f t="shared" si="98"/>
        <v>#N/A</v>
      </c>
      <c r="AH225" s="673">
        <f t="shared" si="108"/>
        <v>0</v>
      </c>
      <c r="AI225" s="674" t="e">
        <f>IF(G225="مدير ولائي",(11000*35%),LOOKUP(D225,'f-travail'!A:A,'f-travail'!I:I))</f>
        <v>#N/A</v>
      </c>
      <c r="AJ225" s="673" t="e">
        <f>IF(G225="مدير ولائي",((W225+X225)*45)*80%,IF(V225&lt;8,0,IF(F225="إليزي",(LOOKUP(D225,'f-travail'!A:A,'f-travail'!O:O))*(AF225+AG225),LOOKUP(D225,'f-travail'!A:A,'f-travail'!P:P)*(AF225+AG225))))</f>
        <v>#N/A</v>
      </c>
      <c r="AK225" s="673" t="e">
        <f>IF(G225="مدير ولائي",0,LOOKUP(D225,'f-travail'!A:A,'f-travail'!Q:Q))</f>
        <v>#N/A</v>
      </c>
      <c r="AL225" s="673" t="e">
        <f>IF(G225="مدير ولائي",0,LOOKUP(D225,'f-travail'!A:A,'f-travail'!R:R)*(AF225+AG225))</f>
        <v>#N/A</v>
      </c>
      <c r="AM225" s="673" t="e">
        <f>IF(G225="مدير ولائي",0,LOOKUP(D225,'f-travail'!A:A,'f-travail'!S:S)*(AF225+AG225))</f>
        <v>#N/A</v>
      </c>
      <c r="AN225" s="673" t="e">
        <f>IF(G225="مدير ولائي",0,LOOKUP(D225,'f-travail'!A:A,'f-travail'!T:T)*(AF225+AG225))</f>
        <v>#N/A</v>
      </c>
      <c r="AO225" s="673" t="e">
        <f>IF(G225="مدير ولائي",0,LOOKUP(D225,'f-travail'!A:A,'f-travail'!U:U)*(AF225+AG225))</f>
        <v>#N/A</v>
      </c>
      <c r="AP225" s="673" t="e">
        <f>IF(G225="مدير ولائي",0,LOOKUP(D225,'f-travail'!A:A,'f-travail'!V:V)*(AF225+AG225))</f>
        <v>#N/A</v>
      </c>
      <c r="AQ225" s="673" t="e">
        <f>IF(G225="مدير ولائي",0,LOOKUP(D225,'f-travail'!A:A,'f-travail'!W:W)*(AF225+AG225))</f>
        <v>#N/A</v>
      </c>
      <c r="AR225" s="673">
        <f t="shared" si="109"/>
        <v>0</v>
      </c>
      <c r="AS225" s="673" t="e">
        <f>IF(G225="مدير ولائي",0,LOOKUP(D225,'f-travail'!A:A,'f-travail'!X:X)*(AF225+AG225))</f>
        <v>#N/A</v>
      </c>
      <c r="AT225" s="673" t="e">
        <f>IF(G225="مدير ولائي",0,LOOKUP(D225,'f-travail'!Y:Y,'f-travail'!R:R)*(AF225+AG225))</f>
        <v>#N/A</v>
      </c>
      <c r="AU225" s="673">
        <f t="shared" si="99"/>
        <v>0</v>
      </c>
      <c r="AV225" s="673">
        <f t="shared" si="100"/>
        <v>0</v>
      </c>
      <c r="AW225" s="673">
        <f t="shared" si="101"/>
        <v>0</v>
      </c>
      <c r="AY225" s="640" t="e">
        <f t="shared" si="110"/>
        <v>#N/A</v>
      </c>
      <c r="AZ225" s="673" t="e">
        <f t="shared" si="102"/>
        <v>#N/A</v>
      </c>
      <c r="BA225" s="639" t="e">
        <f t="shared" si="103"/>
        <v>#N/A</v>
      </c>
      <c r="BG225" s="639">
        <f t="shared" si="111"/>
        <v>0</v>
      </c>
      <c r="BH225" s="683">
        <f t="shared" si="112"/>
        <v>0</v>
      </c>
      <c r="BI225" s="683">
        <f t="shared" si="113"/>
        <v>0</v>
      </c>
      <c r="BJ225" s="641" t="e">
        <f t="shared" si="114"/>
        <v>#N/A</v>
      </c>
      <c r="BK225" s="641" t="e">
        <f t="shared" si="115"/>
        <v>#N/A</v>
      </c>
      <c r="BL225" s="641" t="e">
        <f t="shared" si="116"/>
        <v>#N/A</v>
      </c>
      <c r="BM225" s="684" t="e">
        <f t="shared" si="117"/>
        <v>#N/A</v>
      </c>
      <c r="BO225" s="682" t="e">
        <f>CONCATENATE(Z225," ",LOOKUP(D225,'f-travail'!A:A,'f-travail'!F:F))</f>
        <v>#N/A</v>
      </c>
      <c r="BP225" s="669" t="e">
        <f t="shared" si="104"/>
        <v>#N/A</v>
      </c>
    </row>
    <row r="226" spans="1:68">
      <c r="A226" s="636">
        <f t="shared" si="118"/>
        <v>225</v>
      </c>
      <c r="B226" s="637"/>
      <c r="C226" s="637"/>
      <c r="D226" s="652"/>
      <c r="E226" s="679" t="e">
        <f>LOOKUP(D226,'f-travail'!A:A,'f-travail'!B:B)</f>
        <v>#N/A</v>
      </c>
      <c r="F226" s="650"/>
      <c r="G226" s="650"/>
      <c r="H226" s="653"/>
      <c r="I226" s="653"/>
      <c r="J226" s="654"/>
      <c r="K226" s="650"/>
      <c r="L226" s="650"/>
      <c r="M226" s="650">
        <v>0</v>
      </c>
      <c r="N226" s="654"/>
      <c r="O226" s="654"/>
      <c r="P226" s="654"/>
      <c r="Q226" s="654"/>
      <c r="R226" s="676"/>
      <c r="S226" s="654"/>
      <c r="T226" s="675"/>
      <c r="U226" s="675"/>
      <c r="V226" s="670" t="e">
        <f>LOOKUP(D226,'f-travail'!A:A,'f-travail'!E:E)</f>
        <v>#N/A</v>
      </c>
      <c r="W226" s="670" t="e">
        <f>VLOOKUP(V226,جرقمإستدلالي,'f-travail'!$AD$4+1,FALSE)</f>
        <v>#N/A</v>
      </c>
      <c r="X226" s="671" t="e">
        <f t="shared" si="94"/>
        <v>#N/A</v>
      </c>
      <c r="Y226" s="671">
        <f>IF(G226="مدير ولائي",(HLOOKUP(I226,جدروظعليا,'f-travail'!$AT$3+1,FALSE)-3200),0)</f>
        <v>0</v>
      </c>
      <c r="Z226" s="672" t="str">
        <f t="shared" si="105"/>
        <v/>
      </c>
      <c r="AA226" s="671">
        <f t="shared" si="106"/>
        <v>0</v>
      </c>
      <c r="AB226" s="677" t="b">
        <f t="shared" si="95"/>
        <v>0</v>
      </c>
      <c r="AC226" s="678">
        <f t="shared" si="107"/>
        <v>0</v>
      </c>
      <c r="AD226" s="673"/>
      <c r="AE226" s="678">
        <f t="shared" si="96"/>
        <v>0</v>
      </c>
      <c r="AF226" s="678" t="e">
        <f t="shared" si="97"/>
        <v>#N/A</v>
      </c>
      <c r="AG226" s="678" t="e">
        <f t="shared" si="98"/>
        <v>#N/A</v>
      </c>
      <c r="AH226" s="673">
        <f t="shared" si="108"/>
        <v>0</v>
      </c>
      <c r="AI226" s="674" t="e">
        <f>IF(G226="مدير ولائي",(11000*35%),LOOKUP(D226,'f-travail'!A:A,'f-travail'!I:I))</f>
        <v>#N/A</v>
      </c>
      <c r="AJ226" s="673" t="e">
        <f>IF(G226="مدير ولائي",((W226+X226)*45)*80%,IF(V226&lt;8,0,IF(F226="إليزي",(LOOKUP(D226,'f-travail'!A:A,'f-travail'!O:O))*(AF226+AG226),LOOKUP(D226,'f-travail'!A:A,'f-travail'!P:P)*(AF226+AG226))))</f>
        <v>#N/A</v>
      </c>
      <c r="AK226" s="673" t="e">
        <f>IF(G226="مدير ولائي",0,LOOKUP(D226,'f-travail'!A:A,'f-travail'!Q:Q))</f>
        <v>#N/A</v>
      </c>
      <c r="AL226" s="673" t="e">
        <f>IF(G226="مدير ولائي",0,LOOKUP(D226,'f-travail'!A:A,'f-travail'!R:R)*(AF226+AG226))</f>
        <v>#N/A</v>
      </c>
      <c r="AM226" s="673" t="e">
        <f>IF(G226="مدير ولائي",0,LOOKUP(D226,'f-travail'!A:A,'f-travail'!S:S)*(AF226+AG226))</f>
        <v>#N/A</v>
      </c>
      <c r="AN226" s="673" t="e">
        <f>IF(G226="مدير ولائي",0,LOOKUP(D226,'f-travail'!A:A,'f-travail'!T:T)*(AF226+AG226))</f>
        <v>#N/A</v>
      </c>
      <c r="AO226" s="673" t="e">
        <f>IF(G226="مدير ولائي",0,LOOKUP(D226,'f-travail'!A:A,'f-travail'!U:U)*(AF226+AG226))</f>
        <v>#N/A</v>
      </c>
      <c r="AP226" s="673" t="e">
        <f>IF(G226="مدير ولائي",0,LOOKUP(D226,'f-travail'!A:A,'f-travail'!V:V)*(AF226+AG226))</f>
        <v>#N/A</v>
      </c>
      <c r="AQ226" s="673" t="e">
        <f>IF(G226="مدير ولائي",0,LOOKUP(D226,'f-travail'!A:A,'f-travail'!W:W)*(AF226+AG226))</f>
        <v>#N/A</v>
      </c>
      <c r="AR226" s="673">
        <f t="shared" si="109"/>
        <v>0</v>
      </c>
      <c r="AS226" s="673" t="e">
        <f>IF(G226="مدير ولائي",0,LOOKUP(D226,'f-travail'!A:A,'f-travail'!X:X)*(AF226+AG226))</f>
        <v>#N/A</v>
      </c>
      <c r="AT226" s="673" t="e">
        <f>IF(G226="مدير ولائي",0,LOOKUP(D226,'f-travail'!Y:Y,'f-travail'!R:R)*(AF226+AG226))</f>
        <v>#N/A</v>
      </c>
      <c r="AU226" s="673">
        <f t="shared" si="99"/>
        <v>0</v>
      </c>
      <c r="AV226" s="673">
        <f t="shared" si="100"/>
        <v>0</v>
      </c>
      <c r="AW226" s="673">
        <f t="shared" si="101"/>
        <v>0</v>
      </c>
      <c r="AY226" s="640" t="e">
        <f t="shared" si="110"/>
        <v>#N/A</v>
      </c>
      <c r="AZ226" s="673" t="e">
        <f t="shared" si="102"/>
        <v>#N/A</v>
      </c>
      <c r="BA226" s="639" t="e">
        <f t="shared" si="103"/>
        <v>#N/A</v>
      </c>
      <c r="BG226" s="639">
        <f t="shared" si="111"/>
        <v>0</v>
      </c>
      <c r="BH226" s="683">
        <f t="shared" si="112"/>
        <v>0</v>
      </c>
      <c r="BI226" s="683">
        <f t="shared" si="113"/>
        <v>0</v>
      </c>
      <c r="BJ226" s="641" t="e">
        <f t="shared" si="114"/>
        <v>#N/A</v>
      </c>
      <c r="BK226" s="641" t="e">
        <f t="shared" si="115"/>
        <v>#N/A</v>
      </c>
      <c r="BL226" s="641" t="e">
        <f t="shared" si="116"/>
        <v>#N/A</v>
      </c>
      <c r="BM226" s="684" t="e">
        <f t="shared" si="117"/>
        <v>#N/A</v>
      </c>
      <c r="BO226" s="682" t="e">
        <f>CONCATENATE(Z226," ",LOOKUP(D226,'f-travail'!A:A,'f-travail'!F:F))</f>
        <v>#N/A</v>
      </c>
      <c r="BP226" s="669" t="e">
        <f t="shared" si="104"/>
        <v>#N/A</v>
      </c>
    </row>
    <row r="227" spans="1:68">
      <c r="A227" s="636">
        <f t="shared" si="118"/>
        <v>226</v>
      </c>
      <c r="B227" s="637"/>
      <c r="C227" s="637"/>
      <c r="D227" s="652"/>
      <c r="E227" s="679" t="e">
        <f>LOOKUP(D227,'f-travail'!A:A,'f-travail'!B:B)</f>
        <v>#N/A</v>
      </c>
      <c r="F227" s="650"/>
      <c r="G227" s="650"/>
      <c r="H227" s="653"/>
      <c r="I227" s="653"/>
      <c r="J227" s="654"/>
      <c r="K227" s="650"/>
      <c r="L227" s="650"/>
      <c r="M227" s="650">
        <v>0</v>
      </c>
      <c r="N227" s="654"/>
      <c r="O227" s="654"/>
      <c r="P227" s="654"/>
      <c r="Q227" s="654"/>
      <c r="R227" s="676"/>
      <c r="S227" s="654"/>
      <c r="T227" s="675"/>
      <c r="U227" s="675"/>
      <c r="V227" s="670" t="e">
        <f>LOOKUP(D227,'f-travail'!A:A,'f-travail'!E:E)</f>
        <v>#N/A</v>
      </c>
      <c r="W227" s="670" t="e">
        <f>VLOOKUP(V227,جرقمإستدلالي,'f-travail'!$AD$4+1,FALSE)</f>
        <v>#N/A</v>
      </c>
      <c r="X227" s="671" t="e">
        <f t="shared" si="94"/>
        <v>#N/A</v>
      </c>
      <c r="Y227" s="671">
        <f>IF(G227="مدير ولائي",(HLOOKUP(I227,جدروظعليا,'f-travail'!$AT$3+1,FALSE)-3200),0)</f>
        <v>0</v>
      </c>
      <c r="Z227" s="672" t="str">
        <f t="shared" si="105"/>
        <v/>
      </c>
      <c r="AA227" s="671">
        <f t="shared" si="106"/>
        <v>0</v>
      </c>
      <c r="AB227" s="677" t="b">
        <f t="shared" si="95"/>
        <v>0</v>
      </c>
      <c r="AC227" s="678">
        <f t="shared" si="107"/>
        <v>0</v>
      </c>
      <c r="AD227" s="673"/>
      <c r="AE227" s="678">
        <f t="shared" si="96"/>
        <v>0</v>
      </c>
      <c r="AF227" s="678" t="e">
        <f t="shared" si="97"/>
        <v>#N/A</v>
      </c>
      <c r="AG227" s="678" t="e">
        <f t="shared" si="98"/>
        <v>#N/A</v>
      </c>
      <c r="AH227" s="673">
        <f t="shared" si="108"/>
        <v>0</v>
      </c>
      <c r="AI227" s="674" t="e">
        <f>IF(G227="مدير ولائي",(11000*35%),LOOKUP(D227,'f-travail'!A:A,'f-travail'!I:I))</f>
        <v>#N/A</v>
      </c>
      <c r="AJ227" s="673" t="e">
        <f>IF(G227="مدير ولائي",((W227+X227)*45)*80%,IF(V227&lt;8,0,IF(F227="إليزي",(LOOKUP(D227,'f-travail'!A:A,'f-travail'!O:O))*(AF227+AG227),LOOKUP(D227,'f-travail'!A:A,'f-travail'!P:P)*(AF227+AG227))))</f>
        <v>#N/A</v>
      </c>
      <c r="AK227" s="673" t="e">
        <f>IF(G227="مدير ولائي",0,LOOKUP(D227,'f-travail'!A:A,'f-travail'!Q:Q))</f>
        <v>#N/A</v>
      </c>
      <c r="AL227" s="673" t="e">
        <f>IF(G227="مدير ولائي",0,LOOKUP(D227,'f-travail'!A:A,'f-travail'!R:R)*(AF227+AG227))</f>
        <v>#N/A</v>
      </c>
      <c r="AM227" s="673" t="e">
        <f>IF(G227="مدير ولائي",0,LOOKUP(D227,'f-travail'!A:A,'f-travail'!S:S)*(AF227+AG227))</f>
        <v>#N/A</v>
      </c>
      <c r="AN227" s="673" t="e">
        <f>IF(G227="مدير ولائي",0,LOOKUP(D227,'f-travail'!A:A,'f-travail'!T:T)*(AF227+AG227))</f>
        <v>#N/A</v>
      </c>
      <c r="AO227" s="673" t="e">
        <f>IF(G227="مدير ولائي",0,LOOKUP(D227,'f-travail'!A:A,'f-travail'!U:U)*(AF227+AG227))</f>
        <v>#N/A</v>
      </c>
      <c r="AP227" s="673" t="e">
        <f>IF(G227="مدير ولائي",0,LOOKUP(D227,'f-travail'!A:A,'f-travail'!V:V)*(AF227+AG227))</f>
        <v>#N/A</v>
      </c>
      <c r="AQ227" s="673" t="e">
        <f>IF(G227="مدير ولائي",0,LOOKUP(D227,'f-travail'!A:A,'f-travail'!W:W)*(AF227+AG227))</f>
        <v>#N/A</v>
      </c>
      <c r="AR227" s="673">
        <f t="shared" si="109"/>
        <v>0</v>
      </c>
      <c r="AS227" s="673" t="e">
        <f>IF(G227="مدير ولائي",0,LOOKUP(D227,'f-travail'!A:A,'f-travail'!X:X)*(AF227+AG227))</f>
        <v>#N/A</v>
      </c>
      <c r="AT227" s="673" t="e">
        <f>IF(G227="مدير ولائي",0,LOOKUP(D227,'f-travail'!Y:Y,'f-travail'!R:R)*(AF227+AG227))</f>
        <v>#N/A</v>
      </c>
      <c r="AU227" s="673">
        <f t="shared" si="99"/>
        <v>0</v>
      </c>
      <c r="AV227" s="673">
        <f t="shared" si="100"/>
        <v>0</v>
      </c>
      <c r="AW227" s="673">
        <f t="shared" si="101"/>
        <v>0</v>
      </c>
      <c r="AY227" s="640" t="e">
        <f t="shared" si="110"/>
        <v>#N/A</v>
      </c>
      <c r="AZ227" s="673" t="e">
        <f t="shared" si="102"/>
        <v>#N/A</v>
      </c>
      <c r="BA227" s="639" t="e">
        <f t="shared" si="103"/>
        <v>#N/A</v>
      </c>
      <c r="BG227" s="639">
        <f t="shared" si="111"/>
        <v>0</v>
      </c>
      <c r="BH227" s="683">
        <f t="shared" si="112"/>
        <v>0</v>
      </c>
      <c r="BI227" s="683">
        <f t="shared" si="113"/>
        <v>0</v>
      </c>
      <c r="BJ227" s="641" t="e">
        <f t="shared" si="114"/>
        <v>#N/A</v>
      </c>
      <c r="BK227" s="641" t="e">
        <f t="shared" si="115"/>
        <v>#N/A</v>
      </c>
      <c r="BL227" s="641" t="e">
        <f t="shared" si="116"/>
        <v>#N/A</v>
      </c>
      <c r="BM227" s="684" t="e">
        <f t="shared" si="117"/>
        <v>#N/A</v>
      </c>
      <c r="BO227" s="682" t="e">
        <f>CONCATENATE(Z227," ",LOOKUP(D227,'f-travail'!A:A,'f-travail'!F:F))</f>
        <v>#N/A</v>
      </c>
      <c r="BP227" s="669" t="e">
        <f t="shared" si="104"/>
        <v>#N/A</v>
      </c>
    </row>
    <row r="228" spans="1:68">
      <c r="A228" s="636">
        <f t="shared" si="118"/>
        <v>227</v>
      </c>
      <c r="B228" s="637"/>
      <c r="C228" s="637"/>
      <c r="D228" s="652"/>
      <c r="E228" s="679" t="e">
        <f>LOOKUP(D228,'f-travail'!A:A,'f-travail'!B:B)</f>
        <v>#N/A</v>
      </c>
      <c r="F228" s="650"/>
      <c r="G228" s="650"/>
      <c r="H228" s="653"/>
      <c r="I228" s="653"/>
      <c r="J228" s="654"/>
      <c r="K228" s="650"/>
      <c r="L228" s="650"/>
      <c r="M228" s="650">
        <v>0</v>
      </c>
      <c r="N228" s="654"/>
      <c r="O228" s="654"/>
      <c r="P228" s="654"/>
      <c r="Q228" s="654"/>
      <c r="R228" s="676"/>
      <c r="S228" s="654"/>
      <c r="T228" s="675"/>
      <c r="U228" s="675"/>
      <c r="V228" s="670" t="e">
        <f>LOOKUP(D228,'f-travail'!A:A,'f-travail'!E:E)</f>
        <v>#N/A</v>
      </c>
      <c r="W228" s="670" t="e">
        <f>VLOOKUP(V228,جرقمإستدلالي,'f-travail'!$AD$4+1,FALSE)</f>
        <v>#N/A</v>
      </c>
      <c r="X228" s="671" t="e">
        <f t="shared" si="94"/>
        <v>#N/A</v>
      </c>
      <c r="Y228" s="671">
        <f>IF(G228="مدير ولائي",(HLOOKUP(I228,جدروظعليا,'f-travail'!$AT$3+1,FALSE)-3200),0)</f>
        <v>0</v>
      </c>
      <c r="Z228" s="672" t="str">
        <f t="shared" si="105"/>
        <v/>
      </c>
      <c r="AA228" s="671">
        <f t="shared" si="106"/>
        <v>0</v>
      </c>
      <c r="AB228" s="677" t="b">
        <f t="shared" si="95"/>
        <v>0</v>
      </c>
      <c r="AC228" s="678">
        <f t="shared" si="107"/>
        <v>0</v>
      </c>
      <c r="AD228" s="673"/>
      <c r="AE228" s="678">
        <f t="shared" si="96"/>
        <v>0</v>
      </c>
      <c r="AF228" s="678" t="e">
        <f t="shared" si="97"/>
        <v>#N/A</v>
      </c>
      <c r="AG228" s="678" t="e">
        <f t="shared" si="98"/>
        <v>#N/A</v>
      </c>
      <c r="AH228" s="673">
        <f t="shared" si="108"/>
        <v>0</v>
      </c>
      <c r="AI228" s="674" t="e">
        <f>IF(G228="مدير ولائي",(11000*35%),LOOKUP(D228,'f-travail'!A:A,'f-travail'!I:I))</f>
        <v>#N/A</v>
      </c>
      <c r="AJ228" s="673" t="e">
        <f>IF(G228="مدير ولائي",((W228+X228)*45)*80%,IF(V228&lt;8,0,IF(F228="إليزي",(LOOKUP(D228,'f-travail'!A:A,'f-travail'!O:O))*(AF228+AG228),LOOKUP(D228,'f-travail'!A:A,'f-travail'!P:P)*(AF228+AG228))))</f>
        <v>#N/A</v>
      </c>
      <c r="AK228" s="673" t="e">
        <f>IF(G228="مدير ولائي",0,LOOKUP(D228,'f-travail'!A:A,'f-travail'!Q:Q))</f>
        <v>#N/A</v>
      </c>
      <c r="AL228" s="673" t="e">
        <f>IF(G228="مدير ولائي",0,LOOKUP(D228,'f-travail'!A:A,'f-travail'!R:R)*(AF228+AG228))</f>
        <v>#N/A</v>
      </c>
      <c r="AM228" s="673" t="e">
        <f>IF(G228="مدير ولائي",0,LOOKUP(D228,'f-travail'!A:A,'f-travail'!S:S)*(AF228+AG228))</f>
        <v>#N/A</v>
      </c>
      <c r="AN228" s="673" t="e">
        <f>IF(G228="مدير ولائي",0,LOOKUP(D228,'f-travail'!A:A,'f-travail'!T:T)*(AF228+AG228))</f>
        <v>#N/A</v>
      </c>
      <c r="AO228" s="673" t="e">
        <f>IF(G228="مدير ولائي",0,LOOKUP(D228,'f-travail'!A:A,'f-travail'!U:U)*(AF228+AG228))</f>
        <v>#N/A</v>
      </c>
      <c r="AP228" s="673" t="e">
        <f>IF(G228="مدير ولائي",0,LOOKUP(D228,'f-travail'!A:A,'f-travail'!V:V)*(AF228+AG228))</f>
        <v>#N/A</v>
      </c>
      <c r="AQ228" s="673" t="e">
        <f>IF(G228="مدير ولائي",0,LOOKUP(D228,'f-travail'!A:A,'f-travail'!W:W)*(AF228+AG228))</f>
        <v>#N/A</v>
      </c>
      <c r="AR228" s="673">
        <f t="shared" si="109"/>
        <v>0</v>
      </c>
      <c r="AS228" s="673" t="e">
        <f>IF(G228="مدير ولائي",0,LOOKUP(D228,'f-travail'!A:A,'f-travail'!X:X)*(AF228+AG228))</f>
        <v>#N/A</v>
      </c>
      <c r="AT228" s="673" t="e">
        <f>IF(G228="مدير ولائي",0,LOOKUP(D228,'f-travail'!Y:Y,'f-travail'!R:R)*(AF228+AG228))</f>
        <v>#N/A</v>
      </c>
      <c r="AU228" s="673">
        <f t="shared" si="99"/>
        <v>0</v>
      </c>
      <c r="AV228" s="673">
        <f t="shared" si="100"/>
        <v>0</v>
      </c>
      <c r="AW228" s="673">
        <f t="shared" si="101"/>
        <v>0</v>
      </c>
      <c r="AY228" s="640" t="e">
        <f t="shared" si="110"/>
        <v>#N/A</v>
      </c>
      <c r="AZ228" s="673" t="e">
        <f t="shared" si="102"/>
        <v>#N/A</v>
      </c>
      <c r="BA228" s="639" t="e">
        <f t="shared" si="103"/>
        <v>#N/A</v>
      </c>
      <c r="BG228" s="639">
        <f t="shared" si="111"/>
        <v>0</v>
      </c>
      <c r="BH228" s="683">
        <f t="shared" si="112"/>
        <v>0</v>
      </c>
      <c r="BI228" s="683">
        <f t="shared" si="113"/>
        <v>0</v>
      </c>
      <c r="BJ228" s="641" t="e">
        <f t="shared" si="114"/>
        <v>#N/A</v>
      </c>
      <c r="BK228" s="641" t="e">
        <f t="shared" si="115"/>
        <v>#N/A</v>
      </c>
      <c r="BL228" s="641" t="e">
        <f t="shared" si="116"/>
        <v>#N/A</v>
      </c>
      <c r="BM228" s="684" t="e">
        <f t="shared" si="117"/>
        <v>#N/A</v>
      </c>
      <c r="BO228" s="682" t="e">
        <f>CONCATENATE(Z228," ",LOOKUP(D228,'f-travail'!A:A,'f-travail'!F:F))</f>
        <v>#N/A</v>
      </c>
      <c r="BP228" s="669" t="e">
        <f t="shared" si="104"/>
        <v>#N/A</v>
      </c>
    </row>
    <row r="229" spans="1:68">
      <c r="A229" s="636">
        <f t="shared" si="118"/>
        <v>228</v>
      </c>
      <c r="B229" s="637"/>
      <c r="C229" s="637"/>
      <c r="D229" s="652"/>
      <c r="E229" s="679" t="e">
        <f>LOOKUP(D229,'f-travail'!A:A,'f-travail'!B:B)</f>
        <v>#N/A</v>
      </c>
      <c r="F229" s="650"/>
      <c r="G229" s="650"/>
      <c r="H229" s="653"/>
      <c r="I229" s="653"/>
      <c r="J229" s="654"/>
      <c r="K229" s="650"/>
      <c r="L229" s="650"/>
      <c r="M229" s="650">
        <v>0</v>
      </c>
      <c r="N229" s="654"/>
      <c r="O229" s="654"/>
      <c r="P229" s="654"/>
      <c r="Q229" s="654"/>
      <c r="R229" s="676"/>
      <c r="S229" s="654"/>
      <c r="T229" s="675"/>
      <c r="U229" s="675"/>
      <c r="V229" s="670" t="e">
        <f>LOOKUP(D229,'f-travail'!A:A,'f-travail'!E:E)</f>
        <v>#N/A</v>
      </c>
      <c r="W229" s="670" t="e">
        <f>VLOOKUP(V229,جرقمإستدلالي,'f-travail'!$AD$4+1,FALSE)</f>
        <v>#N/A</v>
      </c>
      <c r="X229" s="671" t="e">
        <f t="shared" si="94"/>
        <v>#N/A</v>
      </c>
      <c r="Y229" s="671">
        <f>IF(G229="مدير ولائي",(HLOOKUP(I229,جدروظعليا,'f-travail'!$AT$3+1,FALSE)-3200),0)</f>
        <v>0</v>
      </c>
      <c r="Z229" s="672" t="str">
        <f t="shared" si="105"/>
        <v/>
      </c>
      <c r="AA229" s="671">
        <f t="shared" si="106"/>
        <v>0</v>
      </c>
      <c r="AB229" s="677" t="b">
        <f t="shared" si="95"/>
        <v>0</v>
      </c>
      <c r="AC229" s="678">
        <f t="shared" si="107"/>
        <v>0</v>
      </c>
      <c r="AD229" s="673"/>
      <c r="AE229" s="678">
        <f t="shared" si="96"/>
        <v>0</v>
      </c>
      <c r="AF229" s="678" t="e">
        <f t="shared" si="97"/>
        <v>#N/A</v>
      </c>
      <c r="AG229" s="678" t="e">
        <f t="shared" si="98"/>
        <v>#N/A</v>
      </c>
      <c r="AH229" s="673">
        <f t="shared" si="108"/>
        <v>0</v>
      </c>
      <c r="AI229" s="674" t="e">
        <f>IF(G229="مدير ولائي",(11000*35%),LOOKUP(D229,'f-travail'!A:A,'f-travail'!I:I))</f>
        <v>#N/A</v>
      </c>
      <c r="AJ229" s="673" t="e">
        <f>IF(G229="مدير ولائي",((W229+X229)*45)*80%,IF(V229&lt;8,0,IF(F229="إليزي",(LOOKUP(D229,'f-travail'!A:A,'f-travail'!O:O))*(AF229+AG229),LOOKUP(D229,'f-travail'!A:A,'f-travail'!P:P)*(AF229+AG229))))</f>
        <v>#N/A</v>
      </c>
      <c r="AK229" s="673" t="e">
        <f>IF(G229="مدير ولائي",0,LOOKUP(D229,'f-travail'!A:A,'f-travail'!Q:Q))</f>
        <v>#N/A</v>
      </c>
      <c r="AL229" s="673" t="e">
        <f>IF(G229="مدير ولائي",0,LOOKUP(D229,'f-travail'!A:A,'f-travail'!R:R)*(AF229+AG229))</f>
        <v>#N/A</v>
      </c>
      <c r="AM229" s="673" t="e">
        <f>IF(G229="مدير ولائي",0,LOOKUP(D229,'f-travail'!A:A,'f-travail'!S:S)*(AF229+AG229))</f>
        <v>#N/A</v>
      </c>
      <c r="AN229" s="673" t="e">
        <f>IF(G229="مدير ولائي",0,LOOKUP(D229,'f-travail'!A:A,'f-travail'!T:T)*(AF229+AG229))</f>
        <v>#N/A</v>
      </c>
      <c r="AO229" s="673" t="e">
        <f>IF(G229="مدير ولائي",0,LOOKUP(D229,'f-travail'!A:A,'f-travail'!U:U)*(AF229+AG229))</f>
        <v>#N/A</v>
      </c>
      <c r="AP229" s="673" t="e">
        <f>IF(G229="مدير ولائي",0,LOOKUP(D229,'f-travail'!A:A,'f-travail'!V:V)*(AF229+AG229))</f>
        <v>#N/A</v>
      </c>
      <c r="AQ229" s="673" t="e">
        <f>IF(G229="مدير ولائي",0,LOOKUP(D229,'f-travail'!A:A,'f-travail'!W:W)*(AF229+AG229))</f>
        <v>#N/A</v>
      </c>
      <c r="AR229" s="673">
        <f t="shared" si="109"/>
        <v>0</v>
      </c>
      <c r="AS229" s="673" t="e">
        <f>IF(G229="مدير ولائي",0,LOOKUP(D229,'f-travail'!A:A,'f-travail'!X:X)*(AF229+AG229))</f>
        <v>#N/A</v>
      </c>
      <c r="AT229" s="673" t="e">
        <f>IF(G229="مدير ولائي",0,LOOKUP(D229,'f-travail'!Y:Y,'f-travail'!R:R)*(AF229+AG229))</f>
        <v>#N/A</v>
      </c>
      <c r="AU229" s="673">
        <f t="shared" si="99"/>
        <v>0</v>
      </c>
      <c r="AV229" s="673">
        <f t="shared" si="100"/>
        <v>0</v>
      </c>
      <c r="AW229" s="673">
        <f t="shared" si="101"/>
        <v>0</v>
      </c>
      <c r="AY229" s="640" t="e">
        <f t="shared" si="110"/>
        <v>#N/A</v>
      </c>
      <c r="AZ229" s="673" t="e">
        <f t="shared" si="102"/>
        <v>#N/A</v>
      </c>
      <c r="BA229" s="639" t="e">
        <f t="shared" si="103"/>
        <v>#N/A</v>
      </c>
      <c r="BG229" s="639">
        <f t="shared" si="111"/>
        <v>0</v>
      </c>
      <c r="BH229" s="683">
        <f t="shared" si="112"/>
        <v>0</v>
      </c>
      <c r="BI229" s="683">
        <f t="shared" si="113"/>
        <v>0</v>
      </c>
      <c r="BJ229" s="641" t="e">
        <f t="shared" si="114"/>
        <v>#N/A</v>
      </c>
      <c r="BK229" s="641" t="e">
        <f t="shared" si="115"/>
        <v>#N/A</v>
      </c>
      <c r="BL229" s="641" t="e">
        <f t="shared" si="116"/>
        <v>#N/A</v>
      </c>
      <c r="BM229" s="684" t="e">
        <f t="shared" si="117"/>
        <v>#N/A</v>
      </c>
      <c r="BO229" s="682" t="e">
        <f>CONCATENATE(Z229," ",LOOKUP(D229,'f-travail'!A:A,'f-travail'!F:F))</f>
        <v>#N/A</v>
      </c>
      <c r="BP229" s="669" t="e">
        <f t="shared" si="104"/>
        <v>#N/A</v>
      </c>
    </row>
    <row r="230" spans="1:68">
      <c r="A230" s="636">
        <f t="shared" si="118"/>
        <v>229</v>
      </c>
      <c r="B230" s="637"/>
      <c r="C230" s="637"/>
      <c r="D230" s="652"/>
      <c r="E230" s="679" t="e">
        <f>LOOKUP(D230,'f-travail'!A:A,'f-travail'!B:B)</f>
        <v>#N/A</v>
      </c>
      <c r="F230" s="650"/>
      <c r="G230" s="650"/>
      <c r="H230" s="653"/>
      <c r="I230" s="653"/>
      <c r="J230" s="654"/>
      <c r="K230" s="650"/>
      <c r="L230" s="650"/>
      <c r="M230" s="650">
        <v>0</v>
      </c>
      <c r="N230" s="654"/>
      <c r="O230" s="654"/>
      <c r="P230" s="654"/>
      <c r="Q230" s="654"/>
      <c r="R230" s="676"/>
      <c r="S230" s="654"/>
      <c r="T230" s="675"/>
      <c r="U230" s="675"/>
      <c r="V230" s="670" t="e">
        <f>LOOKUP(D230,'f-travail'!A:A,'f-travail'!E:E)</f>
        <v>#N/A</v>
      </c>
      <c r="W230" s="670" t="e">
        <f>VLOOKUP(V230,جرقمإستدلالي,'f-travail'!$AD$4+1,FALSE)</f>
        <v>#N/A</v>
      </c>
      <c r="X230" s="671" t="e">
        <f t="shared" si="94"/>
        <v>#N/A</v>
      </c>
      <c r="Y230" s="671">
        <f>IF(G230="مدير ولائي",(HLOOKUP(I230,جدروظعليا,'f-travail'!$AT$3+1,FALSE)-3200),0)</f>
        <v>0</v>
      </c>
      <c r="Z230" s="672" t="str">
        <f t="shared" si="105"/>
        <v/>
      </c>
      <c r="AA230" s="671">
        <f t="shared" si="106"/>
        <v>0</v>
      </c>
      <c r="AB230" s="677" t="b">
        <f t="shared" si="95"/>
        <v>0</v>
      </c>
      <c r="AC230" s="678">
        <f t="shared" si="107"/>
        <v>0</v>
      </c>
      <c r="AD230" s="673"/>
      <c r="AE230" s="678">
        <f t="shared" si="96"/>
        <v>0</v>
      </c>
      <c r="AF230" s="678" t="e">
        <f t="shared" si="97"/>
        <v>#N/A</v>
      </c>
      <c r="AG230" s="678" t="e">
        <f t="shared" si="98"/>
        <v>#N/A</v>
      </c>
      <c r="AH230" s="673">
        <f t="shared" si="108"/>
        <v>0</v>
      </c>
      <c r="AI230" s="674" t="e">
        <f>IF(G230="مدير ولائي",(11000*35%),LOOKUP(D230,'f-travail'!A:A,'f-travail'!I:I))</f>
        <v>#N/A</v>
      </c>
      <c r="AJ230" s="673" t="e">
        <f>IF(G230="مدير ولائي",((W230+X230)*45)*80%,IF(V230&lt;8,0,IF(F230="إليزي",(LOOKUP(D230,'f-travail'!A:A,'f-travail'!O:O))*(AF230+AG230),LOOKUP(D230,'f-travail'!A:A,'f-travail'!P:P)*(AF230+AG230))))</f>
        <v>#N/A</v>
      </c>
      <c r="AK230" s="673" t="e">
        <f>IF(G230="مدير ولائي",0,LOOKUP(D230,'f-travail'!A:A,'f-travail'!Q:Q))</f>
        <v>#N/A</v>
      </c>
      <c r="AL230" s="673" t="e">
        <f>IF(G230="مدير ولائي",0,LOOKUP(D230,'f-travail'!A:A,'f-travail'!R:R)*(AF230+AG230))</f>
        <v>#N/A</v>
      </c>
      <c r="AM230" s="673" t="e">
        <f>IF(G230="مدير ولائي",0,LOOKUP(D230,'f-travail'!A:A,'f-travail'!S:S)*(AF230+AG230))</f>
        <v>#N/A</v>
      </c>
      <c r="AN230" s="673" t="e">
        <f>IF(G230="مدير ولائي",0,LOOKUP(D230,'f-travail'!A:A,'f-travail'!T:T)*(AF230+AG230))</f>
        <v>#N/A</v>
      </c>
      <c r="AO230" s="673" t="e">
        <f>IF(G230="مدير ولائي",0,LOOKUP(D230,'f-travail'!A:A,'f-travail'!U:U)*(AF230+AG230))</f>
        <v>#N/A</v>
      </c>
      <c r="AP230" s="673" t="e">
        <f>IF(G230="مدير ولائي",0,LOOKUP(D230,'f-travail'!A:A,'f-travail'!V:V)*(AF230+AG230))</f>
        <v>#N/A</v>
      </c>
      <c r="AQ230" s="673" t="e">
        <f>IF(G230="مدير ولائي",0,LOOKUP(D230,'f-travail'!A:A,'f-travail'!W:W)*(AF230+AG230))</f>
        <v>#N/A</v>
      </c>
      <c r="AR230" s="673">
        <f t="shared" si="109"/>
        <v>0</v>
      </c>
      <c r="AS230" s="673" t="e">
        <f>IF(G230="مدير ولائي",0,LOOKUP(D230,'f-travail'!A:A,'f-travail'!X:X)*(AF230+AG230))</f>
        <v>#N/A</v>
      </c>
      <c r="AT230" s="673" t="e">
        <f>IF(G230="مدير ولائي",0,LOOKUP(D230,'f-travail'!Y:Y,'f-travail'!R:R)*(AF230+AG230))</f>
        <v>#N/A</v>
      </c>
      <c r="AU230" s="673">
        <f t="shared" si="99"/>
        <v>0</v>
      </c>
      <c r="AV230" s="673">
        <f t="shared" si="100"/>
        <v>0</v>
      </c>
      <c r="AW230" s="673">
        <f t="shared" si="101"/>
        <v>0</v>
      </c>
      <c r="AY230" s="640" t="e">
        <f t="shared" si="110"/>
        <v>#N/A</v>
      </c>
      <c r="AZ230" s="673" t="e">
        <f t="shared" si="102"/>
        <v>#N/A</v>
      </c>
      <c r="BA230" s="639" t="e">
        <f t="shared" si="103"/>
        <v>#N/A</v>
      </c>
      <c r="BG230" s="639">
        <f t="shared" si="111"/>
        <v>0</v>
      </c>
      <c r="BH230" s="683">
        <f t="shared" si="112"/>
        <v>0</v>
      </c>
      <c r="BI230" s="683">
        <f t="shared" si="113"/>
        <v>0</v>
      </c>
      <c r="BJ230" s="641" t="e">
        <f t="shared" si="114"/>
        <v>#N/A</v>
      </c>
      <c r="BK230" s="641" t="e">
        <f t="shared" si="115"/>
        <v>#N/A</v>
      </c>
      <c r="BL230" s="641" t="e">
        <f t="shared" si="116"/>
        <v>#N/A</v>
      </c>
      <c r="BM230" s="684" t="e">
        <f t="shared" si="117"/>
        <v>#N/A</v>
      </c>
      <c r="BO230" s="682" t="e">
        <f>CONCATENATE(Z230," ",LOOKUP(D230,'f-travail'!A:A,'f-travail'!F:F))</f>
        <v>#N/A</v>
      </c>
      <c r="BP230" s="669" t="e">
        <f t="shared" si="104"/>
        <v>#N/A</v>
      </c>
    </row>
    <row r="231" spans="1:68">
      <c r="A231" s="636">
        <f t="shared" si="118"/>
        <v>230</v>
      </c>
      <c r="B231" s="637"/>
      <c r="C231" s="637"/>
      <c r="D231" s="652"/>
      <c r="E231" s="679" t="e">
        <f>LOOKUP(D231,'f-travail'!A:A,'f-travail'!B:B)</f>
        <v>#N/A</v>
      </c>
      <c r="F231" s="650"/>
      <c r="G231" s="650"/>
      <c r="H231" s="653"/>
      <c r="I231" s="653"/>
      <c r="J231" s="654"/>
      <c r="K231" s="650"/>
      <c r="L231" s="650"/>
      <c r="M231" s="650">
        <v>0</v>
      </c>
      <c r="N231" s="654"/>
      <c r="O231" s="654"/>
      <c r="P231" s="654"/>
      <c r="Q231" s="654"/>
      <c r="R231" s="676"/>
      <c r="S231" s="654"/>
      <c r="T231" s="675"/>
      <c r="U231" s="675"/>
      <c r="V231" s="670" t="e">
        <f>LOOKUP(D231,'f-travail'!A:A,'f-travail'!E:E)</f>
        <v>#N/A</v>
      </c>
      <c r="W231" s="670" t="e">
        <f>VLOOKUP(V231,جرقمإستدلالي,'f-travail'!$AD$4+1,FALSE)</f>
        <v>#N/A</v>
      </c>
      <c r="X231" s="671" t="e">
        <f t="shared" si="94"/>
        <v>#N/A</v>
      </c>
      <c r="Y231" s="671">
        <f>IF(G231="مدير ولائي",(HLOOKUP(I231,جدروظعليا,'f-travail'!$AT$3+1,FALSE)-3200),0)</f>
        <v>0</v>
      </c>
      <c r="Z231" s="672" t="str">
        <f t="shared" si="105"/>
        <v/>
      </c>
      <c r="AA231" s="671">
        <f t="shared" si="106"/>
        <v>0</v>
      </c>
      <c r="AB231" s="677" t="b">
        <f t="shared" si="95"/>
        <v>0</v>
      </c>
      <c r="AC231" s="678">
        <f t="shared" si="107"/>
        <v>0</v>
      </c>
      <c r="AD231" s="673"/>
      <c r="AE231" s="678">
        <f t="shared" si="96"/>
        <v>0</v>
      </c>
      <c r="AF231" s="678" t="e">
        <f t="shared" si="97"/>
        <v>#N/A</v>
      </c>
      <c r="AG231" s="678" t="e">
        <f t="shared" si="98"/>
        <v>#N/A</v>
      </c>
      <c r="AH231" s="673">
        <f t="shared" si="108"/>
        <v>0</v>
      </c>
      <c r="AI231" s="674" t="e">
        <f>IF(G231="مدير ولائي",(11000*35%),LOOKUP(D231,'f-travail'!A:A,'f-travail'!I:I))</f>
        <v>#N/A</v>
      </c>
      <c r="AJ231" s="673" t="e">
        <f>IF(G231="مدير ولائي",((W231+X231)*45)*80%,IF(V231&lt;8,0,IF(F231="إليزي",(LOOKUP(D231,'f-travail'!A:A,'f-travail'!O:O))*(AF231+AG231),LOOKUP(D231,'f-travail'!A:A,'f-travail'!P:P)*(AF231+AG231))))</f>
        <v>#N/A</v>
      </c>
      <c r="AK231" s="673" t="e">
        <f>IF(G231="مدير ولائي",0,LOOKUP(D231,'f-travail'!A:A,'f-travail'!Q:Q))</f>
        <v>#N/A</v>
      </c>
      <c r="AL231" s="673" t="e">
        <f>IF(G231="مدير ولائي",0,LOOKUP(D231,'f-travail'!A:A,'f-travail'!R:R)*(AF231+AG231))</f>
        <v>#N/A</v>
      </c>
      <c r="AM231" s="673" t="e">
        <f>IF(G231="مدير ولائي",0,LOOKUP(D231,'f-travail'!A:A,'f-travail'!S:S)*(AF231+AG231))</f>
        <v>#N/A</v>
      </c>
      <c r="AN231" s="673" t="e">
        <f>IF(G231="مدير ولائي",0,LOOKUP(D231,'f-travail'!A:A,'f-travail'!T:T)*(AF231+AG231))</f>
        <v>#N/A</v>
      </c>
      <c r="AO231" s="673" t="e">
        <f>IF(G231="مدير ولائي",0,LOOKUP(D231,'f-travail'!A:A,'f-travail'!U:U)*(AF231+AG231))</f>
        <v>#N/A</v>
      </c>
      <c r="AP231" s="673" t="e">
        <f>IF(G231="مدير ولائي",0,LOOKUP(D231,'f-travail'!A:A,'f-travail'!V:V)*(AF231+AG231))</f>
        <v>#N/A</v>
      </c>
      <c r="AQ231" s="673" t="e">
        <f>IF(G231="مدير ولائي",0,LOOKUP(D231,'f-travail'!A:A,'f-travail'!W:W)*(AF231+AG231))</f>
        <v>#N/A</v>
      </c>
      <c r="AR231" s="673">
        <f t="shared" si="109"/>
        <v>0</v>
      </c>
      <c r="AS231" s="673" t="e">
        <f>IF(G231="مدير ولائي",0,LOOKUP(D231,'f-travail'!A:A,'f-travail'!X:X)*(AF231+AG231))</f>
        <v>#N/A</v>
      </c>
      <c r="AT231" s="673" t="e">
        <f>IF(G231="مدير ولائي",0,LOOKUP(D231,'f-travail'!Y:Y,'f-travail'!R:R)*(AF231+AG231))</f>
        <v>#N/A</v>
      </c>
      <c r="AU231" s="673">
        <f t="shared" si="99"/>
        <v>0</v>
      </c>
      <c r="AV231" s="673">
        <f t="shared" si="100"/>
        <v>0</v>
      </c>
      <c r="AW231" s="673">
        <f t="shared" si="101"/>
        <v>0</v>
      </c>
      <c r="AY231" s="640" t="e">
        <f t="shared" si="110"/>
        <v>#N/A</v>
      </c>
      <c r="AZ231" s="673" t="e">
        <f t="shared" si="102"/>
        <v>#N/A</v>
      </c>
      <c r="BA231" s="639" t="e">
        <f t="shared" si="103"/>
        <v>#N/A</v>
      </c>
      <c r="BG231" s="639">
        <f t="shared" si="111"/>
        <v>0</v>
      </c>
      <c r="BH231" s="683">
        <f t="shared" si="112"/>
        <v>0</v>
      </c>
      <c r="BI231" s="683">
        <f t="shared" si="113"/>
        <v>0</v>
      </c>
      <c r="BJ231" s="641" t="e">
        <f t="shared" si="114"/>
        <v>#N/A</v>
      </c>
      <c r="BK231" s="641" t="e">
        <f t="shared" si="115"/>
        <v>#N/A</v>
      </c>
      <c r="BL231" s="641" t="e">
        <f t="shared" si="116"/>
        <v>#N/A</v>
      </c>
      <c r="BM231" s="684" t="e">
        <f t="shared" si="117"/>
        <v>#N/A</v>
      </c>
      <c r="BO231" s="682" t="e">
        <f>CONCATENATE(Z231," ",LOOKUP(D231,'f-travail'!A:A,'f-travail'!F:F))</f>
        <v>#N/A</v>
      </c>
      <c r="BP231" s="669" t="e">
        <f t="shared" si="104"/>
        <v>#N/A</v>
      </c>
    </row>
    <row r="232" spans="1:68">
      <c r="A232" s="636">
        <f t="shared" si="118"/>
        <v>231</v>
      </c>
      <c r="B232" s="637"/>
      <c r="C232" s="637"/>
      <c r="D232" s="652"/>
      <c r="E232" s="679" t="e">
        <f>LOOKUP(D232,'f-travail'!A:A,'f-travail'!B:B)</f>
        <v>#N/A</v>
      </c>
      <c r="F232" s="650"/>
      <c r="G232" s="650"/>
      <c r="H232" s="653"/>
      <c r="I232" s="653"/>
      <c r="J232" s="654"/>
      <c r="K232" s="650"/>
      <c r="L232" s="650"/>
      <c r="M232" s="650">
        <v>0</v>
      </c>
      <c r="N232" s="654"/>
      <c r="O232" s="654"/>
      <c r="P232" s="654"/>
      <c r="Q232" s="654"/>
      <c r="R232" s="676"/>
      <c r="S232" s="654"/>
      <c r="T232" s="675"/>
      <c r="U232" s="675"/>
      <c r="V232" s="670" t="e">
        <f>LOOKUP(D232,'f-travail'!A:A,'f-travail'!E:E)</f>
        <v>#N/A</v>
      </c>
      <c r="W232" s="670" t="e">
        <f>VLOOKUP(V232,جرقمإستدلالي,'f-travail'!$AD$4+1,FALSE)</f>
        <v>#N/A</v>
      </c>
      <c r="X232" s="671" t="e">
        <f t="shared" si="94"/>
        <v>#N/A</v>
      </c>
      <c r="Y232" s="671">
        <f>IF(G232="مدير ولائي",(HLOOKUP(I232,جدروظعليا,'f-travail'!$AT$3+1,FALSE)-3200),0)</f>
        <v>0</v>
      </c>
      <c r="Z232" s="672" t="str">
        <f t="shared" si="105"/>
        <v/>
      </c>
      <c r="AA232" s="671">
        <f t="shared" si="106"/>
        <v>0</v>
      </c>
      <c r="AB232" s="677" t="b">
        <f t="shared" si="95"/>
        <v>0</v>
      </c>
      <c r="AC232" s="678">
        <f t="shared" si="107"/>
        <v>0</v>
      </c>
      <c r="AD232" s="673"/>
      <c r="AE232" s="678">
        <f t="shared" si="96"/>
        <v>0</v>
      </c>
      <c r="AF232" s="678" t="e">
        <f t="shared" si="97"/>
        <v>#N/A</v>
      </c>
      <c r="AG232" s="678" t="e">
        <f t="shared" si="98"/>
        <v>#N/A</v>
      </c>
      <c r="AH232" s="673">
        <f t="shared" si="108"/>
        <v>0</v>
      </c>
      <c r="AI232" s="674" t="e">
        <f>IF(G232="مدير ولائي",(11000*35%),LOOKUP(D232,'f-travail'!A:A,'f-travail'!I:I))</f>
        <v>#N/A</v>
      </c>
      <c r="AJ232" s="673" t="e">
        <f>IF(G232="مدير ولائي",((W232+X232)*45)*80%,IF(V232&lt;8,0,IF(F232="إليزي",(LOOKUP(D232,'f-travail'!A:A,'f-travail'!O:O))*(AF232+AG232),LOOKUP(D232,'f-travail'!A:A,'f-travail'!P:P)*(AF232+AG232))))</f>
        <v>#N/A</v>
      </c>
      <c r="AK232" s="673" t="e">
        <f>IF(G232="مدير ولائي",0,LOOKUP(D232,'f-travail'!A:A,'f-travail'!Q:Q))</f>
        <v>#N/A</v>
      </c>
      <c r="AL232" s="673" t="e">
        <f>IF(G232="مدير ولائي",0,LOOKUP(D232,'f-travail'!A:A,'f-travail'!R:R)*(AF232+AG232))</f>
        <v>#N/A</v>
      </c>
      <c r="AM232" s="673" t="e">
        <f>IF(G232="مدير ولائي",0,LOOKUP(D232,'f-travail'!A:A,'f-travail'!S:S)*(AF232+AG232))</f>
        <v>#N/A</v>
      </c>
      <c r="AN232" s="673" t="e">
        <f>IF(G232="مدير ولائي",0,LOOKUP(D232,'f-travail'!A:A,'f-travail'!T:T)*(AF232+AG232))</f>
        <v>#N/A</v>
      </c>
      <c r="AO232" s="673" t="e">
        <f>IF(G232="مدير ولائي",0,LOOKUP(D232,'f-travail'!A:A,'f-travail'!U:U)*(AF232+AG232))</f>
        <v>#N/A</v>
      </c>
      <c r="AP232" s="673" t="e">
        <f>IF(G232="مدير ولائي",0,LOOKUP(D232,'f-travail'!A:A,'f-travail'!V:V)*(AF232+AG232))</f>
        <v>#N/A</v>
      </c>
      <c r="AQ232" s="673" t="e">
        <f>IF(G232="مدير ولائي",0,LOOKUP(D232,'f-travail'!A:A,'f-travail'!W:W)*(AF232+AG232))</f>
        <v>#N/A</v>
      </c>
      <c r="AR232" s="673">
        <f t="shared" si="109"/>
        <v>0</v>
      </c>
      <c r="AS232" s="673" t="e">
        <f>IF(G232="مدير ولائي",0,LOOKUP(D232,'f-travail'!A:A,'f-travail'!X:X)*(AF232+AG232))</f>
        <v>#N/A</v>
      </c>
      <c r="AT232" s="673" t="e">
        <f>IF(G232="مدير ولائي",0,LOOKUP(D232,'f-travail'!Y:Y,'f-travail'!R:R)*(AF232+AG232))</f>
        <v>#N/A</v>
      </c>
      <c r="AU232" s="673">
        <f t="shared" si="99"/>
        <v>0</v>
      </c>
      <c r="AV232" s="673">
        <f t="shared" si="100"/>
        <v>0</v>
      </c>
      <c r="AW232" s="673">
        <f t="shared" si="101"/>
        <v>0</v>
      </c>
      <c r="AY232" s="640" t="e">
        <f t="shared" si="110"/>
        <v>#N/A</v>
      </c>
      <c r="AZ232" s="673" t="e">
        <f t="shared" si="102"/>
        <v>#N/A</v>
      </c>
      <c r="BA232" s="639" t="e">
        <f t="shared" si="103"/>
        <v>#N/A</v>
      </c>
      <c r="BG232" s="639">
        <f t="shared" si="111"/>
        <v>0</v>
      </c>
      <c r="BH232" s="683">
        <f t="shared" si="112"/>
        <v>0</v>
      </c>
      <c r="BI232" s="683">
        <f t="shared" si="113"/>
        <v>0</v>
      </c>
      <c r="BJ232" s="641" t="e">
        <f t="shared" si="114"/>
        <v>#N/A</v>
      </c>
      <c r="BK232" s="641" t="e">
        <f t="shared" si="115"/>
        <v>#N/A</v>
      </c>
      <c r="BL232" s="641" t="e">
        <f t="shared" si="116"/>
        <v>#N/A</v>
      </c>
      <c r="BM232" s="684" t="e">
        <f t="shared" si="117"/>
        <v>#N/A</v>
      </c>
      <c r="BO232" s="682" t="e">
        <f>CONCATENATE(Z232," ",LOOKUP(D232,'f-travail'!A:A,'f-travail'!F:F))</f>
        <v>#N/A</v>
      </c>
      <c r="BP232" s="669" t="e">
        <f t="shared" si="104"/>
        <v>#N/A</v>
      </c>
    </row>
    <row r="233" spans="1:68">
      <c r="A233" s="636">
        <f t="shared" si="118"/>
        <v>232</v>
      </c>
      <c r="B233" s="637"/>
      <c r="C233" s="637"/>
      <c r="D233" s="652"/>
      <c r="E233" s="679" t="e">
        <f>LOOKUP(D233,'f-travail'!A:A,'f-travail'!B:B)</f>
        <v>#N/A</v>
      </c>
      <c r="F233" s="650"/>
      <c r="G233" s="650"/>
      <c r="H233" s="653"/>
      <c r="I233" s="653"/>
      <c r="J233" s="654"/>
      <c r="K233" s="650"/>
      <c r="L233" s="650"/>
      <c r="M233" s="650">
        <v>0</v>
      </c>
      <c r="N233" s="654"/>
      <c r="O233" s="654"/>
      <c r="P233" s="654"/>
      <c r="Q233" s="654"/>
      <c r="R233" s="676"/>
      <c r="S233" s="654"/>
      <c r="T233" s="675"/>
      <c r="U233" s="675"/>
      <c r="V233" s="670" t="e">
        <f>LOOKUP(D233,'f-travail'!A:A,'f-travail'!E:E)</f>
        <v>#N/A</v>
      </c>
      <c r="W233" s="670" t="e">
        <f>VLOOKUP(V233,جرقمإستدلالي,'f-travail'!$AD$4+1,FALSE)</f>
        <v>#N/A</v>
      </c>
      <c r="X233" s="671" t="e">
        <f t="shared" si="94"/>
        <v>#N/A</v>
      </c>
      <c r="Y233" s="671">
        <f>IF(G233="مدير ولائي",(HLOOKUP(I233,جدروظعليا,'f-travail'!$AT$3+1,FALSE)-3200),0)</f>
        <v>0</v>
      </c>
      <c r="Z233" s="672" t="str">
        <f t="shared" si="105"/>
        <v/>
      </c>
      <c r="AA233" s="671">
        <f t="shared" si="106"/>
        <v>0</v>
      </c>
      <c r="AB233" s="677" t="b">
        <f t="shared" si="95"/>
        <v>0</v>
      </c>
      <c r="AC233" s="678">
        <f t="shared" si="107"/>
        <v>0</v>
      </c>
      <c r="AD233" s="673"/>
      <c r="AE233" s="678">
        <f t="shared" si="96"/>
        <v>0</v>
      </c>
      <c r="AF233" s="678" t="e">
        <f t="shared" si="97"/>
        <v>#N/A</v>
      </c>
      <c r="AG233" s="678" t="e">
        <f t="shared" si="98"/>
        <v>#N/A</v>
      </c>
      <c r="AH233" s="673">
        <f t="shared" si="108"/>
        <v>0</v>
      </c>
      <c r="AI233" s="674" t="e">
        <f>IF(G233="مدير ولائي",(11000*35%),LOOKUP(D233,'f-travail'!A:A,'f-travail'!I:I))</f>
        <v>#N/A</v>
      </c>
      <c r="AJ233" s="673" t="e">
        <f>IF(G233="مدير ولائي",((W233+X233)*45)*80%,IF(V233&lt;8,0,IF(F233="إليزي",(LOOKUP(D233,'f-travail'!A:A,'f-travail'!O:O))*(AF233+AG233),LOOKUP(D233,'f-travail'!A:A,'f-travail'!P:P)*(AF233+AG233))))</f>
        <v>#N/A</v>
      </c>
      <c r="AK233" s="673" t="e">
        <f>IF(G233="مدير ولائي",0,LOOKUP(D233,'f-travail'!A:A,'f-travail'!Q:Q))</f>
        <v>#N/A</v>
      </c>
      <c r="AL233" s="673" t="e">
        <f>IF(G233="مدير ولائي",0,LOOKUP(D233,'f-travail'!A:A,'f-travail'!R:R)*(AF233+AG233))</f>
        <v>#N/A</v>
      </c>
      <c r="AM233" s="673" t="e">
        <f>IF(G233="مدير ولائي",0,LOOKUP(D233,'f-travail'!A:A,'f-travail'!S:S)*(AF233+AG233))</f>
        <v>#N/A</v>
      </c>
      <c r="AN233" s="673" t="e">
        <f>IF(G233="مدير ولائي",0,LOOKUP(D233,'f-travail'!A:A,'f-travail'!T:T)*(AF233+AG233))</f>
        <v>#N/A</v>
      </c>
      <c r="AO233" s="673" t="e">
        <f>IF(G233="مدير ولائي",0,LOOKUP(D233,'f-travail'!A:A,'f-travail'!U:U)*(AF233+AG233))</f>
        <v>#N/A</v>
      </c>
      <c r="AP233" s="673" t="e">
        <f>IF(G233="مدير ولائي",0,LOOKUP(D233,'f-travail'!A:A,'f-travail'!V:V)*(AF233+AG233))</f>
        <v>#N/A</v>
      </c>
      <c r="AQ233" s="673" t="e">
        <f>IF(G233="مدير ولائي",0,LOOKUP(D233,'f-travail'!A:A,'f-travail'!W:W)*(AF233+AG233))</f>
        <v>#N/A</v>
      </c>
      <c r="AR233" s="673">
        <f t="shared" si="109"/>
        <v>0</v>
      </c>
      <c r="AS233" s="673" t="e">
        <f>IF(G233="مدير ولائي",0,LOOKUP(D233,'f-travail'!A:A,'f-travail'!X:X)*(AF233+AG233))</f>
        <v>#N/A</v>
      </c>
      <c r="AT233" s="673" t="e">
        <f>IF(G233="مدير ولائي",0,LOOKUP(D233,'f-travail'!Y:Y,'f-travail'!R:R)*(AF233+AG233))</f>
        <v>#N/A</v>
      </c>
      <c r="AU233" s="673">
        <f t="shared" si="99"/>
        <v>0</v>
      </c>
      <c r="AV233" s="673">
        <f t="shared" si="100"/>
        <v>0</v>
      </c>
      <c r="AW233" s="673">
        <f t="shared" si="101"/>
        <v>0</v>
      </c>
      <c r="AY233" s="640" t="e">
        <f t="shared" si="110"/>
        <v>#N/A</v>
      </c>
      <c r="AZ233" s="673" t="e">
        <f t="shared" si="102"/>
        <v>#N/A</v>
      </c>
      <c r="BA233" s="639" t="e">
        <f t="shared" si="103"/>
        <v>#N/A</v>
      </c>
      <c r="BG233" s="639">
        <f t="shared" si="111"/>
        <v>0</v>
      </c>
      <c r="BH233" s="683">
        <f t="shared" si="112"/>
        <v>0</v>
      </c>
      <c r="BI233" s="683">
        <f t="shared" si="113"/>
        <v>0</v>
      </c>
      <c r="BJ233" s="641" t="e">
        <f t="shared" si="114"/>
        <v>#N/A</v>
      </c>
      <c r="BK233" s="641" t="e">
        <f t="shared" si="115"/>
        <v>#N/A</v>
      </c>
      <c r="BL233" s="641" t="e">
        <f t="shared" si="116"/>
        <v>#N/A</v>
      </c>
      <c r="BM233" s="684" t="e">
        <f t="shared" si="117"/>
        <v>#N/A</v>
      </c>
      <c r="BO233" s="682" t="e">
        <f>CONCATENATE(Z233," ",LOOKUP(D233,'f-travail'!A:A,'f-travail'!F:F))</f>
        <v>#N/A</v>
      </c>
      <c r="BP233" s="669" t="e">
        <f t="shared" si="104"/>
        <v>#N/A</v>
      </c>
    </row>
    <row r="234" spans="1:68">
      <c r="A234" s="636">
        <f t="shared" si="118"/>
        <v>233</v>
      </c>
      <c r="B234" s="637"/>
      <c r="C234" s="637"/>
      <c r="D234" s="652"/>
      <c r="E234" s="679" t="e">
        <f>LOOKUP(D234,'f-travail'!A:A,'f-travail'!B:B)</f>
        <v>#N/A</v>
      </c>
      <c r="F234" s="650"/>
      <c r="G234" s="650"/>
      <c r="H234" s="653"/>
      <c r="I234" s="653"/>
      <c r="J234" s="654"/>
      <c r="K234" s="650"/>
      <c r="L234" s="650"/>
      <c r="M234" s="650">
        <v>0</v>
      </c>
      <c r="N234" s="654"/>
      <c r="O234" s="654"/>
      <c r="P234" s="654"/>
      <c r="Q234" s="654"/>
      <c r="R234" s="676"/>
      <c r="S234" s="654"/>
      <c r="T234" s="675"/>
      <c r="U234" s="675"/>
      <c r="V234" s="670" t="e">
        <f>LOOKUP(D234,'f-travail'!A:A,'f-travail'!E:E)</f>
        <v>#N/A</v>
      </c>
      <c r="W234" s="670" t="e">
        <f>VLOOKUP(V234,جرقمإستدلالي,'f-travail'!$AD$4+1,FALSE)</f>
        <v>#N/A</v>
      </c>
      <c r="X234" s="671" t="e">
        <f t="shared" si="94"/>
        <v>#N/A</v>
      </c>
      <c r="Y234" s="671">
        <f>IF(G234="مدير ولائي",(HLOOKUP(I234,جدروظعليا,'f-travail'!$AT$3+1,FALSE)-3200),0)</f>
        <v>0</v>
      </c>
      <c r="Z234" s="672" t="str">
        <f t="shared" si="105"/>
        <v/>
      </c>
      <c r="AA234" s="671">
        <f t="shared" si="106"/>
        <v>0</v>
      </c>
      <c r="AB234" s="677" t="b">
        <f t="shared" si="95"/>
        <v>0</v>
      </c>
      <c r="AC234" s="678">
        <f t="shared" si="107"/>
        <v>0</v>
      </c>
      <c r="AD234" s="673"/>
      <c r="AE234" s="678">
        <f t="shared" si="96"/>
        <v>0</v>
      </c>
      <c r="AF234" s="678" t="e">
        <f t="shared" si="97"/>
        <v>#N/A</v>
      </c>
      <c r="AG234" s="678" t="e">
        <f t="shared" si="98"/>
        <v>#N/A</v>
      </c>
      <c r="AH234" s="673">
        <f t="shared" si="108"/>
        <v>0</v>
      </c>
      <c r="AI234" s="674" t="e">
        <f>IF(G234="مدير ولائي",(11000*35%),LOOKUP(D234,'f-travail'!A:A,'f-travail'!I:I))</f>
        <v>#N/A</v>
      </c>
      <c r="AJ234" s="673" t="e">
        <f>IF(G234="مدير ولائي",((W234+X234)*45)*80%,IF(V234&lt;8,0,IF(F234="إليزي",(LOOKUP(D234,'f-travail'!A:A,'f-travail'!O:O))*(AF234+AG234),LOOKUP(D234,'f-travail'!A:A,'f-travail'!P:P)*(AF234+AG234))))</f>
        <v>#N/A</v>
      </c>
      <c r="AK234" s="673" t="e">
        <f>IF(G234="مدير ولائي",0,LOOKUP(D234,'f-travail'!A:A,'f-travail'!Q:Q))</f>
        <v>#N/A</v>
      </c>
      <c r="AL234" s="673" t="e">
        <f>IF(G234="مدير ولائي",0,LOOKUP(D234,'f-travail'!A:A,'f-travail'!R:R)*(AF234+AG234))</f>
        <v>#N/A</v>
      </c>
      <c r="AM234" s="673" t="e">
        <f>IF(G234="مدير ولائي",0,LOOKUP(D234,'f-travail'!A:A,'f-travail'!S:S)*(AF234+AG234))</f>
        <v>#N/A</v>
      </c>
      <c r="AN234" s="673" t="e">
        <f>IF(G234="مدير ولائي",0,LOOKUP(D234,'f-travail'!A:A,'f-travail'!T:T)*(AF234+AG234))</f>
        <v>#N/A</v>
      </c>
      <c r="AO234" s="673" t="e">
        <f>IF(G234="مدير ولائي",0,LOOKUP(D234,'f-travail'!A:A,'f-travail'!U:U)*(AF234+AG234))</f>
        <v>#N/A</v>
      </c>
      <c r="AP234" s="673" t="e">
        <f>IF(G234="مدير ولائي",0,LOOKUP(D234,'f-travail'!A:A,'f-travail'!V:V)*(AF234+AG234))</f>
        <v>#N/A</v>
      </c>
      <c r="AQ234" s="673" t="e">
        <f>IF(G234="مدير ولائي",0,LOOKUP(D234,'f-travail'!A:A,'f-travail'!W:W)*(AF234+AG234))</f>
        <v>#N/A</v>
      </c>
      <c r="AR234" s="673">
        <f t="shared" si="109"/>
        <v>0</v>
      </c>
      <c r="AS234" s="673" t="e">
        <f>IF(G234="مدير ولائي",0,LOOKUP(D234,'f-travail'!A:A,'f-travail'!X:X)*(AF234+AG234))</f>
        <v>#N/A</v>
      </c>
      <c r="AT234" s="673" t="e">
        <f>IF(G234="مدير ولائي",0,LOOKUP(D234,'f-travail'!Y:Y,'f-travail'!R:R)*(AF234+AG234))</f>
        <v>#N/A</v>
      </c>
      <c r="AU234" s="673">
        <f t="shared" si="99"/>
        <v>0</v>
      </c>
      <c r="AV234" s="673">
        <f t="shared" si="100"/>
        <v>0</v>
      </c>
      <c r="AW234" s="673">
        <f t="shared" si="101"/>
        <v>0</v>
      </c>
      <c r="AY234" s="640" t="e">
        <f t="shared" si="110"/>
        <v>#N/A</v>
      </c>
      <c r="AZ234" s="673" t="e">
        <f t="shared" si="102"/>
        <v>#N/A</v>
      </c>
      <c r="BA234" s="639" t="e">
        <f t="shared" si="103"/>
        <v>#N/A</v>
      </c>
      <c r="BG234" s="639">
        <f t="shared" si="111"/>
        <v>0</v>
      </c>
      <c r="BH234" s="683">
        <f t="shared" si="112"/>
        <v>0</v>
      </c>
      <c r="BI234" s="683">
        <f t="shared" si="113"/>
        <v>0</v>
      </c>
      <c r="BJ234" s="641" t="e">
        <f t="shared" si="114"/>
        <v>#N/A</v>
      </c>
      <c r="BK234" s="641" t="e">
        <f t="shared" si="115"/>
        <v>#N/A</v>
      </c>
      <c r="BL234" s="641" t="e">
        <f t="shared" si="116"/>
        <v>#N/A</v>
      </c>
      <c r="BM234" s="684" t="e">
        <f t="shared" si="117"/>
        <v>#N/A</v>
      </c>
      <c r="BO234" s="682" t="e">
        <f>CONCATENATE(Z234," ",LOOKUP(D234,'f-travail'!A:A,'f-travail'!F:F))</f>
        <v>#N/A</v>
      </c>
      <c r="BP234" s="669" t="e">
        <f t="shared" si="104"/>
        <v>#N/A</v>
      </c>
    </row>
    <row r="235" spans="1:68">
      <c r="A235" s="636">
        <f t="shared" si="118"/>
        <v>234</v>
      </c>
      <c r="B235" s="637"/>
      <c r="C235" s="637"/>
      <c r="D235" s="652"/>
      <c r="E235" s="679" t="e">
        <f>LOOKUP(D235,'f-travail'!A:A,'f-travail'!B:B)</f>
        <v>#N/A</v>
      </c>
      <c r="F235" s="650"/>
      <c r="G235" s="650"/>
      <c r="H235" s="653"/>
      <c r="I235" s="653"/>
      <c r="J235" s="654"/>
      <c r="K235" s="650"/>
      <c r="L235" s="650"/>
      <c r="M235" s="650">
        <v>0</v>
      </c>
      <c r="N235" s="654"/>
      <c r="O235" s="654"/>
      <c r="P235" s="654"/>
      <c r="Q235" s="654"/>
      <c r="R235" s="676"/>
      <c r="S235" s="654"/>
      <c r="T235" s="675"/>
      <c r="U235" s="675"/>
      <c r="V235" s="670" t="e">
        <f>LOOKUP(D235,'f-travail'!A:A,'f-travail'!E:E)</f>
        <v>#N/A</v>
      </c>
      <c r="W235" s="670" t="e">
        <f>VLOOKUP(V235,جرقمإستدلالي,'f-travail'!$AD$4+1,FALSE)</f>
        <v>#N/A</v>
      </c>
      <c r="X235" s="671" t="e">
        <f t="shared" si="94"/>
        <v>#N/A</v>
      </c>
      <c r="Y235" s="671">
        <f>IF(G235="مدير ولائي",(HLOOKUP(I235,جدروظعليا,'f-travail'!$AT$3+1,FALSE)-3200),0)</f>
        <v>0</v>
      </c>
      <c r="Z235" s="672" t="str">
        <f t="shared" si="105"/>
        <v/>
      </c>
      <c r="AA235" s="671">
        <f t="shared" si="106"/>
        <v>0</v>
      </c>
      <c r="AB235" s="677" t="b">
        <f t="shared" si="95"/>
        <v>0</v>
      </c>
      <c r="AC235" s="678">
        <f t="shared" si="107"/>
        <v>0</v>
      </c>
      <c r="AD235" s="673"/>
      <c r="AE235" s="678">
        <f t="shared" si="96"/>
        <v>0</v>
      </c>
      <c r="AF235" s="678" t="e">
        <f t="shared" si="97"/>
        <v>#N/A</v>
      </c>
      <c r="AG235" s="678" t="e">
        <f t="shared" si="98"/>
        <v>#N/A</v>
      </c>
      <c r="AH235" s="673">
        <f t="shared" si="108"/>
        <v>0</v>
      </c>
      <c r="AI235" s="674" t="e">
        <f>IF(G235="مدير ولائي",(11000*35%),LOOKUP(D235,'f-travail'!A:A,'f-travail'!I:I))</f>
        <v>#N/A</v>
      </c>
      <c r="AJ235" s="673" t="e">
        <f>IF(G235="مدير ولائي",((W235+X235)*45)*80%,IF(V235&lt;8,0,IF(F235="إليزي",(LOOKUP(D235,'f-travail'!A:A,'f-travail'!O:O))*(AF235+AG235),LOOKUP(D235,'f-travail'!A:A,'f-travail'!P:P)*(AF235+AG235))))</f>
        <v>#N/A</v>
      </c>
      <c r="AK235" s="673" t="e">
        <f>IF(G235="مدير ولائي",0,LOOKUP(D235,'f-travail'!A:A,'f-travail'!Q:Q))</f>
        <v>#N/A</v>
      </c>
      <c r="AL235" s="673" t="e">
        <f>IF(G235="مدير ولائي",0,LOOKUP(D235,'f-travail'!A:A,'f-travail'!R:R)*(AF235+AG235))</f>
        <v>#N/A</v>
      </c>
      <c r="AM235" s="673" t="e">
        <f>IF(G235="مدير ولائي",0,LOOKUP(D235,'f-travail'!A:A,'f-travail'!S:S)*(AF235+AG235))</f>
        <v>#N/A</v>
      </c>
      <c r="AN235" s="673" t="e">
        <f>IF(G235="مدير ولائي",0,LOOKUP(D235,'f-travail'!A:A,'f-travail'!T:T)*(AF235+AG235))</f>
        <v>#N/A</v>
      </c>
      <c r="AO235" s="673" t="e">
        <f>IF(G235="مدير ولائي",0,LOOKUP(D235,'f-travail'!A:A,'f-travail'!U:U)*(AF235+AG235))</f>
        <v>#N/A</v>
      </c>
      <c r="AP235" s="673" t="e">
        <f>IF(G235="مدير ولائي",0,LOOKUP(D235,'f-travail'!A:A,'f-travail'!V:V)*(AF235+AG235))</f>
        <v>#N/A</v>
      </c>
      <c r="AQ235" s="673" t="e">
        <f>IF(G235="مدير ولائي",0,LOOKUP(D235,'f-travail'!A:A,'f-travail'!W:W)*(AF235+AG235))</f>
        <v>#N/A</v>
      </c>
      <c r="AR235" s="673">
        <f t="shared" si="109"/>
        <v>0</v>
      </c>
      <c r="AS235" s="673" t="e">
        <f>IF(G235="مدير ولائي",0,LOOKUP(D235,'f-travail'!A:A,'f-travail'!X:X)*(AF235+AG235))</f>
        <v>#N/A</v>
      </c>
      <c r="AT235" s="673" t="e">
        <f>IF(G235="مدير ولائي",0,LOOKUP(D235,'f-travail'!Y:Y,'f-travail'!R:R)*(AF235+AG235))</f>
        <v>#N/A</v>
      </c>
      <c r="AU235" s="673">
        <f t="shared" si="99"/>
        <v>0</v>
      </c>
      <c r="AV235" s="673">
        <f t="shared" si="100"/>
        <v>0</v>
      </c>
      <c r="AW235" s="673">
        <f t="shared" si="101"/>
        <v>0</v>
      </c>
      <c r="AY235" s="640" t="e">
        <f t="shared" si="110"/>
        <v>#N/A</v>
      </c>
      <c r="AZ235" s="673" t="e">
        <f t="shared" si="102"/>
        <v>#N/A</v>
      </c>
      <c r="BA235" s="639" t="e">
        <f t="shared" si="103"/>
        <v>#N/A</v>
      </c>
      <c r="BG235" s="639">
        <f t="shared" si="111"/>
        <v>0</v>
      </c>
      <c r="BH235" s="683">
        <f t="shared" si="112"/>
        <v>0</v>
      </c>
      <c r="BI235" s="683">
        <f t="shared" si="113"/>
        <v>0</v>
      </c>
      <c r="BJ235" s="641" t="e">
        <f t="shared" si="114"/>
        <v>#N/A</v>
      </c>
      <c r="BK235" s="641" t="e">
        <f t="shared" si="115"/>
        <v>#N/A</v>
      </c>
      <c r="BL235" s="641" t="e">
        <f t="shared" si="116"/>
        <v>#N/A</v>
      </c>
      <c r="BM235" s="684" t="e">
        <f t="shared" si="117"/>
        <v>#N/A</v>
      </c>
      <c r="BO235" s="682" t="e">
        <f>CONCATENATE(Z235," ",LOOKUP(D235,'f-travail'!A:A,'f-travail'!F:F))</f>
        <v>#N/A</v>
      </c>
      <c r="BP235" s="669" t="e">
        <f t="shared" si="104"/>
        <v>#N/A</v>
      </c>
    </row>
    <row r="236" spans="1:68">
      <c r="A236" s="636">
        <f t="shared" si="118"/>
        <v>235</v>
      </c>
      <c r="B236" s="637"/>
      <c r="C236" s="637"/>
      <c r="D236" s="652"/>
      <c r="E236" s="679" t="e">
        <f>LOOKUP(D236,'f-travail'!A:A,'f-travail'!B:B)</f>
        <v>#N/A</v>
      </c>
      <c r="F236" s="650"/>
      <c r="G236" s="650"/>
      <c r="H236" s="653"/>
      <c r="I236" s="653"/>
      <c r="J236" s="654"/>
      <c r="K236" s="650"/>
      <c r="L236" s="650"/>
      <c r="M236" s="650">
        <v>0</v>
      </c>
      <c r="N236" s="654"/>
      <c r="O236" s="654"/>
      <c r="P236" s="654"/>
      <c r="Q236" s="654"/>
      <c r="R236" s="676"/>
      <c r="S236" s="654"/>
      <c r="T236" s="675"/>
      <c r="U236" s="675"/>
      <c r="V236" s="670" t="e">
        <f>LOOKUP(D236,'f-travail'!A:A,'f-travail'!E:E)</f>
        <v>#N/A</v>
      </c>
      <c r="W236" s="670" t="e">
        <f>VLOOKUP(V236,جرقمإستدلالي,'f-travail'!$AD$4+1,FALSE)</f>
        <v>#N/A</v>
      </c>
      <c r="X236" s="671" t="e">
        <f t="shared" si="94"/>
        <v>#N/A</v>
      </c>
      <c r="Y236" s="671">
        <f>IF(G236="مدير ولائي",(HLOOKUP(I236,جدروظعليا,'f-travail'!$AT$3+1,FALSE)-3200),0)</f>
        <v>0</v>
      </c>
      <c r="Z236" s="672" t="str">
        <f t="shared" si="105"/>
        <v/>
      </c>
      <c r="AA236" s="671">
        <f t="shared" si="106"/>
        <v>0</v>
      </c>
      <c r="AB236" s="677" t="b">
        <f t="shared" si="95"/>
        <v>0</v>
      </c>
      <c r="AC236" s="678">
        <f t="shared" si="107"/>
        <v>0</v>
      </c>
      <c r="AD236" s="673"/>
      <c r="AE236" s="678">
        <f t="shared" si="96"/>
        <v>0</v>
      </c>
      <c r="AF236" s="678" t="e">
        <f t="shared" si="97"/>
        <v>#N/A</v>
      </c>
      <c r="AG236" s="678" t="e">
        <f t="shared" si="98"/>
        <v>#N/A</v>
      </c>
      <c r="AH236" s="673">
        <f t="shared" si="108"/>
        <v>0</v>
      </c>
      <c r="AI236" s="674" t="e">
        <f>IF(G236="مدير ولائي",(11000*35%),LOOKUP(D236,'f-travail'!A:A,'f-travail'!I:I))</f>
        <v>#N/A</v>
      </c>
      <c r="AJ236" s="673" t="e">
        <f>IF(G236="مدير ولائي",((W236+X236)*45)*80%,IF(V236&lt;8,0,IF(F236="إليزي",(LOOKUP(D236,'f-travail'!A:A,'f-travail'!O:O))*(AF236+AG236),LOOKUP(D236,'f-travail'!A:A,'f-travail'!P:P)*(AF236+AG236))))</f>
        <v>#N/A</v>
      </c>
      <c r="AK236" s="673" t="e">
        <f>IF(G236="مدير ولائي",0,LOOKUP(D236,'f-travail'!A:A,'f-travail'!Q:Q))</f>
        <v>#N/A</v>
      </c>
      <c r="AL236" s="673" t="e">
        <f>IF(G236="مدير ولائي",0,LOOKUP(D236,'f-travail'!A:A,'f-travail'!R:R)*(AF236+AG236))</f>
        <v>#N/A</v>
      </c>
      <c r="AM236" s="673" t="e">
        <f>IF(G236="مدير ولائي",0,LOOKUP(D236,'f-travail'!A:A,'f-travail'!S:S)*(AF236+AG236))</f>
        <v>#N/A</v>
      </c>
      <c r="AN236" s="673" t="e">
        <f>IF(G236="مدير ولائي",0,LOOKUP(D236,'f-travail'!A:A,'f-travail'!T:T)*(AF236+AG236))</f>
        <v>#N/A</v>
      </c>
      <c r="AO236" s="673" t="e">
        <f>IF(G236="مدير ولائي",0,LOOKUP(D236,'f-travail'!A:A,'f-travail'!U:U)*(AF236+AG236))</f>
        <v>#N/A</v>
      </c>
      <c r="AP236" s="673" t="e">
        <f>IF(G236="مدير ولائي",0,LOOKUP(D236,'f-travail'!A:A,'f-travail'!V:V)*(AF236+AG236))</f>
        <v>#N/A</v>
      </c>
      <c r="AQ236" s="673" t="e">
        <f>IF(G236="مدير ولائي",0,LOOKUP(D236,'f-travail'!A:A,'f-travail'!W:W)*(AF236+AG236))</f>
        <v>#N/A</v>
      </c>
      <c r="AR236" s="673">
        <f t="shared" si="109"/>
        <v>0</v>
      </c>
      <c r="AS236" s="673" t="e">
        <f>IF(G236="مدير ولائي",0,LOOKUP(D236,'f-travail'!A:A,'f-travail'!X:X)*(AF236+AG236))</f>
        <v>#N/A</v>
      </c>
      <c r="AT236" s="673" t="e">
        <f>IF(G236="مدير ولائي",0,LOOKUP(D236,'f-travail'!Y:Y,'f-travail'!R:R)*(AF236+AG236))</f>
        <v>#N/A</v>
      </c>
      <c r="AU236" s="673">
        <f t="shared" si="99"/>
        <v>0</v>
      </c>
      <c r="AV236" s="673">
        <f t="shared" si="100"/>
        <v>0</v>
      </c>
      <c r="AW236" s="673">
        <f t="shared" si="101"/>
        <v>0</v>
      </c>
      <c r="AY236" s="640" t="e">
        <f t="shared" si="110"/>
        <v>#N/A</v>
      </c>
      <c r="AZ236" s="673" t="e">
        <f t="shared" si="102"/>
        <v>#N/A</v>
      </c>
      <c r="BA236" s="639" t="e">
        <f t="shared" si="103"/>
        <v>#N/A</v>
      </c>
      <c r="BG236" s="639">
        <f t="shared" si="111"/>
        <v>0</v>
      </c>
      <c r="BH236" s="683">
        <f t="shared" si="112"/>
        <v>0</v>
      </c>
      <c r="BI236" s="683">
        <f t="shared" si="113"/>
        <v>0</v>
      </c>
      <c r="BJ236" s="641" t="e">
        <f t="shared" si="114"/>
        <v>#N/A</v>
      </c>
      <c r="BK236" s="641" t="e">
        <f t="shared" si="115"/>
        <v>#N/A</v>
      </c>
      <c r="BL236" s="641" t="e">
        <f t="shared" si="116"/>
        <v>#N/A</v>
      </c>
      <c r="BM236" s="684" t="e">
        <f t="shared" si="117"/>
        <v>#N/A</v>
      </c>
      <c r="BO236" s="682" t="e">
        <f>CONCATENATE(Z236," ",LOOKUP(D236,'f-travail'!A:A,'f-travail'!F:F))</f>
        <v>#N/A</v>
      </c>
      <c r="BP236" s="669" t="e">
        <f t="shared" si="104"/>
        <v>#N/A</v>
      </c>
    </row>
    <row r="237" spans="1:68">
      <c r="A237" s="636">
        <f t="shared" si="118"/>
        <v>236</v>
      </c>
      <c r="B237" s="637"/>
      <c r="C237" s="637"/>
      <c r="D237" s="652"/>
      <c r="E237" s="679" t="e">
        <f>LOOKUP(D237,'f-travail'!A:A,'f-travail'!B:B)</f>
        <v>#N/A</v>
      </c>
      <c r="F237" s="650"/>
      <c r="G237" s="650"/>
      <c r="H237" s="653"/>
      <c r="I237" s="653"/>
      <c r="J237" s="654"/>
      <c r="K237" s="650"/>
      <c r="L237" s="650"/>
      <c r="M237" s="650">
        <v>0</v>
      </c>
      <c r="N237" s="654"/>
      <c r="O237" s="654"/>
      <c r="P237" s="654"/>
      <c r="Q237" s="654"/>
      <c r="R237" s="676"/>
      <c r="S237" s="654"/>
      <c r="T237" s="675"/>
      <c r="U237" s="675"/>
      <c r="V237" s="670" t="e">
        <f>LOOKUP(D237,'f-travail'!A:A,'f-travail'!E:E)</f>
        <v>#N/A</v>
      </c>
      <c r="W237" s="670" t="e">
        <f>VLOOKUP(V237,جرقمإستدلالي,'f-travail'!$AD$4+1,FALSE)</f>
        <v>#N/A</v>
      </c>
      <c r="X237" s="671" t="e">
        <f t="shared" si="94"/>
        <v>#N/A</v>
      </c>
      <c r="Y237" s="671">
        <f>IF(G237="مدير ولائي",(HLOOKUP(I237,جدروظعليا,'f-travail'!$AT$3+1,FALSE)-3200),0)</f>
        <v>0</v>
      </c>
      <c r="Z237" s="672" t="str">
        <f t="shared" si="105"/>
        <v/>
      </c>
      <c r="AA237" s="671">
        <f t="shared" si="106"/>
        <v>0</v>
      </c>
      <c r="AB237" s="677" t="b">
        <f t="shared" si="95"/>
        <v>0</v>
      </c>
      <c r="AC237" s="678">
        <f t="shared" si="107"/>
        <v>0</v>
      </c>
      <c r="AD237" s="673"/>
      <c r="AE237" s="678">
        <f t="shared" si="96"/>
        <v>0</v>
      </c>
      <c r="AF237" s="678" t="e">
        <f t="shared" si="97"/>
        <v>#N/A</v>
      </c>
      <c r="AG237" s="678" t="e">
        <f t="shared" si="98"/>
        <v>#N/A</v>
      </c>
      <c r="AH237" s="673">
        <f t="shared" si="108"/>
        <v>0</v>
      </c>
      <c r="AI237" s="674" t="e">
        <f>IF(G237="مدير ولائي",(11000*35%),LOOKUP(D237,'f-travail'!A:A,'f-travail'!I:I))</f>
        <v>#N/A</v>
      </c>
      <c r="AJ237" s="673" t="e">
        <f>IF(G237="مدير ولائي",((W237+X237)*45)*80%,IF(V237&lt;8,0,IF(F237="إليزي",(LOOKUP(D237,'f-travail'!A:A,'f-travail'!O:O))*(AF237+AG237),LOOKUP(D237,'f-travail'!A:A,'f-travail'!P:P)*(AF237+AG237))))</f>
        <v>#N/A</v>
      </c>
      <c r="AK237" s="673" t="e">
        <f>IF(G237="مدير ولائي",0,LOOKUP(D237,'f-travail'!A:A,'f-travail'!Q:Q))</f>
        <v>#N/A</v>
      </c>
      <c r="AL237" s="673" t="e">
        <f>IF(G237="مدير ولائي",0,LOOKUP(D237,'f-travail'!A:A,'f-travail'!R:R)*(AF237+AG237))</f>
        <v>#N/A</v>
      </c>
      <c r="AM237" s="673" t="e">
        <f>IF(G237="مدير ولائي",0,LOOKUP(D237,'f-travail'!A:A,'f-travail'!S:S)*(AF237+AG237))</f>
        <v>#N/A</v>
      </c>
      <c r="AN237" s="673" t="e">
        <f>IF(G237="مدير ولائي",0,LOOKUP(D237,'f-travail'!A:A,'f-travail'!T:T)*(AF237+AG237))</f>
        <v>#N/A</v>
      </c>
      <c r="AO237" s="673" t="e">
        <f>IF(G237="مدير ولائي",0,LOOKUP(D237,'f-travail'!A:A,'f-travail'!U:U)*(AF237+AG237))</f>
        <v>#N/A</v>
      </c>
      <c r="AP237" s="673" t="e">
        <f>IF(G237="مدير ولائي",0,LOOKUP(D237,'f-travail'!A:A,'f-travail'!V:V)*(AF237+AG237))</f>
        <v>#N/A</v>
      </c>
      <c r="AQ237" s="673" t="e">
        <f>IF(G237="مدير ولائي",0,LOOKUP(D237,'f-travail'!A:A,'f-travail'!W:W)*(AF237+AG237))</f>
        <v>#N/A</v>
      </c>
      <c r="AR237" s="673">
        <f t="shared" si="109"/>
        <v>0</v>
      </c>
      <c r="AS237" s="673" t="e">
        <f>IF(G237="مدير ولائي",0,LOOKUP(D237,'f-travail'!A:A,'f-travail'!X:X)*(AF237+AG237))</f>
        <v>#N/A</v>
      </c>
      <c r="AT237" s="673" t="e">
        <f>IF(G237="مدير ولائي",0,LOOKUP(D237,'f-travail'!Y:Y,'f-travail'!R:R)*(AF237+AG237))</f>
        <v>#N/A</v>
      </c>
      <c r="AU237" s="673">
        <f t="shared" si="99"/>
        <v>0</v>
      </c>
      <c r="AV237" s="673">
        <f t="shared" si="100"/>
        <v>0</v>
      </c>
      <c r="AW237" s="673">
        <f t="shared" si="101"/>
        <v>0</v>
      </c>
      <c r="AY237" s="640" t="e">
        <f t="shared" si="110"/>
        <v>#N/A</v>
      </c>
      <c r="AZ237" s="673" t="e">
        <f t="shared" si="102"/>
        <v>#N/A</v>
      </c>
      <c r="BA237" s="639" t="e">
        <f t="shared" si="103"/>
        <v>#N/A</v>
      </c>
      <c r="BG237" s="639">
        <f t="shared" si="111"/>
        <v>0</v>
      </c>
      <c r="BH237" s="683">
        <f t="shared" si="112"/>
        <v>0</v>
      </c>
      <c r="BI237" s="683">
        <f t="shared" si="113"/>
        <v>0</v>
      </c>
      <c r="BJ237" s="641" t="e">
        <f t="shared" si="114"/>
        <v>#N/A</v>
      </c>
      <c r="BK237" s="641" t="e">
        <f t="shared" si="115"/>
        <v>#N/A</v>
      </c>
      <c r="BL237" s="641" t="e">
        <f t="shared" si="116"/>
        <v>#N/A</v>
      </c>
      <c r="BM237" s="684" t="e">
        <f t="shared" si="117"/>
        <v>#N/A</v>
      </c>
      <c r="BO237" s="682" t="e">
        <f>CONCATENATE(Z237," ",LOOKUP(D237,'f-travail'!A:A,'f-travail'!F:F))</f>
        <v>#N/A</v>
      </c>
      <c r="BP237" s="669" t="e">
        <f t="shared" si="104"/>
        <v>#N/A</v>
      </c>
    </row>
    <row r="238" spans="1:68">
      <c r="A238" s="636">
        <f t="shared" si="118"/>
        <v>237</v>
      </c>
      <c r="B238" s="637"/>
      <c r="C238" s="637"/>
      <c r="D238" s="652"/>
      <c r="E238" s="679" t="e">
        <f>LOOKUP(D238,'f-travail'!A:A,'f-travail'!B:B)</f>
        <v>#N/A</v>
      </c>
      <c r="F238" s="650"/>
      <c r="G238" s="650"/>
      <c r="H238" s="653"/>
      <c r="I238" s="653"/>
      <c r="J238" s="654"/>
      <c r="K238" s="650"/>
      <c r="L238" s="650"/>
      <c r="M238" s="650">
        <v>0</v>
      </c>
      <c r="N238" s="654"/>
      <c r="O238" s="654"/>
      <c r="P238" s="654"/>
      <c r="Q238" s="654"/>
      <c r="R238" s="676"/>
      <c r="S238" s="654"/>
      <c r="T238" s="675"/>
      <c r="U238" s="675"/>
      <c r="V238" s="670" t="e">
        <f>LOOKUP(D238,'f-travail'!A:A,'f-travail'!E:E)</f>
        <v>#N/A</v>
      </c>
      <c r="W238" s="670" t="e">
        <f>VLOOKUP(V238,جرقمإستدلالي,'f-travail'!$AD$4+1,FALSE)</f>
        <v>#N/A</v>
      </c>
      <c r="X238" s="671" t="e">
        <f t="shared" si="94"/>
        <v>#N/A</v>
      </c>
      <c r="Y238" s="671">
        <f>IF(G238="مدير ولائي",(HLOOKUP(I238,جدروظعليا,'f-travail'!$AT$3+1,FALSE)-3200),0)</f>
        <v>0</v>
      </c>
      <c r="Z238" s="672" t="str">
        <f t="shared" si="105"/>
        <v/>
      </c>
      <c r="AA238" s="671">
        <f t="shared" si="106"/>
        <v>0</v>
      </c>
      <c r="AB238" s="677" t="b">
        <f t="shared" si="95"/>
        <v>0</v>
      </c>
      <c r="AC238" s="678">
        <f t="shared" si="107"/>
        <v>0</v>
      </c>
      <c r="AD238" s="673"/>
      <c r="AE238" s="678">
        <f t="shared" si="96"/>
        <v>0</v>
      </c>
      <c r="AF238" s="678" t="e">
        <f t="shared" si="97"/>
        <v>#N/A</v>
      </c>
      <c r="AG238" s="678" t="e">
        <f t="shared" si="98"/>
        <v>#N/A</v>
      </c>
      <c r="AH238" s="673">
        <f t="shared" si="108"/>
        <v>0</v>
      </c>
      <c r="AI238" s="674" t="e">
        <f>IF(G238="مدير ولائي",(11000*35%),LOOKUP(D238,'f-travail'!A:A,'f-travail'!I:I))</f>
        <v>#N/A</v>
      </c>
      <c r="AJ238" s="673" t="e">
        <f>IF(G238="مدير ولائي",((W238+X238)*45)*80%,IF(V238&lt;8,0,IF(F238="إليزي",(LOOKUP(D238,'f-travail'!A:A,'f-travail'!O:O))*(AF238+AG238),LOOKUP(D238,'f-travail'!A:A,'f-travail'!P:P)*(AF238+AG238))))</f>
        <v>#N/A</v>
      </c>
      <c r="AK238" s="673" t="e">
        <f>IF(G238="مدير ولائي",0,LOOKUP(D238,'f-travail'!A:A,'f-travail'!Q:Q))</f>
        <v>#N/A</v>
      </c>
      <c r="AL238" s="673" t="e">
        <f>IF(G238="مدير ولائي",0,LOOKUP(D238,'f-travail'!A:A,'f-travail'!R:R)*(AF238+AG238))</f>
        <v>#N/A</v>
      </c>
      <c r="AM238" s="673" t="e">
        <f>IF(G238="مدير ولائي",0,LOOKUP(D238,'f-travail'!A:A,'f-travail'!S:S)*(AF238+AG238))</f>
        <v>#N/A</v>
      </c>
      <c r="AN238" s="673" t="e">
        <f>IF(G238="مدير ولائي",0,LOOKUP(D238,'f-travail'!A:A,'f-travail'!T:T)*(AF238+AG238))</f>
        <v>#N/A</v>
      </c>
      <c r="AO238" s="673" t="e">
        <f>IF(G238="مدير ولائي",0,LOOKUP(D238,'f-travail'!A:A,'f-travail'!U:U)*(AF238+AG238))</f>
        <v>#N/A</v>
      </c>
      <c r="AP238" s="673" t="e">
        <f>IF(G238="مدير ولائي",0,LOOKUP(D238,'f-travail'!A:A,'f-travail'!V:V)*(AF238+AG238))</f>
        <v>#N/A</v>
      </c>
      <c r="AQ238" s="673" t="e">
        <f>IF(G238="مدير ولائي",0,LOOKUP(D238,'f-travail'!A:A,'f-travail'!W:W)*(AF238+AG238))</f>
        <v>#N/A</v>
      </c>
      <c r="AR238" s="673">
        <f t="shared" si="109"/>
        <v>0</v>
      </c>
      <c r="AS238" s="673" t="e">
        <f>IF(G238="مدير ولائي",0,LOOKUP(D238,'f-travail'!A:A,'f-travail'!X:X)*(AF238+AG238))</f>
        <v>#N/A</v>
      </c>
      <c r="AT238" s="673" t="e">
        <f>IF(G238="مدير ولائي",0,LOOKUP(D238,'f-travail'!Y:Y,'f-travail'!R:R)*(AF238+AG238))</f>
        <v>#N/A</v>
      </c>
      <c r="AU238" s="673">
        <f t="shared" si="99"/>
        <v>0</v>
      </c>
      <c r="AV238" s="673">
        <f t="shared" si="100"/>
        <v>0</v>
      </c>
      <c r="AW238" s="673">
        <f t="shared" si="101"/>
        <v>0</v>
      </c>
      <c r="AY238" s="640" t="e">
        <f t="shared" si="110"/>
        <v>#N/A</v>
      </c>
      <c r="AZ238" s="673" t="e">
        <f t="shared" si="102"/>
        <v>#N/A</v>
      </c>
      <c r="BA238" s="639" t="e">
        <f t="shared" si="103"/>
        <v>#N/A</v>
      </c>
      <c r="BG238" s="639">
        <f t="shared" si="111"/>
        <v>0</v>
      </c>
      <c r="BH238" s="683">
        <f t="shared" si="112"/>
        <v>0</v>
      </c>
      <c r="BI238" s="683">
        <f t="shared" si="113"/>
        <v>0</v>
      </c>
      <c r="BJ238" s="641" t="e">
        <f t="shared" si="114"/>
        <v>#N/A</v>
      </c>
      <c r="BK238" s="641" t="e">
        <f t="shared" si="115"/>
        <v>#N/A</v>
      </c>
      <c r="BL238" s="641" t="e">
        <f t="shared" si="116"/>
        <v>#N/A</v>
      </c>
      <c r="BM238" s="684" t="e">
        <f t="shared" si="117"/>
        <v>#N/A</v>
      </c>
      <c r="BO238" s="682" t="e">
        <f>CONCATENATE(Z238," ",LOOKUP(D238,'f-travail'!A:A,'f-travail'!F:F))</f>
        <v>#N/A</v>
      </c>
      <c r="BP238" s="669" t="e">
        <f t="shared" si="104"/>
        <v>#N/A</v>
      </c>
    </row>
    <row r="239" spans="1:68">
      <c r="A239" s="636">
        <f t="shared" si="118"/>
        <v>238</v>
      </c>
      <c r="B239" s="637"/>
      <c r="C239" s="637"/>
      <c r="D239" s="652"/>
      <c r="E239" s="679" t="e">
        <f>LOOKUP(D239,'f-travail'!A:A,'f-travail'!B:B)</f>
        <v>#N/A</v>
      </c>
      <c r="F239" s="650"/>
      <c r="G239" s="650"/>
      <c r="H239" s="653"/>
      <c r="I239" s="653"/>
      <c r="J239" s="654"/>
      <c r="K239" s="650"/>
      <c r="L239" s="650"/>
      <c r="M239" s="650">
        <v>0</v>
      </c>
      <c r="N239" s="654"/>
      <c r="O239" s="654"/>
      <c r="P239" s="654"/>
      <c r="Q239" s="654"/>
      <c r="R239" s="676"/>
      <c r="S239" s="654"/>
      <c r="T239" s="675"/>
      <c r="U239" s="675"/>
      <c r="V239" s="670" t="e">
        <f>LOOKUP(D239,'f-travail'!A:A,'f-travail'!E:E)</f>
        <v>#N/A</v>
      </c>
      <c r="W239" s="670" t="e">
        <f>VLOOKUP(V239,جرقمإستدلالي,'f-travail'!$AD$4+1,FALSE)</f>
        <v>#N/A</v>
      </c>
      <c r="X239" s="671" t="e">
        <f t="shared" si="94"/>
        <v>#N/A</v>
      </c>
      <c r="Y239" s="671">
        <f>IF(G239="مدير ولائي",(HLOOKUP(I239,جدروظعليا,'f-travail'!$AT$3+1,FALSE)-3200),0)</f>
        <v>0</v>
      </c>
      <c r="Z239" s="672" t="str">
        <f t="shared" si="105"/>
        <v/>
      </c>
      <c r="AA239" s="671">
        <f t="shared" si="106"/>
        <v>0</v>
      </c>
      <c r="AB239" s="677" t="b">
        <f t="shared" si="95"/>
        <v>0</v>
      </c>
      <c r="AC239" s="678">
        <f t="shared" si="107"/>
        <v>0</v>
      </c>
      <c r="AD239" s="673"/>
      <c r="AE239" s="678">
        <f t="shared" si="96"/>
        <v>0</v>
      </c>
      <c r="AF239" s="678" t="e">
        <f t="shared" si="97"/>
        <v>#N/A</v>
      </c>
      <c r="AG239" s="678" t="e">
        <f t="shared" si="98"/>
        <v>#N/A</v>
      </c>
      <c r="AH239" s="673">
        <f t="shared" si="108"/>
        <v>0</v>
      </c>
      <c r="AI239" s="674" t="e">
        <f>IF(G239="مدير ولائي",(11000*35%),LOOKUP(D239,'f-travail'!A:A,'f-travail'!I:I))</f>
        <v>#N/A</v>
      </c>
      <c r="AJ239" s="673" t="e">
        <f>IF(G239="مدير ولائي",((W239+X239)*45)*80%,IF(V239&lt;8,0,IF(F239="إليزي",(LOOKUP(D239,'f-travail'!A:A,'f-travail'!O:O))*(AF239+AG239),LOOKUP(D239,'f-travail'!A:A,'f-travail'!P:P)*(AF239+AG239))))</f>
        <v>#N/A</v>
      </c>
      <c r="AK239" s="673" t="e">
        <f>IF(G239="مدير ولائي",0,LOOKUP(D239,'f-travail'!A:A,'f-travail'!Q:Q))</f>
        <v>#N/A</v>
      </c>
      <c r="AL239" s="673" t="e">
        <f>IF(G239="مدير ولائي",0,LOOKUP(D239,'f-travail'!A:A,'f-travail'!R:R)*(AF239+AG239))</f>
        <v>#N/A</v>
      </c>
      <c r="AM239" s="673" t="e">
        <f>IF(G239="مدير ولائي",0,LOOKUP(D239,'f-travail'!A:A,'f-travail'!S:S)*(AF239+AG239))</f>
        <v>#N/A</v>
      </c>
      <c r="AN239" s="673" t="e">
        <f>IF(G239="مدير ولائي",0,LOOKUP(D239,'f-travail'!A:A,'f-travail'!T:T)*(AF239+AG239))</f>
        <v>#N/A</v>
      </c>
      <c r="AO239" s="673" t="e">
        <f>IF(G239="مدير ولائي",0,LOOKUP(D239,'f-travail'!A:A,'f-travail'!U:U)*(AF239+AG239))</f>
        <v>#N/A</v>
      </c>
      <c r="AP239" s="673" t="e">
        <f>IF(G239="مدير ولائي",0,LOOKUP(D239,'f-travail'!A:A,'f-travail'!V:V)*(AF239+AG239))</f>
        <v>#N/A</v>
      </c>
      <c r="AQ239" s="673" t="e">
        <f>IF(G239="مدير ولائي",0,LOOKUP(D239,'f-travail'!A:A,'f-travail'!W:W)*(AF239+AG239))</f>
        <v>#N/A</v>
      </c>
      <c r="AR239" s="673">
        <f t="shared" si="109"/>
        <v>0</v>
      </c>
      <c r="AS239" s="673" t="e">
        <f>IF(G239="مدير ولائي",0,LOOKUP(D239,'f-travail'!A:A,'f-travail'!X:X)*(AF239+AG239))</f>
        <v>#N/A</v>
      </c>
      <c r="AT239" s="673" t="e">
        <f>IF(G239="مدير ولائي",0,LOOKUP(D239,'f-travail'!Y:Y,'f-travail'!R:R)*(AF239+AG239))</f>
        <v>#N/A</v>
      </c>
      <c r="AU239" s="673">
        <f t="shared" si="99"/>
        <v>0</v>
      </c>
      <c r="AV239" s="673">
        <f t="shared" si="100"/>
        <v>0</v>
      </c>
      <c r="AW239" s="673">
        <f t="shared" si="101"/>
        <v>0</v>
      </c>
      <c r="AY239" s="640" t="e">
        <f t="shared" si="110"/>
        <v>#N/A</v>
      </c>
      <c r="AZ239" s="673" t="e">
        <f t="shared" si="102"/>
        <v>#N/A</v>
      </c>
      <c r="BA239" s="639" t="e">
        <f t="shared" si="103"/>
        <v>#N/A</v>
      </c>
      <c r="BG239" s="639">
        <f t="shared" si="111"/>
        <v>0</v>
      </c>
      <c r="BH239" s="683">
        <f t="shared" si="112"/>
        <v>0</v>
      </c>
      <c r="BI239" s="683">
        <f t="shared" si="113"/>
        <v>0</v>
      </c>
      <c r="BJ239" s="641" t="e">
        <f t="shared" si="114"/>
        <v>#N/A</v>
      </c>
      <c r="BK239" s="641" t="e">
        <f t="shared" si="115"/>
        <v>#N/A</v>
      </c>
      <c r="BL239" s="641" t="e">
        <f t="shared" si="116"/>
        <v>#N/A</v>
      </c>
      <c r="BM239" s="684" t="e">
        <f t="shared" si="117"/>
        <v>#N/A</v>
      </c>
      <c r="BO239" s="682" t="e">
        <f>CONCATENATE(Z239," ",LOOKUP(D239,'f-travail'!A:A,'f-travail'!F:F))</f>
        <v>#N/A</v>
      </c>
      <c r="BP239" s="669" t="e">
        <f t="shared" si="104"/>
        <v>#N/A</v>
      </c>
    </row>
    <row r="240" spans="1:68">
      <c r="A240" s="636">
        <f t="shared" si="118"/>
        <v>239</v>
      </c>
      <c r="B240" s="637"/>
      <c r="C240" s="637"/>
      <c r="D240" s="652"/>
      <c r="E240" s="679" t="e">
        <f>LOOKUP(D240,'f-travail'!A:A,'f-travail'!B:B)</f>
        <v>#N/A</v>
      </c>
      <c r="F240" s="650"/>
      <c r="G240" s="650"/>
      <c r="H240" s="653"/>
      <c r="I240" s="653"/>
      <c r="J240" s="654"/>
      <c r="K240" s="650"/>
      <c r="L240" s="650"/>
      <c r="M240" s="650">
        <v>0</v>
      </c>
      <c r="N240" s="654"/>
      <c r="O240" s="654"/>
      <c r="P240" s="654"/>
      <c r="Q240" s="654"/>
      <c r="R240" s="676"/>
      <c r="S240" s="654"/>
      <c r="T240" s="675"/>
      <c r="U240" s="675"/>
      <c r="V240" s="670" t="e">
        <f>LOOKUP(D240,'f-travail'!A:A,'f-travail'!E:E)</f>
        <v>#N/A</v>
      </c>
      <c r="W240" s="670" t="e">
        <f>VLOOKUP(V240,جرقمإستدلالي,'f-travail'!$AD$4+1,FALSE)</f>
        <v>#N/A</v>
      </c>
      <c r="X240" s="671" t="e">
        <f t="shared" si="94"/>
        <v>#N/A</v>
      </c>
      <c r="Y240" s="671">
        <f>IF(G240="مدير ولائي",(HLOOKUP(I240,جدروظعليا,'f-travail'!$AT$3+1,FALSE)-3200),0)</f>
        <v>0</v>
      </c>
      <c r="Z240" s="672" t="str">
        <f t="shared" si="105"/>
        <v/>
      </c>
      <c r="AA240" s="671">
        <f t="shared" si="106"/>
        <v>0</v>
      </c>
      <c r="AB240" s="677" t="b">
        <f t="shared" si="95"/>
        <v>0</v>
      </c>
      <c r="AC240" s="678">
        <f t="shared" si="107"/>
        <v>0</v>
      </c>
      <c r="AD240" s="673"/>
      <c r="AE240" s="678">
        <f t="shared" si="96"/>
        <v>0</v>
      </c>
      <c r="AF240" s="678" t="e">
        <f t="shared" si="97"/>
        <v>#N/A</v>
      </c>
      <c r="AG240" s="678" t="e">
        <f t="shared" si="98"/>
        <v>#N/A</v>
      </c>
      <c r="AH240" s="673">
        <f t="shared" si="108"/>
        <v>0</v>
      </c>
      <c r="AI240" s="674" t="e">
        <f>IF(G240="مدير ولائي",(11000*35%),LOOKUP(D240,'f-travail'!A:A,'f-travail'!I:I))</f>
        <v>#N/A</v>
      </c>
      <c r="AJ240" s="673" t="e">
        <f>IF(G240="مدير ولائي",((W240+X240)*45)*80%,IF(V240&lt;8,0,IF(F240="إليزي",(LOOKUP(D240,'f-travail'!A:A,'f-travail'!O:O))*(AF240+AG240),LOOKUP(D240,'f-travail'!A:A,'f-travail'!P:P)*(AF240+AG240))))</f>
        <v>#N/A</v>
      </c>
      <c r="AK240" s="673" t="e">
        <f>IF(G240="مدير ولائي",0,LOOKUP(D240,'f-travail'!A:A,'f-travail'!Q:Q))</f>
        <v>#N/A</v>
      </c>
      <c r="AL240" s="673" t="e">
        <f>IF(G240="مدير ولائي",0,LOOKUP(D240,'f-travail'!A:A,'f-travail'!R:R)*(AF240+AG240))</f>
        <v>#N/A</v>
      </c>
      <c r="AM240" s="673" t="e">
        <f>IF(G240="مدير ولائي",0,LOOKUP(D240,'f-travail'!A:A,'f-travail'!S:S)*(AF240+AG240))</f>
        <v>#N/A</v>
      </c>
      <c r="AN240" s="673" t="e">
        <f>IF(G240="مدير ولائي",0,LOOKUP(D240,'f-travail'!A:A,'f-travail'!T:T)*(AF240+AG240))</f>
        <v>#N/A</v>
      </c>
      <c r="AO240" s="673" t="e">
        <f>IF(G240="مدير ولائي",0,LOOKUP(D240,'f-travail'!A:A,'f-travail'!U:U)*(AF240+AG240))</f>
        <v>#N/A</v>
      </c>
      <c r="AP240" s="673" t="e">
        <f>IF(G240="مدير ولائي",0,LOOKUP(D240,'f-travail'!A:A,'f-travail'!V:V)*(AF240+AG240))</f>
        <v>#N/A</v>
      </c>
      <c r="AQ240" s="673" t="e">
        <f>IF(G240="مدير ولائي",0,LOOKUP(D240,'f-travail'!A:A,'f-travail'!W:W)*(AF240+AG240))</f>
        <v>#N/A</v>
      </c>
      <c r="AR240" s="673">
        <f t="shared" si="109"/>
        <v>0</v>
      </c>
      <c r="AS240" s="673" t="e">
        <f>IF(G240="مدير ولائي",0,LOOKUP(D240,'f-travail'!A:A,'f-travail'!X:X)*(AF240+AG240))</f>
        <v>#N/A</v>
      </c>
      <c r="AT240" s="673" t="e">
        <f>IF(G240="مدير ولائي",0,LOOKUP(D240,'f-travail'!Y:Y,'f-travail'!R:R)*(AF240+AG240))</f>
        <v>#N/A</v>
      </c>
      <c r="AU240" s="673">
        <f t="shared" si="99"/>
        <v>0</v>
      </c>
      <c r="AV240" s="673">
        <f t="shared" si="100"/>
        <v>0</v>
      </c>
      <c r="AW240" s="673">
        <f t="shared" si="101"/>
        <v>0</v>
      </c>
      <c r="AY240" s="640" t="e">
        <f t="shared" si="110"/>
        <v>#N/A</v>
      </c>
      <c r="AZ240" s="673" t="e">
        <f t="shared" si="102"/>
        <v>#N/A</v>
      </c>
      <c r="BA240" s="639" t="e">
        <f t="shared" si="103"/>
        <v>#N/A</v>
      </c>
      <c r="BG240" s="639">
        <f t="shared" si="111"/>
        <v>0</v>
      </c>
      <c r="BH240" s="683">
        <f t="shared" si="112"/>
        <v>0</v>
      </c>
      <c r="BI240" s="683">
        <f t="shared" si="113"/>
        <v>0</v>
      </c>
      <c r="BJ240" s="641" t="e">
        <f t="shared" si="114"/>
        <v>#N/A</v>
      </c>
      <c r="BK240" s="641" t="e">
        <f t="shared" si="115"/>
        <v>#N/A</v>
      </c>
      <c r="BL240" s="641" t="e">
        <f t="shared" si="116"/>
        <v>#N/A</v>
      </c>
      <c r="BM240" s="684" t="e">
        <f t="shared" si="117"/>
        <v>#N/A</v>
      </c>
      <c r="BO240" s="682" t="e">
        <f>CONCATENATE(Z240," ",LOOKUP(D240,'f-travail'!A:A,'f-travail'!F:F))</f>
        <v>#N/A</v>
      </c>
      <c r="BP240" s="669" t="e">
        <f t="shared" si="104"/>
        <v>#N/A</v>
      </c>
    </row>
    <row r="241" spans="1:68">
      <c r="A241" s="636">
        <f t="shared" si="118"/>
        <v>240</v>
      </c>
      <c r="B241" s="637"/>
      <c r="C241" s="637"/>
      <c r="D241" s="652"/>
      <c r="E241" s="679" t="e">
        <f>LOOKUP(D241,'f-travail'!A:A,'f-travail'!B:B)</f>
        <v>#N/A</v>
      </c>
      <c r="F241" s="650"/>
      <c r="G241" s="650"/>
      <c r="H241" s="653"/>
      <c r="I241" s="653"/>
      <c r="J241" s="654"/>
      <c r="K241" s="650"/>
      <c r="L241" s="650"/>
      <c r="M241" s="650">
        <v>0</v>
      </c>
      <c r="N241" s="654"/>
      <c r="O241" s="654"/>
      <c r="P241" s="654"/>
      <c r="Q241" s="654"/>
      <c r="R241" s="676"/>
      <c r="S241" s="654"/>
      <c r="T241" s="675"/>
      <c r="U241" s="675"/>
      <c r="V241" s="670" t="e">
        <f>LOOKUP(D241,'f-travail'!A:A,'f-travail'!E:E)</f>
        <v>#N/A</v>
      </c>
      <c r="W241" s="670" t="e">
        <f>VLOOKUP(V241,جرقمإستدلالي,'f-travail'!$AD$4+1,FALSE)</f>
        <v>#N/A</v>
      </c>
      <c r="X241" s="671" t="e">
        <f t="shared" si="94"/>
        <v>#N/A</v>
      </c>
      <c r="Y241" s="671">
        <f>IF(G241="مدير ولائي",(HLOOKUP(I241,جدروظعليا,'f-travail'!$AT$3+1,FALSE)-3200),0)</f>
        <v>0</v>
      </c>
      <c r="Z241" s="672" t="str">
        <f t="shared" si="105"/>
        <v/>
      </c>
      <c r="AA241" s="671">
        <f t="shared" si="106"/>
        <v>0</v>
      </c>
      <c r="AB241" s="677" t="b">
        <f t="shared" si="95"/>
        <v>0</v>
      </c>
      <c r="AC241" s="678">
        <f t="shared" si="107"/>
        <v>0</v>
      </c>
      <c r="AD241" s="673"/>
      <c r="AE241" s="678">
        <f t="shared" si="96"/>
        <v>0</v>
      </c>
      <c r="AF241" s="678" t="e">
        <f t="shared" si="97"/>
        <v>#N/A</v>
      </c>
      <c r="AG241" s="678" t="e">
        <f t="shared" si="98"/>
        <v>#N/A</v>
      </c>
      <c r="AH241" s="673">
        <f t="shared" si="108"/>
        <v>0</v>
      </c>
      <c r="AI241" s="674" t="e">
        <f>IF(G241="مدير ولائي",(11000*35%),LOOKUP(D241,'f-travail'!A:A,'f-travail'!I:I))</f>
        <v>#N/A</v>
      </c>
      <c r="AJ241" s="673" t="e">
        <f>IF(G241="مدير ولائي",((W241+X241)*45)*80%,IF(V241&lt;8,0,IF(F241="إليزي",(LOOKUP(D241,'f-travail'!A:A,'f-travail'!O:O))*(AF241+AG241),LOOKUP(D241,'f-travail'!A:A,'f-travail'!P:P)*(AF241+AG241))))</f>
        <v>#N/A</v>
      </c>
      <c r="AK241" s="673" t="e">
        <f>IF(G241="مدير ولائي",0,LOOKUP(D241,'f-travail'!A:A,'f-travail'!Q:Q))</f>
        <v>#N/A</v>
      </c>
      <c r="AL241" s="673" t="e">
        <f>IF(G241="مدير ولائي",0,LOOKUP(D241,'f-travail'!A:A,'f-travail'!R:R)*(AF241+AG241))</f>
        <v>#N/A</v>
      </c>
      <c r="AM241" s="673" t="e">
        <f>IF(G241="مدير ولائي",0,LOOKUP(D241,'f-travail'!A:A,'f-travail'!S:S)*(AF241+AG241))</f>
        <v>#N/A</v>
      </c>
      <c r="AN241" s="673" t="e">
        <f>IF(G241="مدير ولائي",0,LOOKUP(D241,'f-travail'!A:A,'f-travail'!T:T)*(AF241+AG241))</f>
        <v>#N/A</v>
      </c>
      <c r="AO241" s="673" t="e">
        <f>IF(G241="مدير ولائي",0,LOOKUP(D241,'f-travail'!A:A,'f-travail'!U:U)*(AF241+AG241))</f>
        <v>#N/A</v>
      </c>
      <c r="AP241" s="673" t="e">
        <f>IF(G241="مدير ولائي",0,LOOKUP(D241,'f-travail'!A:A,'f-travail'!V:V)*(AF241+AG241))</f>
        <v>#N/A</v>
      </c>
      <c r="AQ241" s="673" t="e">
        <f>IF(G241="مدير ولائي",0,LOOKUP(D241,'f-travail'!A:A,'f-travail'!W:W)*(AF241+AG241))</f>
        <v>#N/A</v>
      </c>
      <c r="AR241" s="673">
        <f t="shared" si="109"/>
        <v>0</v>
      </c>
      <c r="AS241" s="673" t="e">
        <f>IF(G241="مدير ولائي",0,LOOKUP(D241,'f-travail'!A:A,'f-travail'!X:X)*(AF241+AG241))</f>
        <v>#N/A</v>
      </c>
      <c r="AT241" s="673" t="e">
        <f>IF(G241="مدير ولائي",0,LOOKUP(D241,'f-travail'!Y:Y,'f-travail'!R:R)*(AF241+AG241))</f>
        <v>#N/A</v>
      </c>
      <c r="AU241" s="673">
        <f t="shared" si="99"/>
        <v>0</v>
      </c>
      <c r="AV241" s="673">
        <f t="shared" si="100"/>
        <v>0</v>
      </c>
      <c r="AW241" s="673">
        <f t="shared" si="101"/>
        <v>0</v>
      </c>
      <c r="AY241" s="640" t="e">
        <f t="shared" si="110"/>
        <v>#N/A</v>
      </c>
      <c r="AZ241" s="673" t="e">
        <f t="shared" si="102"/>
        <v>#N/A</v>
      </c>
      <c r="BA241" s="639" t="e">
        <f t="shared" si="103"/>
        <v>#N/A</v>
      </c>
      <c r="BG241" s="639">
        <f t="shared" si="111"/>
        <v>0</v>
      </c>
      <c r="BH241" s="683">
        <f t="shared" si="112"/>
        <v>0</v>
      </c>
      <c r="BI241" s="683">
        <f t="shared" si="113"/>
        <v>0</v>
      </c>
      <c r="BJ241" s="641" t="e">
        <f t="shared" si="114"/>
        <v>#N/A</v>
      </c>
      <c r="BK241" s="641" t="e">
        <f t="shared" si="115"/>
        <v>#N/A</v>
      </c>
      <c r="BL241" s="641" t="e">
        <f t="shared" si="116"/>
        <v>#N/A</v>
      </c>
      <c r="BM241" s="684" t="e">
        <f t="shared" si="117"/>
        <v>#N/A</v>
      </c>
      <c r="BO241" s="682" t="e">
        <f>CONCATENATE(Z241," ",LOOKUP(D241,'f-travail'!A:A,'f-travail'!F:F))</f>
        <v>#N/A</v>
      </c>
      <c r="BP241" s="669" t="e">
        <f t="shared" si="104"/>
        <v>#N/A</v>
      </c>
    </row>
    <row r="242" spans="1:68">
      <c r="A242" s="636">
        <f t="shared" si="118"/>
        <v>241</v>
      </c>
      <c r="B242" s="637"/>
      <c r="C242" s="637"/>
      <c r="D242" s="652"/>
      <c r="E242" s="679" t="e">
        <f>LOOKUP(D242,'f-travail'!A:A,'f-travail'!B:B)</f>
        <v>#N/A</v>
      </c>
      <c r="F242" s="650"/>
      <c r="G242" s="650"/>
      <c r="H242" s="653"/>
      <c r="I242" s="653"/>
      <c r="J242" s="654"/>
      <c r="K242" s="650"/>
      <c r="L242" s="650"/>
      <c r="M242" s="650">
        <v>0</v>
      </c>
      <c r="N242" s="654"/>
      <c r="O242" s="654"/>
      <c r="P242" s="654"/>
      <c r="Q242" s="654"/>
      <c r="R242" s="676"/>
      <c r="S242" s="654"/>
      <c r="T242" s="675"/>
      <c r="U242" s="675"/>
      <c r="V242" s="670" t="e">
        <f>LOOKUP(D242,'f-travail'!A:A,'f-travail'!E:E)</f>
        <v>#N/A</v>
      </c>
      <c r="W242" s="670" t="e">
        <f>VLOOKUP(V242,جرقمإستدلالي,'f-travail'!$AD$4+1,FALSE)</f>
        <v>#N/A</v>
      </c>
      <c r="X242" s="671" t="e">
        <f t="shared" si="94"/>
        <v>#N/A</v>
      </c>
      <c r="Y242" s="671">
        <f>IF(G242="مدير ولائي",(HLOOKUP(I242,جدروظعليا,'f-travail'!$AT$3+1,FALSE)-3200),0)</f>
        <v>0</v>
      </c>
      <c r="Z242" s="672" t="str">
        <f t="shared" si="105"/>
        <v/>
      </c>
      <c r="AA242" s="671">
        <f t="shared" si="106"/>
        <v>0</v>
      </c>
      <c r="AB242" s="677" t="b">
        <f t="shared" si="95"/>
        <v>0</v>
      </c>
      <c r="AC242" s="678">
        <f t="shared" si="107"/>
        <v>0</v>
      </c>
      <c r="AD242" s="673"/>
      <c r="AE242" s="678">
        <f t="shared" si="96"/>
        <v>0</v>
      </c>
      <c r="AF242" s="678" t="e">
        <f t="shared" si="97"/>
        <v>#N/A</v>
      </c>
      <c r="AG242" s="678" t="e">
        <f t="shared" si="98"/>
        <v>#N/A</v>
      </c>
      <c r="AH242" s="673">
        <f t="shared" si="108"/>
        <v>0</v>
      </c>
      <c r="AI242" s="674" t="e">
        <f>IF(G242="مدير ولائي",(11000*35%),LOOKUP(D242,'f-travail'!A:A,'f-travail'!I:I))</f>
        <v>#N/A</v>
      </c>
      <c r="AJ242" s="673" t="e">
        <f>IF(G242="مدير ولائي",((W242+X242)*45)*80%,IF(V242&lt;8,0,IF(F242="إليزي",(LOOKUP(D242,'f-travail'!A:A,'f-travail'!O:O))*(AF242+AG242),LOOKUP(D242,'f-travail'!A:A,'f-travail'!P:P)*(AF242+AG242))))</f>
        <v>#N/A</v>
      </c>
      <c r="AK242" s="673" t="e">
        <f>IF(G242="مدير ولائي",0,LOOKUP(D242,'f-travail'!A:A,'f-travail'!Q:Q))</f>
        <v>#N/A</v>
      </c>
      <c r="AL242" s="673" t="e">
        <f>IF(G242="مدير ولائي",0,LOOKUP(D242,'f-travail'!A:A,'f-travail'!R:R)*(AF242+AG242))</f>
        <v>#N/A</v>
      </c>
      <c r="AM242" s="673" t="e">
        <f>IF(G242="مدير ولائي",0,LOOKUP(D242,'f-travail'!A:A,'f-travail'!S:S)*(AF242+AG242))</f>
        <v>#N/A</v>
      </c>
      <c r="AN242" s="673" t="e">
        <f>IF(G242="مدير ولائي",0,LOOKUP(D242,'f-travail'!A:A,'f-travail'!T:T)*(AF242+AG242))</f>
        <v>#N/A</v>
      </c>
      <c r="AO242" s="673" t="e">
        <f>IF(G242="مدير ولائي",0,LOOKUP(D242,'f-travail'!A:A,'f-travail'!U:U)*(AF242+AG242))</f>
        <v>#N/A</v>
      </c>
      <c r="AP242" s="673" t="e">
        <f>IF(G242="مدير ولائي",0,LOOKUP(D242,'f-travail'!A:A,'f-travail'!V:V)*(AF242+AG242))</f>
        <v>#N/A</v>
      </c>
      <c r="AQ242" s="673" t="e">
        <f>IF(G242="مدير ولائي",0,LOOKUP(D242,'f-travail'!A:A,'f-travail'!W:W)*(AF242+AG242))</f>
        <v>#N/A</v>
      </c>
      <c r="AR242" s="673">
        <f t="shared" si="109"/>
        <v>0</v>
      </c>
      <c r="AS242" s="673" t="e">
        <f>IF(G242="مدير ولائي",0,LOOKUP(D242,'f-travail'!A:A,'f-travail'!X:X)*(AF242+AG242))</f>
        <v>#N/A</v>
      </c>
      <c r="AT242" s="673" t="e">
        <f>IF(G242="مدير ولائي",0,LOOKUP(D242,'f-travail'!Y:Y,'f-travail'!R:R)*(AF242+AG242))</f>
        <v>#N/A</v>
      </c>
      <c r="AU242" s="673">
        <f t="shared" si="99"/>
        <v>0</v>
      </c>
      <c r="AV242" s="673">
        <f t="shared" si="100"/>
        <v>0</v>
      </c>
      <c r="AW242" s="673">
        <f t="shared" si="101"/>
        <v>0</v>
      </c>
      <c r="AY242" s="640" t="e">
        <f t="shared" si="110"/>
        <v>#N/A</v>
      </c>
      <c r="AZ242" s="673" t="e">
        <f t="shared" si="102"/>
        <v>#N/A</v>
      </c>
      <c r="BA242" s="639" t="e">
        <f t="shared" si="103"/>
        <v>#N/A</v>
      </c>
      <c r="BG242" s="639">
        <f t="shared" si="111"/>
        <v>0</v>
      </c>
      <c r="BH242" s="683">
        <f t="shared" si="112"/>
        <v>0</v>
      </c>
      <c r="BI242" s="683">
        <f t="shared" si="113"/>
        <v>0</v>
      </c>
      <c r="BJ242" s="641" t="e">
        <f t="shared" si="114"/>
        <v>#N/A</v>
      </c>
      <c r="BK242" s="641" t="e">
        <f t="shared" si="115"/>
        <v>#N/A</v>
      </c>
      <c r="BL242" s="641" t="e">
        <f t="shared" si="116"/>
        <v>#N/A</v>
      </c>
      <c r="BM242" s="684" t="e">
        <f t="shared" si="117"/>
        <v>#N/A</v>
      </c>
      <c r="BO242" s="682" t="e">
        <f>CONCATENATE(Z242," ",LOOKUP(D242,'f-travail'!A:A,'f-travail'!F:F))</f>
        <v>#N/A</v>
      </c>
      <c r="BP242" s="669" t="e">
        <f t="shared" si="104"/>
        <v>#N/A</v>
      </c>
    </row>
    <row r="243" spans="1:68">
      <c r="A243" s="636">
        <f t="shared" si="118"/>
        <v>242</v>
      </c>
      <c r="B243" s="637"/>
      <c r="C243" s="637"/>
      <c r="D243" s="652"/>
      <c r="E243" s="679" t="e">
        <f>LOOKUP(D243,'f-travail'!A:A,'f-travail'!B:B)</f>
        <v>#N/A</v>
      </c>
      <c r="F243" s="650"/>
      <c r="G243" s="650"/>
      <c r="H243" s="653"/>
      <c r="I243" s="653"/>
      <c r="J243" s="654"/>
      <c r="K243" s="650"/>
      <c r="L243" s="650"/>
      <c r="M243" s="650">
        <v>0</v>
      </c>
      <c r="N243" s="654"/>
      <c r="O243" s="654"/>
      <c r="P243" s="654"/>
      <c r="Q243" s="654"/>
      <c r="R243" s="676"/>
      <c r="S243" s="654"/>
      <c r="T243" s="675"/>
      <c r="U243" s="675"/>
      <c r="V243" s="670" t="e">
        <f>LOOKUP(D243,'f-travail'!A:A,'f-travail'!E:E)</f>
        <v>#N/A</v>
      </c>
      <c r="W243" s="670" t="e">
        <f>VLOOKUP(V243,جرقمإستدلالي,'f-travail'!$AD$4+1,FALSE)</f>
        <v>#N/A</v>
      </c>
      <c r="X243" s="671" t="e">
        <f t="shared" si="94"/>
        <v>#N/A</v>
      </c>
      <c r="Y243" s="671">
        <f>IF(G243="مدير ولائي",(HLOOKUP(I243,جدروظعليا,'f-travail'!$AT$3+1,FALSE)-3200),0)</f>
        <v>0</v>
      </c>
      <c r="Z243" s="672" t="str">
        <f t="shared" si="105"/>
        <v/>
      </c>
      <c r="AA243" s="671">
        <f t="shared" si="106"/>
        <v>0</v>
      </c>
      <c r="AB243" s="677" t="b">
        <f t="shared" si="95"/>
        <v>0</v>
      </c>
      <c r="AC243" s="678">
        <f t="shared" si="107"/>
        <v>0</v>
      </c>
      <c r="AD243" s="673"/>
      <c r="AE243" s="678">
        <f t="shared" si="96"/>
        <v>0</v>
      </c>
      <c r="AF243" s="678" t="e">
        <f t="shared" si="97"/>
        <v>#N/A</v>
      </c>
      <c r="AG243" s="678" t="e">
        <f t="shared" si="98"/>
        <v>#N/A</v>
      </c>
      <c r="AH243" s="673">
        <f t="shared" si="108"/>
        <v>0</v>
      </c>
      <c r="AI243" s="674" t="e">
        <f>IF(G243="مدير ولائي",(11000*35%),LOOKUP(D243,'f-travail'!A:A,'f-travail'!I:I))</f>
        <v>#N/A</v>
      </c>
      <c r="AJ243" s="673" t="e">
        <f>IF(G243="مدير ولائي",((W243+X243)*45)*80%,IF(V243&lt;8,0,IF(F243="إليزي",(LOOKUP(D243,'f-travail'!A:A,'f-travail'!O:O))*(AF243+AG243),LOOKUP(D243,'f-travail'!A:A,'f-travail'!P:P)*(AF243+AG243))))</f>
        <v>#N/A</v>
      </c>
      <c r="AK243" s="673" t="e">
        <f>IF(G243="مدير ولائي",0,LOOKUP(D243,'f-travail'!A:A,'f-travail'!Q:Q))</f>
        <v>#N/A</v>
      </c>
      <c r="AL243" s="673" t="e">
        <f>IF(G243="مدير ولائي",0,LOOKUP(D243,'f-travail'!A:A,'f-travail'!R:R)*(AF243+AG243))</f>
        <v>#N/A</v>
      </c>
      <c r="AM243" s="673" t="e">
        <f>IF(G243="مدير ولائي",0,LOOKUP(D243,'f-travail'!A:A,'f-travail'!S:S)*(AF243+AG243))</f>
        <v>#N/A</v>
      </c>
      <c r="AN243" s="673" t="e">
        <f>IF(G243="مدير ولائي",0,LOOKUP(D243,'f-travail'!A:A,'f-travail'!T:T)*(AF243+AG243))</f>
        <v>#N/A</v>
      </c>
      <c r="AO243" s="673" t="e">
        <f>IF(G243="مدير ولائي",0,LOOKUP(D243,'f-travail'!A:A,'f-travail'!U:U)*(AF243+AG243))</f>
        <v>#N/A</v>
      </c>
      <c r="AP243" s="673" t="e">
        <f>IF(G243="مدير ولائي",0,LOOKUP(D243,'f-travail'!A:A,'f-travail'!V:V)*(AF243+AG243))</f>
        <v>#N/A</v>
      </c>
      <c r="AQ243" s="673" t="e">
        <f>IF(G243="مدير ولائي",0,LOOKUP(D243,'f-travail'!A:A,'f-travail'!W:W)*(AF243+AG243))</f>
        <v>#N/A</v>
      </c>
      <c r="AR243" s="673">
        <f t="shared" si="109"/>
        <v>0</v>
      </c>
      <c r="AS243" s="673" t="e">
        <f>IF(G243="مدير ولائي",0,LOOKUP(D243,'f-travail'!A:A,'f-travail'!X:X)*(AF243+AG243))</f>
        <v>#N/A</v>
      </c>
      <c r="AT243" s="673" t="e">
        <f>IF(G243="مدير ولائي",0,LOOKUP(D243,'f-travail'!Y:Y,'f-travail'!R:R)*(AF243+AG243))</f>
        <v>#N/A</v>
      </c>
      <c r="AU243" s="673">
        <f t="shared" si="99"/>
        <v>0</v>
      </c>
      <c r="AV243" s="673">
        <f t="shared" si="100"/>
        <v>0</v>
      </c>
      <c r="AW243" s="673">
        <f t="shared" si="101"/>
        <v>0</v>
      </c>
      <c r="AY243" s="640" t="e">
        <f t="shared" si="110"/>
        <v>#N/A</v>
      </c>
      <c r="AZ243" s="673" t="e">
        <f t="shared" si="102"/>
        <v>#N/A</v>
      </c>
      <c r="BA243" s="639" t="e">
        <f t="shared" si="103"/>
        <v>#N/A</v>
      </c>
      <c r="BG243" s="639">
        <f t="shared" si="111"/>
        <v>0</v>
      </c>
      <c r="BH243" s="683">
        <f t="shared" si="112"/>
        <v>0</v>
      </c>
      <c r="BI243" s="683">
        <f t="shared" si="113"/>
        <v>0</v>
      </c>
      <c r="BJ243" s="641" t="e">
        <f t="shared" si="114"/>
        <v>#N/A</v>
      </c>
      <c r="BK243" s="641" t="e">
        <f t="shared" si="115"/>
        <v>#N/A</v>
      </c>
      <c r="BL243" s="641" t="e">
        <f t="shared" si="116"/>
        <v>#N/A</v>
      </c>
      <c r="BM243" s="684" t="e">
        <f t="shared" si="117"/>
        <v>#N/A</v>
      </c>
      <c r="BO243" s="682" t="e">
        <f>CONCATENATE(Z243," ",LOOKUP(D243,'f-travail'!A:A,'f-travail'!F:F))</f>
        <v>#N/A</v>
      </c>
      <c r="BP243" s="669" t="e">
        <f t="shared" si="104"/>
        <v>#N/A</v>
      </c>
    </row>
    <row r="244" spans="1:68">
      <c r="A244" s="636">
        <f t="shared" si="118"/>
        <v>243</v>
      </c>
      <c r="B244" s="637"/>
      <c r="C244" s="637"/>
      <c r="D244" s="652"/>
      <c r="E244" s="679" t="e">
        <f>LOOKUP(D244,'f-travail'!A:A,'f-travail'!B:B)</f>
        <v>#N/A</v>
      </c>
      <c r="F244" s="650"/>
      <c r="G244" s="650"/>
      <c r="H244" s="653"/>
      <c r="I244" s="653"/>
      <c r="J244" s="654"/>
      <c r="K244" s="650"/>
      <c r="L244" s="650"/>
      <c r="M244" s="650">
        <v>0</v>
      </c>
      <c r="N244" s="654"/>
      <c r="O244" s="654"/>
      <c r="P244" s="654"/>
      <c r="Q244" s="654"/>
      <c r="R244" s="676"/>
      <c r="S244" s="654"/>
      <c r="T244" s="675"/>
      <c r="U244" s="675"/>
      <c r="V244" s="670" t="e">
        <f>LOOKUP(D244,'f-travail'!A:A,'f-travail'!E:E)</f>
        <v>#N/A</v>
      </c>
      <c r="W244" s="670" t="e">
        <f>VLOOKUP(V244,جرقمإستدلالي,'f-travail'!$AD$4+1,FALSE)</f>
        <v>#N/A</v>
      </c>
      <c r="X244" s="671" t="e">
        <f t="shared" si="94"/>
        <v>#N/A</v>
      </c>
      <c r="Y244" s="671">
        <f>IF(G244="مدير ولائي",(HLOOKUP(I244,جدروظعليا,'f-travail'!$AT$3+1,FALSE)-3200),0)</f>
        <v>0</v>
      </c>
      <c r="Z244" s="672" t="str">
        <f t="shared" si="105"/>
        <v/>
      </c>
      <c r="AA244" s="671">
        <f t="shared" si="106"/>
        <v>0</v>
      </c>
      <c r="AB244" s="677" t="b">
        <f t="shared" si="95"/>
        <v>0</v>
      </c>
      <c r="AC244" s="678">
        <f t="shared" si="107"/>
        <v>0</v>
      </c>
      <c r="AD244" s="673"/>
      <c r="AE244" s="678">
        <f t="shared" si="96"/>
        <v>0</v>
      </c>
      <c r="AF244" s="678" t="e">
        <f t="shared" si="97"/>
        <v>#N/A</v>
      </c>
      <c r="AG244" s="678" t="e">
        <f t="shared" si="98"/>
        <v>#N/A</v>
      </c>
      <c r="AH244" s="673">
        <f t="shared" si="108"/>
        <v>0</v>
      </c>
      <c r="AI244" s="674" t="e">
        <f>IF(G244="مدير ولائي",(11000*35%),LOOKUP(D244,'f-travail'!A:A,'f-travail'!I:I))</f>
        <v>#N/A</v>
      </c>
      <c r="AJ244" s="673" t="e">
        <f>IF(G244="مدير ولائي",((W244+X244)*45)*80%,IF(V244&lt;8,0,IF(F244="إليزي",(LOOKUP(D244,'f-travail'!A:A,'f-travail'!O:O))*(AF244+AG244),LOOKUP(D244,'f-travail'!A:A,'f-travail'!P:P)*(AF244+AG244))))</f>
        <v>#N/A</v>
      </c>
      <c r="AK244" s="673" t="e">
        <f>IF(G244="مدير ولائي",0,LOOKUP(D244,'f-travail'!A:A,'f-travail'!Q:Q))</f>
        <v>#N/A</v>
      </c>
      <c r="AL244" s="673" t="e">
        <f>IF(G244="مدير ولائي",0,LOOKUP(D244,'f-travail'!A:A,'f-travail'!R:R)*(AF244+AG244))</f>
        <v>#N/A</v>
      </c>
      <c r="AM244" s="673" t="e">
        <f>IF(G244="مدير ولائي",0,LOOKUP(D244,'f-travail'!A:A,'f-travail'!S:S)*(AF244+AG244))</f>
        <v>#N/A</v>
      </c>
      <c r="AN244" s="673" t="e">
        <f>IF(G244="مدير ولائي",0,LOOKUP(D244,'f-travail'!A:A,'f-travail'!T:T)*(AF244+AG244))</f>
        <v>#N/A</v>
      </c>
      <c r="AO244" s="673" t="e">
        <f>IF(G244="مدير ولائي",0,LOOKUP(D244,'f-travail'!A:A,'f-travail'!U:U)*(AF244+AG244))</f>
        <v>#N/A</v>
      </c>
      <c r="AP244" s="673" t="e">
        <f>IF(G244="مدير ولائي",0,LOOKUP(D244,'f-travail'!A:A,'f-travail'!V:V)*(AF244+AG244))</f>
        <v>#N/A</v>
      </c>
      <c r="AQ244" s="673" t="e">
        <f>IF(G244="مدير ولائي",0,LOOKUP(D244,'f-travail'!A:A,'f-travail'!W:W)*(AF244+AG244))</f>
        <v>#N/A</v>
      </c>
      <c r="AR244" s="673">
        <f t="shared" si="109"/>
        <v>0</v>
      </c>
      <c r="AS244" s="673" t="e">
        <f>IF(G244="مدير ولائي",0,LOOKUP(D244,'f-travail'!A:A,'f-travail'!X:X)*(AF244+AG244))</f>
        <v>#N/A</v>
      </c>
      <c r="AT244" s="673" t="e">
        <f>IF(G244="مدير ولائي",0,LOOKUP(D244,'f-travail'!Y:Y,'f-travail'!R:R)*(AF244+AG244))</f>
        <v>#N/A</v>
      </c>
      <c r="AU244" s="673">
        <f t="shared" si="99"/>
        <v>0</v>
      </c>
      <c r="AV244" s="673">
        <f t="shared" si="100"/>
        <v>0</v>
      </c>
      <c r="AW244" s="673">
        <f t="shared" si="101"/>
        <v>0</v>
      </c>
      <c r="AY244" s="640" t="e">
        <f t="shared" si="110"/>
        <v>#N/A</v>
      </c>
      <c r="AZ244" s="673" t="e">
        <f t="shared" si="102"/>
        <v>#N/A</v>
      </c>
      <c r="BA244" s="639" t="e">
        <f t="shared" si="103"/>
        <v>#N/A</v>
      </c>
      <c r="BG244" s="639">
        <f t="shared" si="111"/>
        <v>0</v>
      </c>
      <c r="BH244" s="683">
        <f t="shared" si="112"/>
        <v>0</v>
      </c>
      <c r="BI244" s="683">
        <f t="shared" si="113"/>
        <v>0</v>
      </c>
      <c r="BJ244" s="641" t="e">
        <f t="shared" si="114"/>
        <v>#N/A</v>
      </c>
      <c r="BK244" s="641" t="e">
        <f t="shared" si="115"/>
        <v>#N/A</v>
      </c>
      <c r="BL244" s="641" t="e">
        <f t="shared" si="116"/>
        <v>#N/A</v>
      </c>
      <c r="BM244" s="684" t="e">
        <f t="shared" si="117"/>
        <v>#N/A</v>
      </c>
      <c r="BO244" s="682" t="e">
        <f>CONCATENATE(Z244," ",LOOKUP(D244,'f-travail'!A:A,'f-travail'!F:F))</f>
        <v>#N/A</v>
      </c>
      <c r="BP244" s="669" t="e">
        <f t="shared" si="104"/>
        <v>#N/A</v>
      </c>
    </row>
    <row r="245" spans="1:68">
      <c r="A245" s="636">
        <f t="shared" si="118"/>
        <v>244</v>
      </c>
      <c r="B245" s="637"/>
      <c r="C245" s="637"/>
      <c r="D245" s="652"/>
      <c r="E245" s="679" t="e">
        <f>LOOKUP(D245,'f-travail'!A:A,'f-travail'!B:B)</f>
        <v>#N/A</v>
      </c>
      <c r="F245" s="650"/>
      <c r="G245" s="650"/>
      <c r="H245" s="653"/>
      <c r="I245" s="653"/>
      <c r="J245" s="654"/>
      <c r="K245" s="650"/>
      <c r="L245" s="650"/>
      <c r="M245" s="650">
        <v>0</v>
      </c>
      <c r="N245" s="654"/>
      <c r="O245" s="654"/>
      <c r="P245" s="654"/>
      <c r="Q245" s="654"/>
      <c r="R245" s="676"/>
      <c r="S245" s="654"/>
      <c r="T245" s="675"/>
      <c r="U245" s="675"/>
      <c r="V245" s="670" t="e">
        <f>LOOKUP(D245,'f-travail'!A:A,'f-travail'!E:E)</f>
        <v>#N/A</v>
      </c>
      <c r="W245" s="670" t="e">
        <f>VLOOKUP(V245,جرقمإستدلالي,'f-travail'!$AD$4+1,FALSE)</f>
        <v>#N/A</v>
      </c>
      <c r="X245" s="671" t="e">
        <f t="shared" si="94"/>
        <v>#N/A</v>
      </c>
      <c r="Y245" s="671">
        <f>IF(G245="مدير ولائي",(HLOOKUP(I245,جدروظعليا,'f-travail'!$AT$3+1,FALSE)-3200),0)</f>
        <v>0</v>
      </c>
      <c r="Z245" s="672" t="str">
        <f t="shared" si="105"/>
        <v/>
      </c>
      <c r="AA245" s="671">
        <f t="shared" si="106"/>
        <v>0</v>
      </c>
      <c r="AB245" s="677" t="b">
        <f t="shared" si="95"/>
        <v>0</v>
      </c>
      <c r="AC245" s="678">
        <f t="shared" si="107"/>
        <v>0</v>
      </c>
      <c r="AD245" s="673"/>
      <c r="AE245" s="678">
        <f t="shared" si="96"/>
        <v>0</v>
      </c>
      <c r="AF245" s="678" t="e">
        <f t="shared" si="97"/>
        <v>#N/A</v>
      </c>
      <c r="AG245" s="678" t="e">
        <f t="shared" si="98"/>
        <v>#N/A</v>
      </c>
      <c r="AH245" s="673">
        <f t="shared" si="108"/>
        <v>0</v>
      </c>
      <c r="AI245" s="674" t="e">
        <f>IF(G245="مدير ولائي",(11000*35%),LOOKUP(D245,'f-travail'!A:A,'f-travail'!I:I))</f>
        <v>#N/A</v>
      </c>
      <c r="AJ245" s="673" t="e">
        <f>IF(G245="مدير ولائي",((W245+X245)*45)*80%,IF(V245&lt;8,0,IF(F245="إليزي",(LOOKUP(D245,'f-travail'!A:A,'f-travail'!O:O))*(AF245+AG245),LOOKUP(D245,'f-travail'!A:A,'f-travail'!P:P)*(AF245+AG245))))</f>
        <v>#N/A</v>
      </c>
      <c r="AK245" s="673" t="e">
        <f>IF(G245="مدير ولائي",0,LOOKUP(D245,'f-travail'!A:A,'f-travail'!Q:Q))</f>
        <v>#N/A</v>
      </c>
      <c r="AL245" s="673" t="e">
        <f>IF(G245="مدير ولائي",0,LOOKUP(D245,'f-travail'!A:A,'f-travail'!R:R)*(AF245+AG245))</f>
        <v>#N/A</v>
      </c>
      <c r="AM245" s="673" t="e">
        <f>IF(G245="مدير ولائي",0,LOOKUP(D245,'f-travail'!A:A,'f-travail'!S:S)*(AF245+AG245))</f>
        <v>#N/A</v>
      </c>
      <c r="AN245" s="673" t="e">
        <f>IF(G245="مدير ولائي",0,LOOKUP(D245,'f-travail'!A:A,'f-travail'!T:T)*(AF245+AG245))</f>
        <v>#N/A</v>
      </c>
      <c r="AO245" s="673" t="e">
        <f>IF(G245="مدير ولائي",0,LOOKUP(D245,'f-travail'!A:A,'f-travail'!U:U)*(AF245+AG245))</f>
        <v>#N/A</v>
      </c>
      <c r="AP245" s="673" t="e">
        <f>IF(G245="مدير ولائي",0,LOOKUP(D245,'f-travail'!A:A,'f-travail'!V:V)*(AF245+AG245))</f>
        <v>#N/A</v>
      </c>
      <c r="AQ245" s="673" t="e">
        <f>IF(G245="مدير ولائي",0,LOOKUP(D245,'f-travail'!A:A,'f-travail'!W:W)*(AF245+AG245))</f>
        <v>#N/A</v>
      </c>
      <c r="AR245" s="673">
        <f t="shared" si="109"/>
        <v>0</v>
      </c>
      <c r="AS245" s="673" t="e">
        <f>IF(G245="مدير ولائي",0,LOOKUP(D245,'f-travail'!A:A,'f-travail'!X:X)*(AF245+AG245))</f>
        <v>#N/A</v>
      </c>
      <c r="AT245" s="673" t="e">
        <f>IF(G245="مدير ولائي",0,LOOKUP(D245,'f-travail'!Y:Y,'f-travail'!R:R)*(AF245+AG245))</f>
        <v>#N/A</v>
      </c>
      <c r="AU245" s="673">
        <f t="shared" si="99"/>
        <v>0</v>
      </c>
      <c r="AV245" s="673">
        <f t="shared" si="100"/>
        <v>0</v>
      </c>
      <c r="AW245" s="673">
        <f t="shared" si="101"/>
        <v>0</v>
      </c>
      <c r="AY245" s="640" t="e">
        <f t="shared" si="110"/>
        <v>#N/A</v>
      </c>
      <c r="AZ245" s="673" t="e">
        <f t="shared" si="102"/>
        <v>#N/A</v>
      </c>
      <c r="BA245" s="639" t="e">
        <f t="shared" si="103"/>
        <v>#N/A</v>
      </c>
      <c r="BG245" s="639">
        <f t="shared" si="111"/>
        <v>0</v>
      </c>
      <c r="BH245" s="683">
        <f t="shared" si="112"/>
        <v>0</v>
      </c>
      <c r="BI245" s="683">
        <f t="shared" si="113"/>
        <v>0</v>
      </c>
      <c r="BJ245" s="641" t="e">
        <f t="shared" si="114"/>
        <v>#N/A</v>
      </c>
      <c r="BK245" s="641" t="e">
        <f t="shared" si="115"/>
        <v>#N/A</v>
      </c>
      <c r="BL245" s="641" t="e">
        <f t="shared" si="116"/>
        <v>#N/A</v>
      </c>
      <c r="BM245" s="684" t="e">
        <f t="shared" si="117"/>
        <v>#N/A</v>
      </c>
      <c r="BO245" s="682" t="e">
        <f>CONCATENATE(Z245," ",LOOKUP(D245,'f-travail'!A:A,'f-travail'!F:F))</f>
        <v>#N/A</v>
      </c>
      <c r="BP245" s="669" t="e">
        <f t="shared" si="104"/>
        <v>#N/A</v>
      </c>
    </row>
    <row r="246" spans="1:68">
      <c r="A246" s="636">
        <f t="shared" si="118"/>
        <v>245</v>
      </c>
      <c r="B246" s="637"/>
      <c r="C246" s="637"/>
      <c r="D246" s="652"/>
      <c r="E246" s="679" t="e">
        <f>LOOKUP(D246,'f-travail'!A:A,'f-travail'!B:B)</f>
        <v>#N/A</v>
      </c>
      <c r="F246" s="650"/>
      <c r="G246" s="650"/>
      <c r="H246" s="653"/>
      <c r="I246" s="653"/>
      <c r="J246" s="654"/>
      <c r="K246" s="650"/>
      <c r="L246" s="650"/>
      <c r="M246" s="650">
        <v>0</v>
      </c>
      <c r="N246" s="654"/>
      <c r="O246" s="654"/>
      <c r="P246" s="654"/>
      <c r="Q246" s="654"/>
      <c r="R246" s="676"/>
      <c r="S246" s="654"/>
      <c r="T246" s="675"/>
      <c r="U246" s="675"/>
      <c r="V246" s="670" t="e">
        <f>LOOKUP(D246,'f-travail'!A:A,'f-travail'!E:E)</f>
        <v>#N/A</v>
      </c>
      <c r="W246" s="670" t="e">
        <f>VLOOKUP(V246,جرقمإستدلالي,'f-travail'!$AD$4+1,FALSE)</f>
        <v>#N/A</v>
      </c>
      <c r="X246" s="671" t="e">
        <f t="shared" si="94"/>
        <v>#N/A</v>
      </c>
      <c r="Y246" s="671">
        <f>IF(G246="مدير ولائي",(HLOOKUP(I246,جدروظعليا,'f-travail'!$AT$3+1,FALSE)-3200),0)</f>
        <v>0</v>
      </c>
      <c r="Z246" s="672" t="str">
        <f t="shared" si="105"/>
        <v/>
      </c>
      <c r="AA246" s="671">
        <f t="shared" si="106"/>
        <v>0</v>
      </c>
      <c r="AB246" s="677" t="b">
        <f t="shared" si="95"/>
        <v>0</v>
      </c>
      <c r="AC246" s="678">
        <f t="shared" si="107"/>
        <v>0</v>
      </c>
      <c r="AD246" s="673"/>
      <c r="AE246" s="678">
        <f t="shared" si="96"/>
        <v>0</v>
      </c>
      <c r="AF246" s="678" t="e">
        <f t="shared" si="97"/>
        <v>#N/A</v>
      </c>
      <c r="AG246" s="678" t="e">
        <f t="shared" si="98"/>
        <v>#N/A</v>
      </c>
      <c r="AH246" s="673">
        <f t="shared" si="108"/>
        <v>0</v>
      </c>
      <c r="AI246" s="674" t="e">
        <f>IF(G246="مدير ولائي",(11000*35%),LOOKUP(D246,'f-travail'!A:A,'f-travail'!I:I))</f>
        <v>#N/A</v>
      </c>
      <c r="AJ246" s="673" t="e">
        <f>IF(G246="مدير ولائي",((W246+X246)*45)*80%,IF(V246&lt;8,0,IF(F246="إليزي",(LOOKUP(D246,'f-travail'!A:A,'f-travail'!O:O))*(AF246+AG246),LOOKUP(D246,'f-travail'!A:A,'f-travail'!P:P)*(AF246+AG246))))</f>
        <v>#N/A</v>
      </c>
      <c r="AK246" s="673" t="e">
        <f>IF(G246="مدير ولائي",0,LOOKUP(D246,'f-travail'!A:A,'f-travail'!Q:Q))</f>
        <v>#N/A</v>
      </c>
      <c r="AL246" s="673" t="e">
        <f>IF(G246="مدير ولائي",0,LOOKUP(D246,'f-travail'!A:A,'f-travail'!R:R)*(AF246+AG246))</f>
        <v>#N/A</v>
      </c>
      <c r="AM246" s="673" t="e">
        <f>IF(G246="مدير ولائي",0,LOOKUP(D246,'f-travail'!A:A,'f-travail'!S:S)*(AF246+AG246))</f>
        <v>#N/A</v>
      </c>
      <c r="AN246" s="673" t="e">
        <f>IF(G246="مدير ولائي",0,LOOKUP(D246,'f-travail'!A:A,'f-travail'!T:T)*(AF246+AG246))</f>
        <v>#N/A</v>
      </c>
      <c r="AO246" s="673" t="e">
        <f>IF(G246="مدير ولائي",0,LOOKUP(D246,'f-travail'!A:A,'f-travail'!U:U)*(AF246+AG246))</f>
        <v>#N/A</v>
      </c>
      <c r="AP246" s="673" t="e">
        <f>IF(G246="مدير ولائي",0,LOOKUP(D246,'f-travail'!A:A,'f-travail'!V:V)*(AF246+AG246))</f>
        <v>#N/A</v>
      </c>
      <c r="AQ246" s="673" t="e">
        <f>IF(G246="مدير ولائي",0,LOOKUP(D246,'f-travail'!A:A,'f-travail'!W:W)*(AF246+AG246))</f>
        <v>#N/A</v>
      </c>
      <c r="AR246" s="673">
        <f t="shared" si="109"/>
        <v>0</v>
      </c>
      <c r="AS246" s="673" t="e">
        <f>IF(G246="مدير ولائي",0,LOOKUP(D246,'f-travail'!A:A,'f-travail'!X:X)*(AF246+AG246))</f>
        <v>#N/A</v>
      </c>
      <c r="AT246" s="673" t="e">
        <f>IF(G246="مدير ولائي",0,LOOKUP(D246,'f-travail'!Y:Y,'f-travail'!R:R)*(AF246+AG246))</f>
        <v>#N/A</v>
      </c>
      <c r="AU246" s="673">
        <f t="shared" si="99"/>
        <v>0</v>
      </c>
      <c r="AV246" s="673">
        <f t="shared" si="100"/>
        <v>0</v>
      </c>
      <c r="AW246" s="673">
        <f t="shared" si="101"/>
        <v>0</v>
      </c>
      <c r="AY246" s="640" t="e">
        <f t="shared" si="110"/>
        <v>#N/A</v>
      </c>
      <c r="AZ246" s="673" t="e">
        <f t="shared" si="102"/>
        <v>#N/A</v>
      </c>
      <c r="BA246" s="639" t="e">
        <f t="shared" si="103"/>
        <v>#N/A</v>
      </c>
      <c r="BG246" s="639">
        <f t="shared" si="111"/>
        <v>0</v>
      </c>
      <c r="BH246" s="683">
        <f t="shared" si="112"/>
        <v>0</v>
      </c>
      <c r="BI246" s="683">
        <f t="shared" si="113"/>
        <v>0</v>
      </c>
      <c r="BJ246" s="641" t="e">
        <f t="shared" si="114"/>
        <v>#N/A</v>
      </c>
      <c r="BK246" s="641" t="e">
        <f t="shared" si="115"/>
        <v>#N/A</v>
      </c>
      <c r="BL246" s="641" t="e">
        <f t="shared" si="116"/>
        <v>#N/A</v>
      </c>
      <c r="BM246" s="684" t="e">
        <f t="shared" si="117"/>
        <v>#N/A</v>
      </c>
      <c r="BO246" s="682" t="e">
        <f>CONCATENATE(Z246," ",LOOKUP(D246,'f-travail'!A:A,'f-travail'!F:F))</f>
        <v>#N/A</v>
      </c>
      <c r="BP246" s="669" t="e">
        <f t="shared" si="104"/>
        <v>#N/A</v>
      </c>
    </row>
    <row r="247" spans="1:68">
      <c r="A247" s="636">
        <f t="shared" si="118"/>
        <v>246</v>
      </c>
      <c r="B247" s="637"/>
      <c r="C247" s="637"/>
      <c r="D247" s="652"/>
      <c r="E247" s="679" t="e">
        <f>LOOKUP(D247,'f-travail'!A:A,'f-travail'!B:B)</f>
        <v>#N/A</v>
      </c>
      <c r="F247" s="650"/>
      <c r="G247" s="650"/>
      <c r="H247" s="653"/>
      <c r="I247" s="653"/>
      <c r="J247" s="654"/>
      <c r="K247" s="650"/>
      <c r="L247" s="650"/>
      <c r="M247" s="650">
        <v>0</v>
      </c>
      <c r="N247" s="654"/>
      <c r="O247" s="654"/>
      <c r="P247" s="654"/>
      <c r="Q247" s="654"/>
      <c r="R247" s="676"/>
      <c r="S247" s="654"/>
      <c r="T247" s="675"/>
      <c r="U247" s="675"/>
      <c r="V247" s="670" t="e">
        <f>LOOKUP(D247,'f-travail'!A:A,'f-travail'!E:E)</f>
        <v>#N/A</v>
      </c>
      <c r="W247" s="670" t="e">
        <f>VLOOKUP(V247,جرقمإستدلالي,'f-travail'!$AD$4+1,FALSE)</f>
        <v>#N/A</v>
      </c>
      <c r="X247" s="671" t="e">
        <f t="shared" si="94"/>
        <v>#N/A</v>
      </c>
      <c r="Y247" s="671">
        <f>IF(G247="مدير ولائي",(HLOOKUP(I247,جدروظعليا,'f-travail'!$AT$3+1,FALSE)-3200),0)</f>
        <v>0</v>
      </c>
      <c r="Z247" s="672" t="str">
        <f t="shared" si="105"/>
        <v/>
      </c>
      <c r="AA247" s="671">
        <f t="shared" si="106"/>
        <v>0</v>
      </c>
      <c r="AB247" s="677" t="b">
        <f t="shared" si="95"/>
        <v>0</v>
      </c>
      <c r="AC247" s="678">
        <f t="shared" si="107"/>
        <v>0</v>
      </c>
      <c r="AD247" s="673"/>
      <c r="AE247" s="678">
        <f t="shared" si="96"/>
        <v>0</v>
      </c>
      <c r="AF247" s="678" t="e">
        <f t="shared" si="97"/>
        <v>#N/A</v>
      </c>
      <c r="AG247" s="678" t="e">
        <f t="shared" si="98"/>
        <v>#N/A</v>
      </c>
      <c r="AH247" s="673">
        <f t="shared" si="108"/>
        <v>0</v>
      </c>
      <c r="AI247" s="674" t="e">
        <f>IF(G247="مدير ولائي",(11000*35%),LOOKUP(D247,'f-travail'!A:A,'f-travail'!I:I))</f>
        <v>#N/A</v>
      </c>
      <c r="AJ247" s="673" t="e">
        <f>IF(G247="مدير ولائي",((W247+X247)*45)*80%,IF(V247&lt;8,0,IF(F247="إليزي",(LOOKUP(D247,'f-travail'!A:A,'f-travail'!O:O))*(AF247+AG247),LOOKUP(D247,'f-travail'!A:A,'f-travail'!P:P)*(AF247+AG247))))</f>
        <v>#N/A</v>
      </c>
      <c r="AK247" s="673" t="e">
        <f>IF(G247="مدير ولائي",0,LOOKUP(D247,'f-travail'!A:A,'f-travail'!Q:Q))</f>
        <v>#N/A</v>
      </c>
      <c r="AL247" s="673" t="e">
        <f>IF(G247="مدير ولائي",0,LOOKUP(D247,'f-travail'!A:A,'f-travail'!R:R)*(AF247+AG247))</f>
        <v>#N/A</v>
      </c>
      <c r="AM247" s="673" t="e">
        <f>IF(G247="مدير ولائي",0,LOOKUP(D247,'f-travail'!A:A,'f-travail'!S:S)*(AF247+AG247))</f>
        <v>#N/A</v>
      </c>
      <c r="AN247" s="673" t="e">
        <f>IF(G247="مدير ولائي",0,LOOKUP(D247,'f-travail'!A:A,'f-travail'!T:T)*(AF247+AG247))</f>
        <v>#N/A</v>
      </c>
      <c r="AO247" s="673" t="e">
        <f>IF(G247="مدير ولائي",0,LOOKUP(D247,'f-travail'!A:A,'f-travail'!U:U)*(AF247+AG247))</f>
        <v>#N/A</v>
      </c>
      <c r="AP247" s="673" t="e">
        <f>IF(G247="مدير ولائي",0,LOOKUP(D247,'f-travail'!A:A,'f-travail'!V:V)*(AF247+AG247))</f>
        <v>#N/A</v>
      </c>
      <c r="AQ247" s="673" t="e">
        <f>IF(G247="مدير ولائي",0,LOOKUP(D247,'f-travail'!A:A,'f-travail'!W:W)*(AF247+AG247))</f>
        <v>#N/A</v>
      </c>
      <c r="AR247" s="673">
        <f t="shared" si="109"/>
        <v>0</v>
      </c>
      <c r="AS247" s="673" t="e">
        <f>IF(G247="مدير ولائي",0,LOOKUP(D247,'f-travail'!A:A,'f-travail'!X:X)*(AF247+AG247))</f>
        <v>#N/A</v>
      </c>
      <c r="AT247" s="673" t="e">
        <f>IF(G247="مدير ولائي",0,LOOKUP(D247,'f-travail'!Y:Y,'f-travail'!R:R)*(AF247+AG247))</f>
        <v>#N/A</v>
      </c>
      <c r="AU247" s="673">
        <f t="shared" si="99"/>
        <v>0</v>
      </c>
      <c r="AV247" s="673">
        <f t="shared" si="100"/>
        <v>0</v>
      </c>
      <c r="AW247" s="673">
        <f t="shared" si="101"/>
        <v>0</v>
      </c>
      <c r="AY247" s="640" t="e">
        <f t="shared" si="110"/>
        <v>#N/A</v>
      </c>
      <c r="AZ247" s="673" t="e">
        <f t="shared" si="102"/>
        <v>#N/A</v>
      </c>
      <c r="BA247" s="639" t="e">
        <f t="shared" si="103"/>
        <v>#N/A</v>
      </c>
      <c r="BG247" s="639">
        <f t="shared" si="111"/>
        <v>0</v>
      </c>
      <c r="BH247" s="683">
        <f t="shared" si="112"/>
        <v>0</v>
      </c>
      <c r="BI247" s="683">
        <f t="shared" si="113"/>
        <v>0</v>
      </c>
      <c r="BJ247" s="641" t="e">
        <f t="shared" si="114"/>
        <v>#N/A</v>
      </c>
      <c r="BK247" s="641" t="e">
        <f t="shared" si="115"/>
        <v>#N/A</v>
      </c>
      <c r="BL247" s="641" t="e">
        <f t="shared" si="116"/>
        <v>#N/A</v>
      </c>
      <c r="BM247" s="684" t="e">
        <f t="shared" si="117"/>
        <v>#N/A</v>
      </c>
      <c r="BO247" s="682" t="e">
        <f>CONCATENATE(Z247," ",LOOKUP(D247,'f-travail'!A:A,'f-travail'!F:F))</f>
        <v>#N/A</v>
      </c>
      <c r="BP247" s="669" t="e">
        <f t="shared" si="104"/>
        <v>#N/A</v>
      </c>
    </row>
    <row r="248" spans="1:68">
      <c r="A248" s="636">
        <f t="shared" si="118"/>
        <v>247</v>
      </c>
      <c r="B248" s="637"/>
      <c r="C248" s="637"/>
      <c r="D248" s="652"/>
      <c r="E248" s="679" t="e">
        <f>LOOKUP(D248,'f-travail'!A:A,'f-travail'!B:B)</f>
        <v>#N/A</v>
      </c>
      <c r="F248" s="650"/>
      <c r="G248" s="650"/>
      <c r="H248" s="653"/>
      <c r="I248" s="653"/>
      <c r="J248" s="654"/>
      <c r="K248" s="650"/>
      <c r="L248" s="650"/>
      <c r="M248" s="650">
        <v>0</v>
      </c>
      <c r="N248" s="654"/>
      <c r="O248" s="654"/>
      <c r="P248" s="654"/>
      <c r="Q248" s="654"/>
      <c r="R248" s="676"/>
      <c r="S248" s="654"/>
      <c r="T248" s="675"/>
      <c r="U248" s="675"/>
      <c r="V248" s="670" t="e">
        <f>LOOKUP(D248,'f-travail'!A:A,'f-travail'!E:E)</f>
        <v>#N/A</v>
      </c>
      <c r="W248" s="670" t="e">
        <f>VLOOKUP(V248,جرقمإستدلالي,'f-travail'!$AD$4+1,FALSE)</f>
        <v>#N/A</v>
      </c>
      <c r="X248" s="671" t="e">
        <f t="shared" si="94"/>
        <v>#N/A</v>
      </c>
      <c r="Y248" s="671">
        <f>IF(G248="مدير ولائي",(HLOOKUP(I248,جدروظعليا,'f-travail'!$AT$3+1,FALSE)-3200),0)</f>
        <v>0</v>
      </c>
      <c r="Z248" s="672" t="str">
        <f t="shared" si="105"/>
        <v/>
      </c>
      <c r="AA248" s="671">
        <f t="shared" si="106"/>
        <v>0</v>
      </c>
      <c r="AB248" s="677" t="b">
        <f t="shared" si="95"/>
        <v>0</v>
      </c>
      <c r="AC248" s="678">
        <f t="shared" si="107"/>
        <v>0</v>
      </c>
      <c r="AD248" s="673"/>
      <c r="AE248" s="678">
        <f t="shared" si="96"/>
        <v>0</v>
      </c>
      <c r="AF248" s="678" t="e">
        <f t="shared" si="97"/>
        <v>#N/A</v>
      </c>
      <c r="AG248" s="678" t="e">
        <f t="shared" si="98"/>
        <v>#N/A</v>
      </c>
      <c r="AH248" s="673">
        <f t="shared" si="108"/>
        <v>0</v>
      </c>
      <c r="AI248" s="674" t="e">
        <f>IF(G248="مدير ولائي",(11000*35%),LOOKUP(D248,'f-travail'!A:A,'f-travail'!I:I))</f>
        <v>#N/A</v>
      </c>
      <c r="AJ248" s="673" t="e">
        <f>IF(G248="مدير ولائي",((W248+X248)*45)*80%,IF(V248&lt;8,0,IF(F248="إليزي",(LOOKUP(D248,'f-travail'!A:A,'f-travail'!O:O))*(AF248+AG248),LOOKUP(D248,'f-travail'!A:A,'f-travail'!P:P)*(AF248+AG248))))</f>
        <v>#N/A</v>
      </c>
      <c r="AK248" s="673" t="e">
        <f>IF(G248="مدير ولائي",0,LOOKUP(D248,'f-travail'!A:A,'f-travail'!Q:Q))</f>
        <v>#N/A</v>
      </c>
      <c r="AL248" s="673" t="e">
        <f>IF(G248="مدير ولائي",0,LOOKUP(D248,'f-travail'!A:A,'f-travail'!R:R)*(AF248+AG248))</f>
        <v>#N/A</v>
      </c>
      <c r="AM248" s="673" t="e">
        <f>IF(G248="مدير ولائي",0,LOOKUP(D248,'f-travail'!A:A,'f-travail'!S:S)*(AF248+AG248))</f>
        <v>#N/A</v>
      </c>
      <c r="AN248" s="673" t="e">
        <f>IF(G248="مدير ولائي",0,LOOKUP(D248,'f-travail'!A:A,'f-travail'!T:T)*(AF248+AG248))</f>
        <v>#N/A</v>
      </c>
      <c r="AO248" s="673" t="e">
        <f>IF(G248="مدير ولائي",0,LOOKUP(D248,'f-travail'!A:A,'f-travail'!U:U)*(AF248+AG248))</f>
        <v>#N/A</v>
      </c>
      <c r="AP248" s="673" t="e">
        <f>IF(G248="مدير ولائي",0,LOOKUP(D248,'f-travail'!A:A,'f-travail'!V:V)*(AF248+AG248))</f>
        <v>#N/A</v>
      </c>
      <c r="AQ248" s="673" t="e">
        <f>IF(G248="مدير ولائي",0,LOOKUP(D248,'f-travail'!A:A,'f-travail'!W:W)*(AF248+AG248))</f>
        <v>#N/A</v>
      </c>
      <c r="AR248" s="673">
        <f t="shared" si="109"/>
        <v>0</v>
      </c>
      <c r="AS248" s="673" t="e">
        <f>IF(G248="مدير ولائي",0,LOOKUP(D248,'f-travail'!A:A,'f-travail'!X:X)*(AF248+AG248))</f>
        <v>#N/A</v>
      </c>
      <c r="AT248" s="673" t="e">
        <f>IF(G248="مدير ولائي",0,LOOKUP(D248,'f-travail'!Y:Y,'f-travail'!R:R)*(AF248+AG248))</f>
        <v>#N/A</v>
      </c>
      <c r="AU248" s="673">
        <f t="shared" si="99"/>
        <v>0</v>
      </c>
      <c r="AV248" s="673">
        <f t="shared" si="100"/>
        <v>0</v>
      </c>
      <c r="AW248" s="673">
        <f t="shared" si="101"/>
        <v>0</v>
      </c>
      <c r="AY248" s="640" t="e">
        <f t="shared" si="110"/>
        <v>#N/A</v>
      </c>
      <c r="AZ248" s="673" t="e">
        <f t="shared" si="102"/>
        <v>#N/A</v>
      </c>
      <c r="BA248" s="639" t="e">
        <f t="shared" si="103"/>
        <v>#N/A</v>
      </c>
      <c r="BG248" s="639">
        <f t="shared" si="111"/>
        <v>0</v>
      </c>
      <c r="BH248" s="683">
        <f t="shared" si="112"/>
        <v>0</v>
      </c>
      <c r="BI248" s="683">
        <f t="shared" si="113"/>
        <v>0</v>
      </c>
      <c r="BJ248" s="641" t="e">
        <f t="shared" si="114"/>
        <v>#N/A</v>
      </c>
      <c r="BK248" s="641" t="e">
        <f t="shared" si="115"/>
        <v>#N/A</v>
      </c>
      <c r="BL248" s="641" t="e">
        <f t="shared" si="116"/>
        <v>#N/A</v>
      </c>
      <c r="BM248" s="684" t="e">
        <f t="shared" si="117"/>
        <v>#N/A</v>
      </c>
      <c r="BO248" s="682" t="e">
        <f>CONCATENATE(Z248," ",LOOKUP(D248,'f-travail'!A:A,'f-travail'!F:F))</f>
        <v>#N/A</v>
      </c>
      <c r="BP248" s="669" t="e">
        <f t="shared" si="104"/>
        <v>#N/A</v>
      </c>
    </row>
    <row r="249" spans="1:68">
      <c r="A249" s="636">
        <f t="shared" si="118"/>
        <v>248</v>
      </c>
      <c r="B249" s="637"/>
      <c r="C249" s="637"/>
      <c r="D249" s="652"/>
      <c r="E249" s="679" t="e">
        <f>LOOKUP(D249,'f-travail'!A:A,'f-travail'!B:B)</f>
        <v>#N/A</v>
      </c>
      <c r="F249" s="650"/>
      <c r="G249" s="650"/>
      <c r="H249" s="653"/>
      <c r="I249" s="653"/>
      <c r="J249" s="654"/>
      <c r="K249" s="650"/>
      <c r="L249" s="650"/>
      <c r="M249" s="650">
        <v>0</v>
      </c>
      <c r="N249" s="654"/>
      <c r="O249" s="654"/>
      <c r="P249" s="654"/>
      <c r="Q249" s="654"/>
      <c r="R249" s="676"/>
      <c r="S249" s="654"/>
      <c r="T249" s="675"/>
      <c r="U249" s="675"/>
      <c r="V249" s="670" t="e">
        <f>LOOKUP(D249,'f-travail'!A:A,'f-travail'!E:E)</f>
        <v>#N/A</v>
      </c>
      <c r="W249" s="670" t="e">
        <f>VLOOKUP(V249,جرقمإستدلالي,'f-travail'!$AD$4+1,FALSE)</f>
        <v>#N/A</v>
      </c>
      <c r="X249" s="671" t="e">
        <f t="shared" si="94"/>
        <v>#N/A</v>
      </c>
      <c r="Y249" s="671">
        <f>IF(G249="مدير ولائي",(HLOOKUP(I249,جدروظعليا,'f-travail'!$AT$3+1,FALSE)-3200),0)</f>
        <v>0</v>
      </c>
      <c r="Z249" s="672" t="str">
        <f t="shared" si="105"/>
        <v/>
      </c>
      <c r="AA249" s="671">
        <f t="shared" si="106"/>
        <v>0</v>
      </c>
      <c r="AB249" s="677" t="b">
        <f t="shared" si="95"/>
        <v>0</v>
      </c>
      <c r="AC249" s="678">
        <f t="shared" si="107"/>
        <v>0</v>
      </c>
      <c r="AD249" s="673"/>
      <c r="AE249" s="678">
        <f t="shared" si="96"/>
        <v>0</v>
      </c>
      <c r="AF249" s="678" t="e">
        <f t="shared" si="97"/>
        <v>#N/A</v>
      </c>
      <c r="AG249" s="678" t="e">
        <f t="shared" si="98"/>
        <v>#N/A</v>
      </c>
      <c r="AH249" s="673">
        <f t="shared" si="108"/>
        <v>0</v>
      </c>
      <c r="AI249" s="674" t="e">
        <f>IF(G249="مدير ولائي",(11000*35%),LOOKUP(D249,'f-travail'!A:A,'f-travail'!I:I))</f>
        <v>#N/A</v>
      </c>
      <c r="AJ249" s="673" t="e">
        <f>IF(G249="مدير ولائي",((W249+X249)*45)*80%,IF(V249&lt;8,0,IF(F249="إليزي",(LOOKUP(D249,'f-travail'!A:A,'f-travail'!O:O))*(AF249+AG249),LOOKUP(D249,'f-travail'!A:A,'f-travail'!P:P)*(AF249+AG249))))</f>
        <v>#N/A</v>
      </c>
      <c r="AK249" s="673" t="e">
        <f>IF(G249="مدير ولائي",0,LOOKUP(D249,'f-travail'!A:A,'f-travail'!Q:Q))</f>
        <v>#N/A</v>
      </c>
      <c r="AL249" s="673" t="e">
        <f>IF(G249="مدير ولائي",0,LOOKUP(D249,'f-travail'!A:A,'f-travail'!R:R)*(AF249+AG249))</f>
        <v>#N/A</v>
      </c>
      <c r="AM249" s="673" t="e">
        <f>IF(G249="مدير ولائي",0,LOOKUP(D249,'f-travail'!A:A,'f-travail'!S:S)*(AF249+AG249))</f>
        <v>#N/A</v>
      </c>
      <c r="AN249" s="673" t="e">
        <f>IF(G249="مدير ولائي",0,LOOKUP(D249,'f-travail'!A:A,'f-travail'!T:T)*(AF249+AG249))</f>
        <v>#N/A</v>
      </c>
      <c r="AO249" s="673" t="e">
        <f>IF(G249="مدير ولائي",0,LOOKUP(D249,'f-travail'!A:A,'f-travail'!U:U)*(AF249+AG249))</f>
        <v>#N/A</v>
      </c>
      <c r="AP249" s="673" t="e">
        <f>IF(G249="مدير ولائي",0,LOOKUP(D249,'f-travail'!A:A,'f-travail'!V:V)*(AF249+AG249))</f>
        <v>#N/A</v>
      </c>
      <c r="AQ249" s="673" t="e">
        <f>IF(G249="مدير ولائي",0,LOOKUP(D249,'f-travail'!A:A,'f-travail'!W:W)*(AF249+AG249))</f>
        <v>#N/A</v>
      </c>
      <c r="AR249" s="673">
        <f t="shared" si="109"/>
        <v>0</v>
      </c>
      <c r="AS249" s="673" t="e">
        <f>IF(G249="مدير ولائي",0,LOOKUP(D249,'f-travail'!A:A,'f-travail'!X:X)*(AF249+AG249))</f>
        <v>#N/A</v>
      </c>
      <c r="AT249" s="673" t="e">
        <f>IF(G249="مدير ولائي",0,LOOKUP(D249,'f-travail'!Y:Y,'f-travail'!R:R)*(AF249+AG249))</f>
        <v>#N/A</v>
      </c>
      <c r="AU249" s="673">
        <f t="shared" si="99"/>
        <v>0</v>
      </c>
      <c r="AV249" s="673">
        <f t="shared" si="100"/>
        <v>0</v>
      </c>
      <c r="AW249" s="673">
        <f t="shared" si="101"/>
        <v>0</v>
      </c>
      <c r="AY249" s="640" t="e">
        <f t="shared" si="110"/>
        <v>#N/A</v>
      </c>
      <c r="AZ249" s="673" t="e">
        <f t="shared" si="102"/>
        <v>#N/A</v>
      </c>
      <c r="BA249" s="639" t="e">
        <f t="shared" si="103"/>
        <v>#N/A</v>
      </c>
      <c r="BG249" s="639">
        <f t="shared" si="111"/>
        <v>0</v>
      </c>
      <c r="BH249" s="683">
        <f t="shared" si="112"/>
        <v>0</v>
      </c>
      <c r="BI249" s="683">
        <f t="shared" si="113"/>
        <v>0</v>
      </c>
      <c r="BJ249" s="641" t="e">
        <f t="shared" si="114"/>
        <v>#N/A</v>
      </c>
      <c r="BK249" s="641" t="e">
        <f t="shared" si="115"/>
        <v>#N/A</v>
      </c>
      <c r="BL249" s="641" t="e">
        <f t="shared" si="116"/>
        <v>#N/A</v>
      </c>
      <c r="BM249" s="684" t="e">
        <f t="shared" si="117"/>
        <v>#N/A</v>
      </c>
      <c r="BO249" s="682" t="e">
        <f>CONCATENATE(Z249," ",LOOKUP(D249,'f-travail'!A:A,'f-travail'!F:F))</f>
        <v>#N/A</v>
      </c>
      <c r="BP249" s="669" t="e">
        <f t="shared" si="104"/>
        <v>#N/A</v>
      </c>
    </row>
    <row r="250" spans="1:68">
      <c r="A250" s="636">
        <f t="shared" si="118"/>
        <v>249</v>
      </c>
      <c r="B250" s="637"/>
      <c r="C250" s="637"/>
      <c r="D250" s="652"/>
      <c r="E250" s="679" t="e">
        <f>LOOKUP(D250,'f-travail'!A:A,'f-travail'!B:B)</f>
        <v>#N/A</v>
      </c>
      <c r="F250" s="650"/>
      <c r="G250" s="650"/>
      <c r="H250" s="653"/>
      <c r="I250" s="653"/>
      <c r="J250" s="654"/>
      <c r="K250" s="650"/>
      <c r="L250" s="650"/>
      <c r="M250" s="650">
        <v>0</v>
      </c>
      <c r="N250" s="654"/>
      <c r="O250" s="654"/>
      <c r="P250" s="654"/>
      <c r="Q250" s="654"/>
      <c r="R250" s="676"/>
      <c r="S250" s="654"/>
      <c r="T250" s="675"/>
      <c r="U250" s="675"/>
      <c r="V250" s="670" t="e">
        <f>LOOKUP(D250,'f-travail'!A:A,'f-travail'!E:E)</f>
        <v>#N/A</v>
      </c>
      <c r="W250" s="670" t="e">
        <f>VLOOKUP(V250,جرقمإستدلالي,'f-travail'!$AD$4+1,FALSE)</f>
        <v>#N/A</v>
      </c>
      <c r="X250" s="671" t="e">
        <f t="shared" si="94"/>
        <v>#N/A</v>
      </c>
      <c r="Y250" s="671">
        <f>IF(G250="مدير ولائي",(HLOOKUP(I250,جدروظعليا,'f-travail'!$AT$3+1,FALSE)-3200),0)</f>
        <v>0</v>
      </c>
      <c r="Z250" s="672" t="str">
        <f t="shared" si="105"/>
        <v/>
      </c>
      <c r="AA250" s="671">
        <f t="shared" si="106"/>
        <v>0</v>
      </c>
      <c r="AB250" s="677" t="b">
        <f t="shared" si="95"/>
        <v>0</v>
      </c>
      <c r="AC250" s="678">
        <f t="shared" si="107"/>
        <v>0</v>
      </c>
      <c r="AD250" s="673"/>
      <c r="AE250" s="678">
        <f t="shared" si="96"/>
        <v>0</v>
      </c>
      <c r="AF250" s="678" t="e">
        <f t="shared" si="97"/>
        <v>#N/A</v>
      </c>
      <c r="AG250" s="678" t="e">
        <f t="shared" si="98"/>
        <v>#N/A</v>
      </c>
      <c r="AH250" s="673">
        <f t="shared" si="108"/>
        <v>0</v>
      </c>
      <c r="AI250" s="674" t="e">
        <f>IF(G250="مدير ولائي",(11000*35%),LOOKUP(D250,'f-travail'!A:A,'f-travail'!I:I))</f>
        <v>#N/A</v>
      </c>
      <c r="AJ250" s="673" t="e">
        <f>IF(G250="مدير ولائي",((W250+X250)*45)*80%,IF(V250&lt;8,0,IF(F250="إليزي",(LOOKUP(D250,'f-travail'!A:A,'f-travail'!O:O))*(AF250+AG250),LOOKUP(D250,'f-travail'!A:A,'f-travail'!P:P)*(AF250+AG250))))</f>
        <v>#N/A</v>
      </c>
      <c r="AK250" s="673" t="e">
        <f>IF(G250="مدير ولائي",0,LOOKUP(D250,'f-travail'!A:A,'f-travail'!Q:Q))</f>
        <v>#N/A</v>
      </c>
      <c r="AL250" s="673" t="e">
        <f>IF(G250="مدير ولائي",0,LOOKUP(D250,'f-travail'!A:A,'f-travail'!R:R)*(AF250+AG250))</f>
        <v>#N/A</v>
      </c>
      <c r="AM250" s="673" t="e">
        <f>IF(G250="مدير ولائي",0,LOOKUP(D250,'f-travail'!A:A,'f-travail'!S:S)*(AF250+AG250))</f>
        <v>#N/A</v>
      </c>
      <c r="AN250" s="673" t="e">
        <f>IF(G250="مدير ولائي",0,LOOKUP(D250,'f-travail'!A:A,'f-travail'!T:T)*(AF250+AG250))</f>
        <v>#N/A</v>
      </c>
      <c r="AO250" s="673" t="e">
        <f>IF(G250="مدير ولائي",0,LOOKUP(D250,'f-travail'!A:A,'f-travail'!U:U)*(AF250+AG250))</f>
        <v>#N/A</v>
      </c>
      <c r="AP250" s="673" t="e">
        <f>IF(G250="مدير ولائي",0,LOOKUP(D250,'f-travail'!A:A,'f-travail'!V:V)*(AF250+AG250))</f>
        <v>#N/A</v>
      </c>
      <c r="AQ250" s="673" t="e">
        <f>IF(G250="مدير ولائي",0,LOOKUP(D250,'f-travail'!A:A,'f-travail'!W:W)*(AF250+AG250))</f>
        <v>#N/A</v>
      </c>
      <c r="AR250" s="673">
        <f t="shared" si="109"/>
        <v>0</v>
      </c>
      <c r="AS250" s="673" t="e">
        <f>IF(G250="مدير ولائي",0,LOOKUP(D250,'f-travail'!A:A,'f-travail'!X:X)*(AF250+AG250))</f>
        <v>#N/A</v>
      </c>
      <c r="AT250" s="673" t="e">
        <f>IF(G250="مدير ولائي",0,LOOKUP(D250,'f-travail'!Y:Y,'f-travail'!R:R)*(AF250+AG250))</f>
        <v>#N/A</v>
      </c>
      <c r="AU250" s="673">
        <f t="shared" si="99"/>
        <v>0</v>
      </c>
      <c r="AV250" s="673">
        <f t="shared" si="100"/>
        <v>0</v>
      </c>
      <c r="AW250" s="673">
        <f t="shared" si="101"/>
        <v>0</v>
      </c>
      <c r="AY250" s="640" t="e">
        <f t="shared" si="110"/>
        <v>#N/A</v>
      </c>
      <c r="AZ250" s="673" t="e">
        <f t="shared" si="102"/>
        <v>#N/A</v>
      </c>
      <c r="BA250" s="639" t="e">
        <f t="shared" si="103"/>
        <v>#N/A</v>
      </c>
      <c r="BG250" s="639">
        <f t="shared" si="111"/>
        <v>0</v>
      </c>
      <c r="BH250" s="683">
        <f t="shared" si="112"/>
        <v>0</v>
      </c>
      <c r="BI250" s="683">
        <f t="shared" si="113"/>
        <v>0</v>
      </c>
      <c r="BJ250" s="641" t="e">
        <f t="shared" si="114"/>
        <v>#N/A</v>
      </c>
      <c r="BK250" s="641" t="e">
        <f t="shared" si="115"/>
        <v>#N/A</v>
      </c>
      <c r="BL250" s="641" t="e">
        <f t="shared" si="116"/>
        <v>#N/A</v>
      </c>
      <c r="BM250" s="684" t="e">
        <f t="shared" si="117"/>
        <v>#N/A</v>
      </c>
      <c r="BO250" s="682" t="e">
        <f>CONCATENATE(Z250," ",LOOKUP(D250,'f-travail'!A:A,'f-travail'!F:F))</f>
        <v>#N/A</v>
      </c>
      <c r="BP250" s="669" t="e">
        <f t="shared" si="104"/>
        <v>#N/A</v>
      </c>
    </row>
    <row r="251" spans="1:68">
      <c r="A251" s="636">
        <f t="shared" si="118"/>
        <v>250</v>
      </c>
      <c r="B251" s="637"/>
      <c r="C251" s="637"/>
      <c r="D251" s="652"/>
      <c r="E251" s="679" t="e">
        <f>LOOKUP(D251,'f-travail'!A:A,'f-travail'!B:B)</f>
        <v>#N/A</v>
      </c>
      <c r="F251" s="650"/>
      <c r="G251" s="650"/>
      <c r="H251" s="653"/>
      <c r="I251" s="653"/>
      <c r="J251" s="654"/>
      <c r="K251" s="650"/>
      <c r="L251" s="650"/>
      <c r="M251" s="650">
        <v>0</v>
      </c>
      <c r="N251" s="654"/>
      <c r="O251" s="654"/>
      <c r="P251" s="654"/>
      <c r="Q251" s="654"/>
      <c r="R251" s="676"/>
      <c r="S251" s="654"/>
      <c r="T251" s="675"/>
      <c r="U251" s="675"/>
      <c r="V251" s="670" t="e">
        <f>LOOKUP(D251,'f-travail'!A:A,'f-travail'!E:E)</f>
        <v>#N/A</v>
      </c>
      <c r="W251" s="670" t="e">
        <f>VLOOKUP(V251,جرقمإستدلالي,'f-travail'!$AD$4+1,FALSE)</f>
        <v>#N/A</v>
      </c>
      <c r="X251" s="671" t="e">
        <f t="shared" si="94"/>
        <v>#N/A</v>
      </c>
      <c r="Y251" s="671">
        <f>IF(G251="مدير ولائي",(HLOOKUP(I251,جدروظعليا,'f-travail'!$AT$3+1,FALSE)-3200),0)</f>
        <v>0</v>
      </c>
      <c r="Z251" s="672" t="str">
        <f t="shared" si="105"/>
        <v/>
      </c>
      <c r="AA251" s="671">
        <f t="shared" si="106"/>
        <v>0</v>
      </c>
      <c r="AB251" s="677" t="b">
        <f t="shared" si="95"/>
        <v>0</v>
      </c>
      <c r="AC251" s="678">
        <f t="shared" si="107"/>
        <v>0</v>
      </c>
      <c r="AD251" s="673"/>
      <c r="AE251" s="678">
        <f t="shared" si="96"/>
        <v>0</v>
      </c>
      <c r="AF251" s="678" t="e">
        <f t="shared" si="97"/>
        <v>#N/A</v>
      </c>
      <c r="AG251" s="678" t="e">
        <f t="shared" si="98"/>
        <v>#N/A</v>
      </c>
      <c r="AH251" s="673">
        <f t="shared" si="108"/>
        <v>0</v>
      </c>
      <c r="AI251" s="674" t="e">
        <f>IF(G251="مدير ولائي",(11000*35%),LOOKUP(D251,'f-travail'!A:A,'f-travail'!I:I))</f>
        <v>#N/A</v>
      </c>
      <c r="AJ251" s="673" t="e">
        <f>IF(G251="مدير ولائي",((W251+X251)*45)*80%,IF(V251&lt;8,0,IF(F251="إليزي",(LOOKUP(D251,'f-travail'!A:A,'f-travail'!O:O))*(AF251+AG251),LOOKUP(D251,'f-travail'!A:A,'f-travail'!P:P)*(AF251+AG251))))</f>
        <v>#N/A</v>
      </c>
      <c r="AK251" s="673" t="e">
        <f>IF(G251="مدير ولائي",0,LOOKUP(D251,'f-travail'!A:A,'f-travail'!Q:Q))</f>
        <v>#N/A</v>
      </c>
      <c r="AL251" s="673" t="e">
        <f>IF(G251="مدير ولائي",0,LOOKUP(D251,'f-travail'!A:A,'f-travail'!R:R)*(AF251+AG251))</f>
        <v>#N/A</v>
      </c>
      <c r="AM251" s="673" t="e">
        <f>IF(G251="مدير ولائي",0,LOOKUP(D251,'f-travail'!A:A,'f-travail'!S:S)*(AF251+AG251))</f>
        <v>#N/A</v>
      </c>
      <c r="AN251" s="673" t="e">
        <f>IF(G251="مدير ولائي",0,LOOKUP(D251,'f-travail'!A:A,'f-travail'!T:T)*(AF251+AG251))</f>
        <v>#N/A</v>
      </c>
      <c r="AO251" s="673" t="e">
        <f>IF(G251="مدير ولائي",0,LOOKUP(D251,'f-travail'!A:A,'f-travail'!U:U)*(AF251+AG251))</f>
        <v>#N/A</v>
      </c>
      <c r="AP251" s="673" t="e">
        <f>IF(G251="مدير ولائي",0,LOOKUP(D251,'f-travail'!A:A,'f-travail'!V:V)*(AF251+AG251))</f>
        <v>#N/A</v>
      </c>
      <c r="AQ251" s="673" t="e">
        <f>IF(G251="مدير ولائي",0,LOOKUP(D251,'f-travail'!A:A,'f-travail'!W:W)*(AF251+AG251))</f>
        <v>#N/A</v>
      </c>
      <c r="AR251" s="673">
        <f t="shared" si="109"/>
        <v>0</v>
      </c>
      <c r="AS251" s="673" t="e">
        <f>IF(G251="مدير ولائي",0,LOOKUP(D251,'f-travail'!A:A,'f-travail'!X:X)*(AF251+AG251))</f>
        <v>#N/A</v>
      </c>
      <c r="AT251" s="673" t="e">
        <f>IF(G251="مدير ولائي",0,LOOKUP(D251,'f-travail'!Y:Y,'f-travail'!R:R)*(AF251+AG251))</f>
        <v>#N/A</v>
      </c>
      <c r="AU251" s="673">
        <f t="shared" si="99"/>
        <v>0</v>
      </c>
      <c r="AV251" s="673">
        <f t="shared" si="100"/>
        <v>0</v>
      </c>
      <c r="AW251" s="673">
        <f t="shared" si="101"/>
        <v>0</v>
      </c>
      <c r="AY251" s="640" t="e">
        <f t="shared" si="110"/>
        <v>#N/A</v>
      </c>
      <c r="AZ251" s="673" t="e">
        <f t="shared" si="102"/>
        <v>#N/A</v>
      </c>
      <c r="BA251" s="639" t="e">
        <f t="shared" si="103"/>
        <v>#N/A</v>
      </c>
      <c r="BG251" s="639">
        <f t="shared" si="111"/>
        <v>0</v>
      </c>
      <c r="BH251" s="683">
        <f t="shared" si="112"/>
        <v>0</v>
      </c>
      <c r="BI251" s="683">
        <f t="shared" si="113"/>
        <v>0</v>
      </c>
      <c r="BJ251" s="641" t="e">
        <f t="shared" si="114"/>
        <v>#N/A</v>
      </c>
      <c r="BK251" s="641" t="e">
        <f t="shared" si="115"/>
        <v>#N/A</v>
      </c>
      <c r="BL251" s="641" t="e">
        <f t="shared" si="116"/>
        <v>#N/A</v>
      </c>
      <c r="BM251" s="684" t="e">
        <f t="shared" si="117"/>
        <v>#N/A</v>
      </c>
      <c r="BO251" s="682" t="e">
        <f>CONCATENATE(Z251," ",LOOKUP(D251,'f-travail'!A:A,'f-travail'!F:F))</f>
        <v>#N/A</v>
      </c>
      <c r="BP251" s="669" t="e">
        <f t="shared" si="104"/>
        <v>#N/A</v>
      </c>
    </row>
    <row r="252" spans="1:68">
      <c r="A252" s="636">
        <f t="shared" si="118"/>
        <v>251</v>
      </c>
      <c r="B252" s="637"/>
      <c r="C252" s="637"/>
      <c r="D252" s="652"/>
      <c r="E252" s="679" t="e">
        <f>LOOKUP(D252,'f-travail'!A:A,'f-travail'!B:B)</f>
        <v>#N/A</v>
      </c>
      <c r="F252" s="650"/>
      <c r="G252" s="650"/>
      <c r="H252" s="653"/>
      <c r="I252" s="653"/>
      <c r="J252" s="654"/>
      <c r="K252" s="650"/>
      <c r="L252" s="650"/>
      <c r="M252" s="650">
        <v>0</v>
      </c>
      <c r="N252" s="654"/>
      <c r="O252" s="654"/>
      <c r="P252" s="654"/>
      <c r="Q252" s="654"/>
      <c r="R252" s="676"/>
      <c r="S252" s="654"/>
      <c r="T252" s="675"/>
      <c r="U252" s="675"/>
      <c r="V252" s="670" t="e">
        <f>LOOKUP(D252,'f-travail'!A:A,'f-travail'!E:E)</f>
        <v>#N/A</v>
      </c>
      <c r="W252" s="670" t="e">
        <f>VLOOKUP(V252,جرقمإستدلالي,'f-travail'!$AD$4+1,FALSE)</f>
        <v>#N/A</v>
      </c>
      <c r="X252" s="671" t="e">
        <f t="shared" si="94"/>
        <v>#N/A</v>
      </c>
      <c r="Y252" s="671">
        <f>IF(G252="مدير ولائي",(HLOOKUP(I252,جدروظعليا,'f-travail'!$AT$3+1,FALSE)-3200),0)</f>
        <v>0</v>
      </c>
      <c r="Z252" s="672" t="str">
        <f t="shared" si="105"/>
        <v/>
      </c>
      <c r="AA252" s="671">
        <f t="shared" si="106"/>
        <v>0</v>
      </c>
      <c r="AB252" s="677" t="b">
        <f t="shared" si="95"/>
        <v>0</v>
      </c>
      <c r="AC252" s="678">
        <f t="shared" si="107"/>
        <v>0</v>
      </c>
      <c r="AD252" s="673"/>
      <c r="AE252" s="678">
        <f t="shared" si="96"/>
        <v>0</v>
      </c>
      <c r="AF252" s="678" t="e">
        <f t="shared" si="97"/>
        <v>#N/A</v>
      </c>
      <c r="AG252" s="678" t="e">
        <f t="shared" si="98"/>
        <v>#N/A</v>
      </c>
      <c r="AH252" s="673">
        <f t="shared" si="108"/>
        <v>0</v>
      </c>
      <c r="AI252" s="674" t="e">
        <f>IF(G252="مدير ولائي",(11000*35%),LOOKUP(D252,'f-travail'!A:A,'f-travail'!I:I))</f>
        <v>#N/A</v>
      </c>
      <c r="AJ252" s="673" t="e">
        <f>IF(G252="مدير ولائي",((W252+X252)*45)*80%,IF(V252&lt;8,0,IF(F252="إليزي",(LOOKUP(D252,'f-travail'!A:A,'f-travail'!O:O))*(AF252+AG252),LOOKUP(D252,'f-travail'!A:A,'f-travail'!P:P)*(AF252+AG252))))</f>
        <v>#N/A</v>
      </c>
      <c r="AK252" s="673" t="e">
        <f>IF(G252="مدير ولائي",0,LOOKUP(D252,'f-travail'!A:A,'f-travail'!Q:Q))</f>
        <v>#N/A</v>
      </c>
      <c r="AL252" s="673" t="e">
        <f>IF(G252="مدير ولائي",0,LOOKUP(D252,'f-travail'!A:A,'f-travail'!R:R)*(AF252+AG252))</f>
        <v>#N/A</v>
      </c>
      <c r="AM252" s="673" t="e">
        <f>IF(G252="مدير ولائي",0,LOOKUP(D252,'f-travail'!A:A,'f-travail'!S:S)*(AF252+AG252))</f>
        <v>#N/A</v>
      </c>
      <c r="AN252" s="673" t="e">
        <f>IF(G252="مدير ولائي",0,LOOKUP(D252,'f-travail'!A:A,'f-travail'!T:T)*(AF252+AG252))</f>
        <v>#N/A</v>
      </c>
      <c r="AO252" s="673" t="e">
        <f>IF(G252="مدير ولائي",0,LOOKUP(D252,'f-travail'!A:A,'f-travail'!U:U)*(AF252+AG252))</f>
        <v>#N/A</v>
      </c>
      <c r="AP252" s="673" t="e">
        <f>IF(G252="مدير ولائي",0,LOOKUP(D252,'f-travail'!A:A,'f-travail'!V:V)*(AF252+AG252))</f>
        <v>#N/A</v>
      </c>
      <c r="AQ252" s="673" t="e">
        <f>IF(G252="مدير ولائي",0,LOOKUP(D252,'f-travail'!A:A,'f-travail'!W:W)*(AF252+AG252))</f>
        <v>#N/A</v>
      </c>
      <c r="AR252" s="673">
        <f t="shared" si="109"/>
        <v>0</v>
      </c>
      <c r="AS252" s="673" t="e">
        <f>IF(G252="مدير ولائي",0,LOOKUP(D252,'f-travail'!A:A,'f-travail'!X:X)*(AF252+AG252))</f>
        <v>#N/A</v>
      </c>
      <c r="AT252" s="673" t="e">
        <f>IF(G252="مدير ولائي",0,LOOKUP(D252,'f-travail'!Y:Y,'f-travail'!R:R)*(AF252+AG252))</f>
        <v>#N/A</v>
      </c>
      <c r="AU252" s="673">
        <f t="shared" si="99"/>
        <v>0</v>
      </c>
      <c r="AV252" s="673">
        <f t="shared" si="100"/>
        <v>0</v>
      </c>
      <c r="AW252" s="673">
        <f t="shared" si="101"/>
        <v>0</v>
      </c>
      <c r="AY252" s="640" t="e">
        <f t="shared" si="110"/>
        <v>#N/A</v>
      </c>
      <c r="AZ252" s="673" t="e">
        <f t="shared" si="102"/>
        <v>#N/A</v>
      </c>
      <c r="BA252" s="639" t="e">
        <f t="shared" si="103"/>
        <v>#N/A</v>
      </c>
      <c r="BG252" s="639">
        <f t="shared" si="111"/>
        <v>0</v>
      </c>
      <c r="BH252" s="683">
        <f t="shared" si="112"/>
        <v>0</v>
      </c>
      <c r="BI252" s="683">
        <f t="shared" si="113"/>
        <v>0</v>
      </c>
      <c r="BJ252" s="641" t="e">
        <f t="shared" si="114"/>
        <v>#N/A</v>
      </c>
      <c r="BK252" s="641" t="e">
        <f t="shared" si="115"/>
        <v>#N/A</v>
      </c>
      <c r="BL252" s="641" t="e">
        <f t="shared" si="116"/>
        <v>#N/A</v>
      </c>
      <c r="BM252" s="684" t="e">
        <f t="shared" si="117"/>
        <v>#N/A</v>
      </c>
      <c r="BO252" s="682" t="e">
        <f>CONCATENATE(Z252," ",LOOKUP(D252,'f-travail'!A:A,'f-travail'!F:F))</f>
        <v>#N/A</v>
      </c>
      <c r="BP252" s="669" t="e">
        <f t="shared" si="104"/>
        <v>#N/A</v>
      </c>
    </row>
    <row r="253" spans="1:68">
      <c r="A253" s="636">
        <f t="shared" si="118"/>
        <v>252</v>
      </c>
      <c r="B253" s="637"/>
      <c r="C253" s="637"/>
      <c r="D253" s="652"/>
      <c r="E253" s="679" t="e">
        <f>LOOKUP(D253,'f-travail'!A:A,'f-travail'!B:B)</f>
        <v>#N/A</v>
      </c>
      <c r="F253" s="650"/>
      <c r="G253" s="650"/>
      <c r="H253" s="653"/>
      <c r="I253" s="653"/>
      <c r="J253" s="654"/>
      <c r="K253" s="650"/>
      <c r="L253" s="650"/>
      <c r="M253" s="650">
        <v>0</v>
      </c>
      <c r="N253" s="654"/>
      <c r="O253" s="654"/>
      <c r="P253" s="654"/>
      <c r="Q253" s="654"/>
      <c r="R253" s="676"/>
      <c r="S253" s="654"/>
      <c r="T253" s="675"/>
      <c r="U253" s="675"/>
      <c r="V253" s="670" t="e">
        <f>LOOKUP(D253,'f-travail'!A:A,'f-travail'!E:E)</f>
        <v>#N/A</v>
      </c>
      <c r="W253" s="670" t="e">
        <f>VLOOKUP(V253,جرقمإستدلالي,'f-travail'!$AD$4+1,FALSE)</f>
        <v>#N/A</v>
      </c>
      <c r="X253" s="671" t="e">
        <f t="shared" si="94"/>
        <v>#N/A</v>
      </c>
      <c r="Y253" s="671">
        <f>IF(G253="مدير ولائي",(HLOOKUP(I253,جدروظعليا,'f-travail'!$AT$3+1,FALSE)-3200),0)</f>
        <v>0</v>
      </c>
      <c r="Z253" s="672" t="str">
        <f t="shared" si="105"/>
        <v/>
      </c>
      <c r="AA253" s="671">
        <f t="shared" si="106"/>
        <v>0</v>
      </c>
      <c r="AB253" s="677" t="b">
        <f t="shared" si="95"/>
        <v>0</v>
      </c>
      <c r="AC253" s="678">
        <f t="shared" si="107"/>
        <v>0</v>
      </c>
      <c r="AD253" s="673"/>
      <c r="AE253" s="678">
        <f t="shared" si="96"/>
        <v>0</v>
      </c>
      <c r="AF253" s="678" t="e">
        <f t="shared" si="97"/>
        <v>#N/A</v>
      </c>
      <c r="AG253" s="678" t="e">
        <f t="shared" si="98"/>
        <v>#N/A</v>
      </c>
      <c r="AH253" s="673">
        <f t="shared" si="108"/>
        <v>0</v>
      </c>
      <c r="AI253" s="674" t="e">
        <f>IF(G253="مدير ولائي",(11000*35%),LOOKUP(D253,'f-travail'!A:A,'f-travail'!I:I))</f>
        <v>#N/A</v>
      </c>
      <c r="AJ253" s="673" t="e">
        <f>IF(G253="مدير ولائي",((W253+X253)*45)*80%,IF(V253&lt;8,0,IF(F253="إليزي",(LOOKUP(D253,'f-travail'!A:A,'f-travail'!O:O))*(AF253+AG253),LOOKUP(D253,'f-travail'!A:A,'f-travail'!P:P)*(AF253+AG253))))</f>
        <v>#N/A</v>
      </c>
      <c r="AK253" s="673" t="e">
        <f>IF(G253="مدير ولائي",0,LOOKUP(D253,'f-travail'!A:A,'f-travail'!Q:Q))</f>
        <v>#N/A</v>
      </c>
      <c r="AL253" s="673" t="e">
        <f>IF(G253="مدير ولائي",0,LOOKUP(D253,'f-travail'!A:A,'f-travail'!R:R)*(AF253+AG253))</f>
        <v>#N/A</v>
      </c>
      <c r="AM253" s="673" t="e">
        <f>IF(G253="مدير ولائي",0,LOOKUP(D253,'f-travail'!A:A,'f-travail'!S:S)*(AF253+AG253))</f>
        <v>#N/A</v>
      </c>
      <c r="AN253" s="673" t="e">
        <f>IF(G253="مدير ولائي",0,LOOKUP(D253,'f-travail'!A:A,'f-travail'!T:T)*(AF253+AG253))</f>
        <v>#N/A</v>
      </c>
      <c r="AO253" s="673" t="e">
        <f>IF(G253="مدير ولائي",0,LOOKUP(D253,'f-travail'!A:A,'f-travail'!U:U)*(AF253+AG253))</f>
        <v>#N/A</v>
      </c>
      <c r="AP253" s="673" t="e">
        <f>IF(G253="مدير ولائي",0,LOOKUP(D253,'f-travail'!A:A,'f-travail'!V:V)*(AF253+AG253))</f>
        <v>#N/A</v>
      </c>
      <c r="AQ253" s="673" t="e">
        <f>IF(G253="مدير ولائي",0,LOOKUP(D253,'f-travail'!A:A,'f-travail'!W:W)*(AF253+AG253))</f>
        <v>#N/A</v>
      </c>
      <c r="AR253" s="673">
        <f t="shared" si="109"/>
        <v>0</v>
      </c>
      <c r="AS253" s="673" t="e">
        <f>IF(G253="مدير ولائي",0,LOOKUP(D253,'f-travail'!A:A,'f-travail'!X:X)*(AF253+AG253))</f>
        <v>#N/A</v>
      </c>
      <c r="AT253" s="673" t="e">
        <f>IF(G253="مدير ولائي",0,LOOKUP(D253,'f-travail'!Y:Y,'f-travail'!R:R)*(AF253+AG253))</f>
        <v>#N/A</v>
      </c>
      <c r="AU253" s="673">
        <f t="shared" si="99"/>
        <v>0</v>
      </c>
      <c r="AV253" s="673">
        <f t="shared" si="100"/>
        <v>0</v>
      </c>
      <c r="AW253" s="673">
        <f t="shared" si="101"/>
        <v>0</v>
      </c>
      <c r="AY253" s="640" t="e">
        <f t="shared" si="110"/>
        <v>#N/A</v>
      </c>
      <c r="AZ253" s="673" t="e">
        <f t="shared" si="102"/>
        <v>#N/A</v>
      </c>
      <c r="BA253" s="639" t="e">
        <f t="shared" si="103"/>
        <v>#N/A</v>
      </c>
      <c r="BG253" s="639">
        <f t="shared" si="111"/>
        <v>0</v>
      </c>
      <c r="BH253" s="683">
        <f t="shared" si="112"/>
        <v>0</v>
      </c>
      <c r="BI253" s="683">
        <f t="shared" si="113"/>
        <v>0</v>
      </c>
      <c r="BJ253" s="641" t="e">
        <f t="shared" si="114"/>
        <v>#N/A</v>
      </c>
      <c r="BK253" s="641" t="e">
        <f t="shared" si="115"/>
        <v>#N/A</v>
      </c>
      <c r="BL253" s="641" t="e">
        <f t="shared" si="116"/>
        <v>#N/A</v>
      </c>
      <c r="BM253" s="684" t="e">
        <f t="shared" si="117"/>
        <v>#N/A</v>
      </c>
      <c r="BO253" s="682" t="e">
        <f>CONCATENATE(Z253," ",LOOKUP(D253,'f-travail'!A:A,'f-travail'!F:F))</f>
        <v>#N/A</v>
      </c>
      <c r="BP253" s="669" t="e">
        <f t="shared" si="104"/>
        <v>#N/A</v>
      </c>
    </row>
    <row r="254" spans="1:68">
      <c r="A254" s="636">
        <f t="shared" si="118"/>
        <v>253</v>
      </c>
      <c r="B254" s="637"/>
      <c r="C254" s="637"/>
      <c r="D254" s="652"/>
      <c r="E254" s="679" t="e">
        <f>LOOKUP(D254,'f-travail'!A:A,'f-travail'!B:B)</f>
        <v>#N/A</v>
      </c>
      <c r="F254" s="650"/>
      <c r="G254" s="650"/>
      <c r="H254" s="653"/>
      <c r="I254" s="653"/>
      <c r="J254" s="654"/>
      <c r="K254" s="650"/>
      <c r="L254" s="650"/>
      <c r="M254" s="650">
        <v>0</v>
      </c>
      <c r="N254" s="654"/>
      <c r="O254" s="654"/>
      <c r="P254" s="654"/>
      <c r="Q254" s="654"/>
      <c r="R254" s="676"/>
      <c r="S254" s="654"/>
      <c r="T254" s="675"/>
      <c r="U254" s="675"/>
      <c r="V254" s="670" t="e">
        <f>LOOKUP(D254,'f-travail'!A:A,'f-travail'!E:E)</f>
        <v>#N/A</v>
      </c>
      <c r="W254" s="670" t="e">
        <f>VLOOKUP(V254,جرقمإستدلالي,'f-travail'!$AD$4+1,FALSE)</f>
        <v>#N/A</v>
      </c>
      <c r="X254" s="671" t="e">
        <f t="shared" si="94"/>
        <v>#N/A</v>
      </c>
      <c r="Y254" s="671">
        <f>IF(G254="مدير ولائي",(HLOOKUP(I254,جدروظعليا,'f-travail'!$AT$3+1,FALSE)-3200),0)</f>
        <v>0</v>
      </c>
      <c r="Z254" s="672" t="str">
        <f t="shared" si="105"/>
        <v/>
      </c>
      <c r="AA254" s="671">
        <f t="shared" si="106"/>
        <v>0</v>
      </c>
      <c r="AB254" s="677" t="b">
        <f t="shared" si="95"/>
        <v>0</v>
      </c>
      <c r="AC254" s="678">
        <f t="shared" si="107"/>
        <v>0</v>
      </c>
      <c r="AD254" s="673"/>
      <c r="AE254" s="678">
        <f t="shared" si="96"/>
        <v>0</v>
      </c>
      <c r="AF254" s="678" t="e">
        <f t="shared" si="97"/>
        <v>#N/A</v>
      </c>
      <c r="AG254" s="678" t="e">
        <f t="shared" si="98"/>
        <v>#N/A</v>
      </c>
      <c r="AH254" s="673">
        <f t="shared" si="108"/>
        <v>0</v>
      </c>
      <c r="AI254" s="674" t="e">
        <f>IF(G254="مدير ولائي",(11000*35%),LOOKUP(D254,'f-travail'!A:A,'f-travail'!I:I))</f>
        <v>#N/A</v>
      </c>
      <c r="AJ254" s="673" t="e">
        <f>IF(G254="مدير ولائي",((W254+X254)*45)*80%,IF(V254&lt;8,0,IF(F254="إليزي",(LOOKUP(D254,'f-travail'!A:A,'f-travail'!O:O))*(AF254+AG254),LOOKUP(D254,'f-travail'!A:A,'f-travail'!P:P)*(AF254+AG254))))</f>
        <v>#N/A</v>
      </c>
      <c r="AK254" s="673" t="e">
        <f>IF(G254="مدير ولائي",0,LOOKUP(D254,'f-travail'!A:A,'f-travail'!Q:Q))</f>
        <v>#N/A</v>
      </c>
      <c r="AL254" s="673" t="e">
        <f>IF(G254="مدير ولائي",0,LOOKUP(D254,'f-travail'!A:A,'f-travail'!R:R)*(AF254+AG254))</f>
        <v>#N/A</v>
      </c>
      <c r="AM254" s="673" t="e">
        <f>IF(G254="مدير ولائي",0,LOOKUP(D254,'f-travail'!A:A,'f-travail'!S:S)*(AF254+AG254))</f>
        <v>#N/A</v>
      </c>
      <c r="AN254" s="673" t="e">
        <f>IF(G254="مدير ولائي",0,LOOKUP(D254,'f-travail'!A:A,'f-travail'!T:T)*(AF254+AG254))</f>
        <v>#N/A</v>
      </c>
      <c r="AO254" s="673" t="e">
        <f>IF(G254="مدير ولائي",0,LOOKUP(D254,'f-travail'!A:A,'f-travail'!U:U)*(AF254+AG254))</f>
        <v>#N/A</v>
      </c>
      <c r="AP254" s="673" t="e">
        <f>IF(G254="مدير ولائي",0,LOOKUP(D254,'f-travail'!A:A,'f-travail'!V:V)*(AF254+AG254))</f>
        <v>#N/A</v>
      </c>
      <c r="AQ254" s="673" t="e">
        <f>IF(G254="مدير ولائي",0,LOOKUP(D254,'f-travail'!A:A,'f-travail'!W:W)*(AF254+AG254))</f>
        <v>#N/A</v>
      </c>
      <c r="AR254" s="673">
        <f t="shared" si="109"/>
        <v>0</v>
      </c>
      <c r="AS254" s="673" t="e">
        <f>IF(G254="مدير ولائي",0,LOOKUP(D254,'f-travail'!A:A,'f-travail'!X:X)*(AF254+AG254))</f>
        <v>#N/A</v>
      </c>
      <c r="AT254" s="673" t="e">
        <f>IF(G254="مدير ولائي",0,LOOKUP(D254,'f-travail'!Y:Y,'f-travail'!R:R)*(AF254+AG254))</f>
        <v>#N/A</v>
      </c>
      <c r="AU254" s="673">
        <f t="shared" si="99"/>
        <v>0</v>
      </c>
      <c r="AV254" s="673">
        <f t="shared" si="100"/>
        <v>0</v>
      </c>
      <c r="AW254" s="673">
        <f t="shared" si="101"/>
        <v>0</v>
      </c>
      <c r="AY254" s="640" t="e">
        <f t="shared" si="110"/>
        <v>#N/A</v>
      </c>
      <c r="AZ254" s="673" t="e">
        <f t="shared" si="102"/>
        <v>#N/A</v>
      </c>
      <c r="BA254" s="639" t="e">
        <f t="shared" si="103"/>
        <v>#N/A</v>
      </c>
      <c r="BG254" s="639">
        <f t="shared" si="111"/>
        <v>0</v>
      </c>
      <c r="BH254" s="683">
        <f t="shared" si="112"/>
        <v>0</v>
      </c>
      <c r="BI254" s="683">
        <f t="shared" si="113"/>
        <v>0</v>
      </c>
      <c r="BJ254" s="641" t="e">
        <f t="shared" si="114"/>
        <v>#N/A</v>
      </c>
      <c r="BK254" s="641" t="e">
        <f t="shared" si="115"/>
        <v>#N/A</v>
      </c>
      <c r="BL254" s="641" t="e">
        <f t="shared" si="116"/>
        <v>#N/A</v>
      </c>
      <c r="BM254" s="684" t="e">
        <f t="shared" si="117"/>
        <v>#N/A</v>
      </c>
      <c r="BO254" s="682" t="e">
        <f>CONCATENATE(Z254," ",LOOKUP(D254,'f-travail'!A:A,'f-travail'!F:F))</f>
        <v>#N/A</v>
      </c>
      <c r="BP254" s="669" t="e">
        <f t="shared" si="104"/>
        <v>#N/A</v>
      </c>
    </row>
    <row r="255" spans="1:68">
      <c r="A255" s="636">
        <f t="shared" si="118"/>
        <v>254</v>
      </c>
      <c r="B255" s="637"/>
      <c r="C255" s="637"/>
      <c r="D255" s="652"/>
      <c r="E255" s="679" t="e">
        <f>LOOKUP(D255,'f-travail'!A:A,'f-travail'!B:B)</f>
        <v>#N/A</v>
      </c>
      <c r="F255" s="650"/>
      <c r="G255" s="650"/>
      <c r="H255" s="653"/>
      <c r="I255" s="653"/>
      <c r="J255" s="654"/>
      <c r="K255" s="650"/>
      <c r="L255" s="650"/>
      <c r="M255" s="650">
        <v>0</v>
      </c>
      <c r="N255" s="654"/>
      <c r="O255" s="654"/>
      <c r="P255" s="654"/>
      <c r="Q255" s="654"/>
      <c r="R255" s="676"/>
      <c r="S255" s="654"/>
      <c r="T255" s="675"/>
      <c r="U255" s="675"/>
      <c r="V255" s="670" t="e">
        <f>LOOKUP(D255,'f-travail'!A:A,'f-travail'!E:E)</f>
        <v>#N/A</v>
      </c>
      <c r="W255" s="670" t="e">
        <f>VLOOKUP(V255,جرقمإستدلالي,'f-travail'!$AD$4+1,FALSE)</f>
        <v>#N/A</v>
      </c>
      <c r="X255" s="671" t="e">
        <f t="shared" si="94"/>
        <v>#N/A</v>
      </c>
      <c r="Y255" s="671">
        <f>IF(G255="مدير ولائي",(HLOOKUP(I255,جدروظعليا,'f-travail'!$AT$3+1,FALSE)-3200),0)</f>
        <v>0</v>
      </c>
      <c r="Z255" s="672" t="str">
        <f t="shared" si="105"/>
        <v/>
      </c>
      <c r="AA255" s="671">
        <f t="shared" si="106"/>
        <v>0</v>
      </c>
      <c r="AB255" s="677" t="b">
        <f t="shared" si="95"/>
        <v>0</v>
      </c>
      <c r="AC255" s="678">
        <f t="shared" si="107"/>
        <v>0</v>
      </c>
      <c r="AD255" s="673"/>
      <c r="AE255" s="678">
        <f t="shared" si="96"/>
        <v>0</v>
      </c>
      <c r="AF255" s="678" t="e">
        <f t="shared" si="97"/>
        <v>#N/A</v>
      </c>
      <c r="AG255" s="678" t="e">
        <f t="shared" si="98"/>
        <v>#N/A</v>
      </c>
      <c r="AH255" s="673">
        <f t="shared" si="108"/>
        <v>0</v>
      </c>
      <c r="AI255" s="674" t="e">
        <f>IF(G255="مدير ولائي",(11000*35%),LOOKUP(D255,'f-travail'!A:A,'f-travail'!I:I))</f>
        <v>#N/A</v>
      </c>
      <c r="AJ255" s="673" t="e">
        <f>IF(G255="مدير ولائي",((W255+X255)*45)*80%,IF(V255&lt;8,0,IF(F255="إليزي",(LOOKUP(D255,'f-travail'!A:A,'f-travail'!O:O))*(AF255+AG255),LOOKUP(D255,'f-travail'!A:A,'f-travail'!P:P)*(AF255+AG255))))</f>
        <v>#N/A</v>
      </c>
      <c r="AK255" s="673" t="e">
        <f>IF(G255="مدير ولائي",0,LOOKUP(D255,'f-travail'!A:A,'f-travail'!Q:Q))</f>
        <v>#N/A</v>
      </c>
      <c r="AL255" s="673" t="e">
        <f>IF(G255="مدير ولائي",0,LOOKUP(D255,'f-travail'!A:A,'f-travail'!R:R)*(AF255+AG255))</f>
        <v>#N/A</v>
      </c>
      <c r="AM255" s="673" t="e">
        <f>IF(G255="مدير ولائي",0,LOOKUP(D255,'f-travail'!A:A,'f-travail'!S:S)*(AF255+AG255))</f>
        <v>#N/A</v>
      </c>
      <c r="AN255" s="673" t="e">
        <f>IF(G255="مدير ولائي",0,LOOKUP(D255,'f-travail'!A:A,'f-travail'!T:T)*(AF255+AG255))</f>
        <v>#N/A</v>
      </c>
      <c r="AO255" s="673" t="e">
        <f>IF(G255="مدير ولائي",0,LOOKUP(D255,'f-travail'!A:A,'f-travail'!U:U)*(AF255+AG255))</f>
        <v>#N/A</v>
      </c>
      <c r="AP255" s="673" t="e">
        <f>IF(G255="مدير ولائي",0,LOOKUP(D255,'f-travail'!A:A,'f-travail'!V:V)*(AF255+AG255))</f>
        <v>#N/A</v>
      </c>
      <c r="AQ255" s="673" t="e">
        <f>IF(G255="مدير ولائي",0,LOOKUP(D255,'f-travail'!A:A,'f-travail'!W:W)*(AF255+AG255))</f>
        <v>#N/A</v>
      </c>
      <c r="AR255" s="673">
        <f t="shared" si="109"/>
        <v>0</v>
      </c>
      <c r="AS255" s="673" t="e">
        <f>IF(G255="مدير ولائي",0,LOOKUP(D255,'f-travail'!A:A,'f-travail'!X:X)*(AF255+AG255))</f>
        <v>#N/A</v>
      </c>
      <c r="AT255" s="673" t="e">
        <f>IF(G255="مدير ولائي",0,LOOKUP(D255,'f-travail'!Y:Y,'f-travail'!R:R)*(AF255+AG255))</f>
        <v>#N/A</v>
      </c>
      <c r="AU255" s="673">
        <f t="shared" si="99"/>
        <v>0</v>
      </c>
      <c r="AV255" s="673">
        <f t="shared" si="100"/>
        <v>0</v>
      </c>
      <c r="AW255" s="673">
        <f t="shared" si="101"/>
        <v>0</v>
      </c>
      <c r="AY255" s="640" t="e">
        <f t="shared" si="110"/>
        <v>#N/A</v>
      </c>
      <c r="AZ255" s="673" t="e">
        <f t="shared" si="102"/>
        <v>#N/A</v>
      </c>
      <c r="BA255" s="639" t="e">
        <f t="shared" si="103"/>
        <v>#N/A</v>
      </c>
      <c r="BG255" s="639">
        <f t="shared" si="111"/>
        <v>0</v>
      </c>
      <c r="BH255" s="683">
        <f t="shared" si="112"/>
        <v>0</v>
      </c>
      <c r="BI255" s="683">
        <f t="shared" si="113"/>
        <v>0</v>
      </c>
      <c r="BJ255" s="641" t="e">
        <f t="shared" si="114"/>
        <v>#N/A</v>
      </c>
      <c r="BK255" s="641" t="e">
        <f t="shared" si="115"/>
        <v>#N/A</v>
      </c>
      <c r="BL255" s="641" t="e">
        <f t="shared" si="116"/>
        <v>#N/A</v>
      </c>
      <c r="BM255" s="684" t="e">
        <f t="shared" si="117"/>
        <v>#N/A</v>
      </c>
      <c r="BO255" s="682" t="e">
        <f>CONCATENATE(Z255," ",LOOKUP(D255,'f-travail'!A:A,'f-travail'!F:F))</f>
        <v>#N/A</v>
      </c>
      <c r="BP255" s="669" t="e">
        <f t="shared" si="104"/>
        <v>#N/A</v>
      </c>
    </row>
    <row r="256" spans="1:68">
      <c r="A256" s="636">
        <f t="shared" si="118"/>
        <v>255</v>
      </c>
      <c r="B256" s="637"/>
      <c r="C256" s="637"/>
      <c r="D256" s="652"/>
      <c r="E256" s="679" t="e">
        <f>LOOKUP(D256,'f-travail'!A:A,'f-travail'!B:B)</f>
        <v>#N/A</v>
      </c>
      <c r="F256" s="650"/>
      <c r="G256" s="650"/>
      <c r="H256" s="653"/>
      <c r="I256" s="653"/>
      <c r="J256" s="654"/>
      <c r="K256" s="650"/>
      <c r="L256" s="650"/>
      <c r="M256" s="650">
        <v>0</v>
      </c>
      <c r="N256" s="654"/>
      <c r="O256" s="654"/>
      <c r="P256" s="654"/>
      <c r="Q256" s="654"/>
      <c r="R256" s="676"/>
      <c r="S256" s="654"/>
      <c r="T256" s="675"/>
      <c r="U256" s="675"/>
      <c r="V256" s="670" t="e">
        <f>LOOKUP(D256,'f-travail'!A:A,'f-travail'!E:E)</f>
        <v>#N/A</v>
      </c>
      <c r="W256" s="670" t="e">
        <f>VLOOKUP(V256,جرقمإستدلالي,'f-travail'!$AD$4+1,FALSE)</f>
        <v>#N/A</v>
      </c>
      <c r="X256" s="671" t="e">
        <f t="shared" si="94"/>
        <v>#N/A</v>
      </c>
      <c r="Y256" s="671">
        <f>IF(G256="مدير ولائي",(HLOOKUP(I256,جدروظعليا,'f-travail'!$AT$3+1,FALSE)-3200),0)</f>
        <v>0</v>
      </c>
      <c r="Z256" s="672" t="str">
        <f t="shared" si="105"/>
        <v/>
      </c>
      <c r="AA256" s="671">
        <f t="shared" si="106"/>
        <v>0</v>
      </c>
      <c r="AB256" s="677" t="b">
        <f t="shared" si="95"/>
        <v>0</v>
      </c>
      <c r="AC256" s="678">
        <f t="shared" si="107"/>
        <v>0</v>
      </c>
      <c r="AD256" s="673"/>
      <c r="AE256" s="678">
        <f t="shared" si="96"/>
        <v>0</v>
      </c>
      <c r="AF256" s="678" t="e">
        <f t="shared" si="97"/>
        <v>#N/A</v>
      </c>
      <c r="AG256" s="678" t="e">
        <f t="shared" si="98"/>
        <v>#N/A</v>
      </c>
      <c r="AH256" s="673">
        <f t="shared" si="108"/>
        <v>0</v>
      </c>
      <c r="AI256" s="674" t="e">
        <f>IF(G256="مدير ولائي",(11000*35%),LOOKUP(D256,'f-travail'!A:A,'f-travail'!I:I))</f>
        <v>#N/A</v>
      </c>
      <c r="AJ256" s="673" t="e">
        <f>IF(G256="مدير ولائي",((W256+X256)*45)*80%,IF(V256&lt;8,0,IF(F256="إليزي",(LOOKUP(D256,'f-travail'!A:A,'f-travail'!O:O))*(AF256+AG256),LOOKUP(D256,'f-travail'!A:A,'f-travail'!P:P)*(AF256+AG256))))</f>
        <v>#N/A</v>
      </c>
      <c r="AK256" s="673" t="e">
        <f>IF(G256="مدير ولائي",0,LOOKUP(D256,'f-travail'!A:A,'f-travail'!Q:Q))</f>
        <v>#N/A</v>
      </c>
      <c r="AL256" s="673" t="e">
        <f>IF(G256="مدير ولائي",0,LOOKUP(D256,'f-travail'!A:A,'f-travail'!R:R)*(AF256+AG256))</f>
        <v>#N/A</v>
      </c>
      <c r="AM256" s="673" t="e">
        <f>IF(G256="مدير ولائي",0,LOOKUP(D256,'f-travail'!A:A,'f-travail'!S:S)*(AF256+AG256))</f>
        <v>#N/A</v>
      </c>
      <c r="AN256" s="673" t="e">
        <f>IF(G256="مدير ولائي",0,LOOKUP(D256,'f-travail'!A:A,'f-travail'!T:T)*(AF256+AG256))</f>
        <v>#N/A</v>
      </c>
      <c r="AO256" s="673" t="e">
        <f>IF(G256="مدير ولائي",0,LOOKUP(D256,'f-travail'!A:A,'f-travail'!U:U)*(AF256+AG256))</f>
        <v>#N/A</v>
      </c>
      <c r="AP256" s="673" t="e">
        <f>IF(G256="مدير ولائي",0,LOOKUP(D256,'f-travail'!A:A,'f-travail'!V:V)*(AF256+AG256))</f>
        <v>#N/A</v>
      </c>
      <c r="AQ256" s="673" t="e">
        <f>IF(G256="مدير ولائي",0,LOOKUP(D256,'f-travail'!A:A,'f-travail'!W:W)*(AF256+AG256))</f>
        <v>#N/A</v>
      </c>
      <c r="AR256" s="673">
        <f t="shared" si="109"/>
        <v>0</v>
      </c>
      <c r="AS256" s="673" t="e">
        <f>IF(G256="مدير ولائي",0,LOOKUP(D256,'f-travail'!A:A,'f-travail'!X:X)*(AF256+AG256))</f>
        <v>#N/A</v>
      </c>
      <c r="AT256" s="673" t="e">
        <f>IF(G256="مدير ولائي",0,LOOKUP(D256,'f-travail'!Y:Y,'f-travail'!R:R)*(AF256+AG256))</f>
        <v>#N/A</v>
      </c>
      <c r="AU256" s="673">
        <f t="shared" si="99"/>
        <v>0</v>
      </c>
      <c r="AV256" s="673">
        <f t="shared" si="100"/>
        <v>0</v>
      </c>
      <c r="AW256" s="673">
        <f t="shared" si="101"/>
        <v>0</v>
      </c>
      <c r="AY256" s="640" t="e">
        <f t="shared" si="110"/>
        <v>#N/A</v>
      </c>
      <c r="AZ256" s="673" t="e">
        <f t="shared" si="102"/>
        <v>#N/A</v>
      </c>
      <c r="BA256" s="639" t="e">
        <f t="shared" si="103"/>
        <v>#N/A</v>
      </c>
      <c r="BG256" s="639">
        <f t="shared" si="111"/>
        <v>0</v>
      </c>
      <c r="BH256" s="683">
        <f t="shared" si="112"/>
        <v>0</v>
      </c>
      <c r="BI256" s="683">
        <f t="shared" si="113"/>
        <v>0</v>
      </c>
      <c r="BJ256" s="641" t="e">
        <f t="shared" si="114"/>
        <v>#N/A</v>
      </c>
      <c r="BK256" s="641" t="e">
        <f t="shared" si="115"/>
        <v>#N/A</v>
      </c>
      <c r="BL256" s="641" t="e">
        <f t="shared" si="116"/>
        <v>#N/A</v>
      </c>
      <c r="BM256" s="684" t="e">
        <f t="shared" si="117"/>
        <v>#N/A</v>
      </c>
      <c r="BO256" s="682" t="e">
        <f>CONCATENATE(Z256," ",LOOKUP(D256,'f-travail'!A:A,'f-travail'!F:F))</f>
        <v>#N/A</v>
      </c>
      <c r="BP256" s="669" t="e">
        <f t="shared" si="104"/>
        <v>#N/A</v>
      </c>
    </row>
    <row r="257" spans="1:68">
      <c r="A257" s="636">
        <f t="shared" si="118"/>
        <v>256</v>
      </c>
      <c r="B257" s="637"/>
      <c r="C257" s="637"/>
      <c r="D257" s="652"/>
      <c r="E257" s="679" t="e">
        <f>LOOKUP(D257,'f-travail'!A:A,'f-travail'!B:B)</f>
        <v>#N/A</v>
      </c>
      <c r="F257" s="650"/>
      <c r="G257" s="650"/>
      <c r="H257" s="653"/>
      <c r="I257" s="653"/>
      <c r="J257" s="654"/>
      <c r="K257" s="650"/>
      <c r="L257" s="650"/>
      <c r="M257" s="650">
        <v>0</v>
      </c>
      <c r="N257" s="654"/>
      <c r="O257" s="654"/>
      <c r="P257" s="654"/>
      <c r="Q257" s="654"/>
      <c r="R257" s="676"/>
      <c r="S257" s="654"/>
      <c r="T257" s="675"/>
      <c r="U257" s="675"/>
      <c r="V257" s="670" t="e">
        <f>LOOKUP(D257,'f-travail'!A:A,'f-travail'!E:E)</f>
        <v>#N/A</v>
      </c>
      <c r="W257" s="670" t="e">
        <f>VLOOKUP(V257,جرقمإستدلالي,'f-travail'!$AD$4+1,FALSE)</f>
        <v>#N/A</v>
      </c>
      <c r="X257" s="671" t="e">
        <f t="shared" ref="X257:X320" si="119">INDEX(جدرجات,V257,H257+1)</f>
        <v>#N/A</v>
      </c>
      <c r="Y257" s="671">
        <f>IF(G257="مدير ولائي",(HLOOKUP(I257,جدروظعليا,'f-travail'!$AT$3+1,FALSE)-3200),0)</f>
        <v>0</v>
      </c>
      <c r="Z257" s="672" t="str">
        <f t="shared" si="105"/>
        <v/>
      </c>
      <c r="AA257" s="671">
        <f t="shared" si="106"/>
        <v>0</v>
      </c>
      <c r="AB257" s="677" t="b">
        <f t="shared" ref="AB257:AB320" si="120">IF(OR(J257="متزوج(ة)",J257="متزوج(ة)ماكثة",J257="متزوج(ة)عاملة"),(CONCATENATE("م","(",K257,")")),IF(J257="مطلق(ة)",(CONCATENATE("مط","(",K257,")")),IF(J257="عازب(ة)","ع",IF(J257="عازب(ة)كفيل",CONCATENATE("ع/ك","(",K257,")")))))</f>
        <v>0</v>
      </c>
      <c r="AC257" s="678">
        <f t="shared" si="107"/>
        <v>0</v>
      </c>
      <c r="AD257" s="673"/>
      <c r="AE257" s="678">
        <f t="shared" ref="AE257:AE320" si="121">IF(AB257="ع",0,(AD257+(K257*300)+AC257))</f>
        <v>0</v>
      </c>
      <c r="AF257" s="678" t="e">
        <f t="shared" ref="AF257:AF320" si="122">IF(G257="مدير ولائي",(3200*19),(W257*45))</f>
        <v>#N/A</v>
      </c>
      <c r="AG257" s="678" t="e">
        <f t="shared" ref="AG257:AG320" si="123">IF(G257="مدير ولائي",(Y257*19),(X257*45))</f>
        <v>#N/A</v>
      </c>
      <c r="AH257" s="673">
        <f t="shared" si="108"/>
        <v>0</v>
      </c>
      <c r="AI257" s="674" t="e">
        <f>IF(G257="مدير ولائي",(11000*35%),LOOKUP(D257,'f-travail'!A:A,'f-travail'!I:I))</f>
        <v>#N/A</v>
      </c>
      <c r="AJ257" s="673" t="e">
        <f>IF(G257="مدير ولائي",((W257+X257)*45)*80%,IF(V257&lt;8,0,IF(F257="إليزي",(LOOKUP(D257,'f-travail'!A:A,'f-travail'!O:O))*(AF257+AG257),LOOKUP(D257,'f-travail'!A:A,'f-travail'!P:P)*(AF257+AG257))))</f>
        <v>#N/A</v>
      </c>
      <c r="AK257" s="673" t="e">
        <f>IF(G257="مدير ولائي",0,LOOKUP(D257,'f-travail'!A:A,'f-travail'!Q:Q))</f>
        <v>#N/A</v>
      </c>
      <c r="AL257" s="673" t="e">
        <f>IF(G257="مدير ولائي",0,LOOKUP(D257,'f-travail'!A:A,'f-travail'!R:R)*(AF257+AG257))</f>
        <v>#N/A</v>
      </c>
      <c r="AM257" s="673" t="e">
        <f>IF(G257="مدير ولائي",0,LOOKUP(D257,'f-travail'!A:A,'f-travail'!S:S)*(AF257+AG257))</f>
        <v>#N/A</v>
      </c>
      <c r="AN257" s="673" t="e">
        <f>IF(G257="مدير ولائي",0,LOOKUP(D257,'f-travail'!A:A,'f-travail'!T:T)*(AF257+AG257))</f>
        <v>#N/A</v>
      </c>
      <c r="AO257" s="673" t="e">
        <f>IF(G257="مدير ولائي",0,LOOKUP(D257,'f-travail'!A:A,'f-travail'!U:U)*(AF257+AG257))</f>
        <v>#N/A</v>
      </c>
      <c r="AP257" s="673" t="e">
        <f>IF(G257="مدير ولائي",0,LOOKUP(D257,'f-travail'!A:A,'f-travail'!V:V)*(AF257+AG257))</f>
        <v>#N/A</v>
      </c>
      <c r="AQ257" s="673" t="e">
        <f>IF(G257="مدير ولائي",0,LOOKUP(D257,'f-travail'!A:A,'f-travail'!W:W)*(AF257+AG257))</f>
        <v>#N/A</v>
      </c>
      <c r="AR257" s="673">
        <f t="shared" si="109"/>
        <v>0</v>
      </c>
      <c r="AS257" s="673" t="e">
        <f>IF(G257="مدير ولائي",0,LOOKUP(D257,'f-travail'!A:A,'f-travail'!X:X)*(AF257+AG257))</f>
        <v>#N/A</v>
      </c>
      <c r="AT257" s="673" t="e">
        <f>IF(G257="مدير ولائي",0,LOOKUP(D257,'f-travail'!Y:Y,'f-travail'!R:R)*(AF257+AG257))</f>
        <v>#N/A</v>
      </c>
      <c r="AU257" s="673">
        <f t="shared" ref="AU257:AU320" si="124">IF(G257="مدير ولائي",50%*(AF257+AG257),0)</f>
        <v>0</v>
      </c>
      <c r="AV257" s="673">
        <f t="shared" ref="AV257:AV320" si="125">IF(G257="مدير ولائي",50%*(AF257+AG257),0)</f>
        <v>0</v>
      </c>
      <c r="AW257" s="673">
        <f t="shared" ref="AW257:AW320" si="126">IF(G257="مدير ولائي",50%*(AF257+AG257),0)</f>
        <v>0</v>
      </c>
      <c r="AY257" s="640" t="e">
        <f t="shared" si="110"/>
        <v>#N/A</v>
      </c>
      <c r="AZ257" s="673" t="e">
        <f t="shared" ref="AZ257:AZ320" si="127">AG257+AF257+U257+T257+(AA257*45)</f>
        <v>#N/A</v>
      </c>
      <c r="BA257" s="639" t="e">
        <f t="shared" ref="BA257:BA320" si="128">SUM(BB257:BF257,(AZ257+AT257+AJ257+AI257+AE257))</f>
        <v>#N/A</v>
      </c>
      <c r="BG257" s="639">
        <f t="shared" si="111"/>
        <v>0</v>
      </c>
      <c r="BH257" s="683">
        <f t="shared" si="112"/>
        <v>0</v>
      </c>
      <c r="BI257" s="683">
        <f t="shared" si="113"/>
        <v>0</v>
      </c>
      <c r="BJ257" s="641" t="e">
        <f t="shared" si="114"/>
        <v>#N/A</v>
      </c>
      <c r="BK257" s="641" t="e">
        <f t="shared" si="115"/>
        <v>#N/A</v>
      </c>
      <c r="BL257" s="641" t="e">
        <f t="shared" si="116"/>
        <v>#N/A</v>
      </c>
      <c r="BM257" s="684" t="e">
        <f t="shared" si="117"/>
        <v>#N/A</v>
      </c>
      <c r="BO257" s="682" t="e">
        <f>CONCATENATE(Z257," ",LOOKUP(D257,'f-travail'!A:A,'f-travail'!F:F))</f>
        <v>#N/A</v>
      </c>
      <c r="BP257" s="669" t="e">
        <f t="shared" ref="BP257:BP320" si="129">IF(G257="",CONCATENATE(G257," ",E257),CONCATENATE(G257," (",E257,")"))</f>
        <v>#N/A</v>
      </c>
    </row>
    <row r="258" spans="1:68">
      <c r="A258" s="636">
        <f t="shared" si="118"/>
        <v>257</v>
      </c>
      <c r="B258" s="637"/>
      <c r="C258" s="637"/>
      <c r="D258" s="652"/>
      <c r="E258" s="679" t="e">
        <f>LOOKUP(D258,'f-travail'!A:A,'f-travail'!B:B)</f>
        <v>#N/A</v>
      </c>
      <c r="F258" s="650"/>
      <c r="G258" s="650"/>
      <c r="H258" s="653"/>
      <c r="I258" s="653"/>
      <c r="J258" s="654"/>
      <c r="K258" s="650"/>
      <c r="L258" s="650"/>
      <c r="M258" s="650">
        <v>0</v>
      </c>
      <c r="N258" s="654"/>
      <c r="O258" s="654"/>
      <c r="P258" s="654"/>
      <c r="Q258" s="654"/>
      <c r="R258" s="676"/>
      <c r="S258" s="654"/>
      <c r="T258" s="675"/>
      <c r="U258" s="675"/>
      <c r="V258" s="670" t="e">
        <f>LOOKUP(D258,'f-travail'!A:A,'f-travail'!E:E)</f>
        <v>#N/A</v>
      </c>
      <c r="W258" s="670" t="e">
        <f>VLOOKUP(V258,جرقمإستدلالي,'f-travail'!$AD$4+1,FALSE)</f>
        <v>#N/A</v>
      </c>
      <c r="X258" s="671" t="e">
        <f t="shared" si="119"/>
        <v>#N/A</v>
      </c>
      <c r="Y258" s="671">
        <f>IF(G258="مدير ولائي",(HLOOKUP(I258,جدروظعليا,'f-travail'!$AT$3+1,FALSE)-3200),0)</f>
        <v>0</v>
      </c>
      <c r="Z258" s="672" t="str">
        <f t="shared" ref="Z258:Z321" si="130">IF(OR(G258="رئيس مفتشية",G258="محافظ عقاري",G258="رئيس مصلحة"),"م8",IF(G258="رئيس مكتب","م7",IF(G258="رئيس قسم","م5",IF(G258="رئيس حضيرة","م3",IF(G258="مدير ولائي","ب 1","")))))</f>
        <v/>
      </c>
      <c r="AA258" s="671">
        <f t="shared" ref="AA258:AA321" si="131">IF(Z258="م8",195,IF(Z258="م7",145,IF(Z258="م5",75,IF(Z258="م3",45,0))))</f>
        <v>0</v>
      </c>
      <c r="AB258" s="677" t="b">
        <f t="shared" si="120"/>
        <v>0</v>
      </c>
      <c r="AC258" s="678">
        <f t="shared" ref="AC258:AC321" si="132">IF(AND(J258="متزوج(ة)ماكثة",K258=0),5.5,IF(AND(J258="متزوج(ة)ماكثة",K258&gt;0),800,0))</f>
        <v>0</v>
      </c>
      <c r="AD258" s="673"/>
      <c r="AE258" s="678">
        <f t="shared" si="121"/>
        <v>0</v>
      </c>
      <c r="AF258" s="678" t="e">
        <f t="shared" si="122"/>
        <v>#N/A</v>
      </c>
      <c r="AG258" s="678" t="e">
        <f t="shared" si="123"/>
        <v>#N/A</v>
      </c>
      <c r="AH258" s="673">
        <f t="shared" ref="AH258:AH321" si="133">IF(OR(G258="مدير ولائي",M258=0),0,IF(M258=1,2000))</f>
        <v>0</v>
      </c>
      <c r="AI258" s="674" t="e">
        <f>IF(G258="مدير ولائي",(11000*35%),LOOKUP(D258,'f-travail'!A:A,'f-travail'!I:I))</f>
        <v>#N/A</v>
      </c>
      <c r="AJ258" s="673" t="e">
        <f>IF(G258="مدير ولائي",((W258+X258)*45)*80%,IF(V258&lt;8,0,IF(F258="إليزي",(LOOKUP(D258,'f-travail'!A:A,'f-travail'!O:O))*(AF258+AG258),LOOKUP(D258,'f-travail'!A:A,'f-travail'!P:P)*(AF258+AG258))))</f>
        <v>#N/A</v>
      </c>
      <c r="AK258" s="673" t="e">
        <f>IF(G258="مدير ولائي",0,LOOKUP(D258,'f-travail'!A:A,'f-travail'!Q:Q))</f>
        <v>#N/A</v>
      </c>
      <c r="AL258" s="673" t="e">
        <f>IF(G258="مدير ولائي",0,LOOKUP(D258,'f-travail'!A:A,'f-travail'!R:R)*(AF258+AG258))</f>
        <v>#N/A</v>
      </c>
      <c r="AM258" s="673" t="e">
        <f>IF(G258="مدير ولائي",0,LOOKUP(D258,'f-travail'!A:A,'f-travail'!S:S)*(AF258+AG258))</f>
        <v>#N/A</v>
      </c>
      <c r="AN258" s="673" t="e">
        <f>IF(G258="مدير ولائي",0,LOOKUP(D258,'f-travail'!A:A,'f-travail'!T:T)*(AF258+AG258))</f>
        <v>#N/A</v>
      </c>
      <c r="AO258" s="673" t="e">
        <f>IF(G258="مدير ولائي",0,LOOKUP(D258,'f-travail'!A:A,'f-travail'!U:U)*(AF258+AG258))</f>
        <v>#N/A</v>
      </c>
      <c r="AP258" s="673" t="e">
        <f>IF(G258="مدير ولائي",0,LOOKUP(D258,'f-travail'!A:A,'f-travail'!V:V)*(AF258+AG258))</f>
        <v>#N/A</v>
      </c>
      <c r="AQ258" s="673" t="e">
        <f>IF(G258="مدير ولائي",0,LOOKUP(D258,'f-travail'!A:A,'f-travail'!W:W)*(AF258+AG258))</f>
        <v>#N/A</v>
      </c>
      <c r="AR258" s="673">
        <f t="shared" ref="AR258:AR321" si="134">IF(G258="أمين صندوق",4000,0)</f>
        <v>0</v>
      </c>
      <c r="AS258" s="673" t="e">
        <f>IF(G258="مدير ولائي",0,LOOKUP(D258,'f-travail'!A:A,'f-travail'!X:X)*(AF258+AG258))</f>
        <v>#N/A</v>
      </c>
      <c r="AT258" s="673" t="e">
        <f>IF(G258="مدير ولائي",0,LOOKUP(D258,'f-travail'!Y:Y,'f-travail'!R:R)*(AF258+AG258))</f>
        <v>#N/A</v>
      </c>
      <c r="AU258" s="673">
        <f t="shared" si="124"/>
        <v>0</v>
      </c>
      <c r="AV258" s="673">
        <f t="shared" si="125"/>
        <v>0</v>
      </c>
      <c r="AW258" s="673">
        <f t="shared" si="126"/>
        <v>0</v>
      </c>
      <c r="AY258" s="640" t="e">
        <f t="shared" ref="AY258:AY321" si="135">IF(Z258="ب 1",IF(OR(A258=0,A258=""),"",IF(OR(H258=0,I258=""),BO258,CONCATENATE(BO258," - ","د"," ",I258))),IF(OR(A258=0,A258=""),"",IF(OR(H258=0,H258=""),BO258,CONCATENATE(BO258," - ","د"," ",H258))))</f>
        <v>#N/A</v>
      </c>
      <c r="AZ258" s="673" t="e">
        <f t="shared" si="127"/>
        <v>#N/A</v>
      </c>
      <c r="BA258" s="639" t="e">
        <f t="shared" si="128"/>
        <v>#N/A</v>
      </c>
      <c r="BG258" s="639">
        <f t="shared" ref="BG258:BG321" si="136">IF(Z258="ب 1",ROUND((BA258-AE258-N258)*1%,2),0)</f>
        <v>0</v>
      </c>
      <c r="BH258" s="683">
        <f t="shared" ref="BH258:BH321" si="137">IF(AND(Z258="ب 1",P258=1),ROUND((BA258-AE258-N258)*1.5%,2),IF(P258=1,ROUND((BA258-AE258)*1.5%,2),0))</f>
        <v>0</v>
      </c>
      <c r="BI258" s="683">
        <f t="shared" ref="BI258:BI321" si="138">IF(O258=1,9523.81,0)</f>
        <v>0</v>
      </c>
      <c r="BJ258" s="641" t="e">
        <f t="shared" ref="BJ258:BJ321" si="139">IF(Z258="ب 1",ROUND((BA258-AE258-N258),2),ROUND((BA258-AE258),2))</f>
        <v>#N/A</v>
      </c>
      <c r="BK258" s="641" t="e">
        <f t="shared" ref="BK258:BK321" si="140">ROUND((BJ258*9%),2)</f>
        <v>#N/A</v>
      </c>
      <c r="BL258" s="641" t="e">
        <f t="shared" ref="BL258:BL321" si="141">IF(Z258="ب 1",ROUNDDOWN((BA258-BK258-AI258-N258),2),ROUNDDOWN((BA258-BK258-AI258-AH258),2))</f>
        <v>#N/A</v>
      </c>
      <c r="BM258" s="684" t="e">
        <f t="shared" ref="BM258:BM321" si="142">IF(Z258="ب 1",ROUND((29500+(BL258-120000)*35%)/2,2),(ROUND((IF((BL258&gt;1500),(IF(OR(BL258&gt;22500),IF(AND(BL258&gt;22500),(BL258-22500)*12%)+IF(AND(BL258&gt;28750),(BL258-28750)*8%)+IF(AND(BL258&gt;30000),(BL258-30000)*10%)+1500,IF(AND((BL258&gt;1500),(BL258&lt;=22500)),(BL258-15000)*20%))))/2),2)))</f>
        <v>#N/A</v>
      </c>
      <c r="BO258" s="682" t="e">
        <f>CONCATENATE(Z258," ",LOOKUP(D258,'f-travail'!A:A,'f-travail'!F:F))</f>
        <v>#N/A</v>
      </c>
      <c r="BP258" s="669" t="e">
        <f t="shared" si="129"/>
        <v>#N/A</v>
      </c>
    </row>
    <row r="259" spans="1:68">
      <c r="A259" s="636">
        <f t="shared" si="118"/>
        <v>258</v>
      </c>
      <c r="B259" s="637"/>
      <c r="C259" s="637"/>
      <c r="D259" s="652"/>
      <c r="E259" s="679" t="e">
        <f>LOOKUP(D259,'f-travail'!A:A,'f-travail'!B:B)</f>
        <v>#N/A</v>
      </c>
      <c r="F259" s="650"/>
      <c r="G259" s="650"/>
      <c r="H259" s="653"/>
      <c r="I259" s="653"/>
      <c r="J259" s="654"/>
      <c r="K259" s="650"/>
      <c r="L259" s="650"/>
      <c r="M259" s="650">
        <v>0</v>
      </c>
      <c r="N259" s="654"/>
      <c r="O259" s="654"/>
      <c r="P259" s="654"/>
      <c r="Q259" s="654"/>
      <c r="R259" s="676"/>
      <c r="S259" s="654"/>
      <c r="T259" s="675"/>
      <c r="U259" s="675"/>
      <c r="V259" s="670" t="e">
        <f>LOOKUP(D259,'f-travail'!A:A,'f-travail'!E:E)</f>
        <v>#N/A</v>
      </c>
      <c r="W259" s="670" t="e">
        <f>VLOOKUP(V259,جرقمإستدلالي,'f-travail'!$AD$4+1,FALSE)</f>
        <v>#N/A</v>
      </c>
      <c r="X259" s="671" t="e">
        <f t="shared" si="119"/>
        <v>#N/A</v>
      </c>
      <c r="Y259" s="671">
        <f>IF(G259="مدير ولائي",(HLOOKUP(I259,جدروظعليا,'f-travail'!$AT$3+1,FALSE)-3200),0)</f>
        <v>0</v>
      </c>
      <c r="Z259" s="672" t="str">
        <f t="shared" si="130"/>
        <v/>
      </c>
      <c r="AA259" s="671">
        <f t="shared" si="131"/>
        <v>0</v>
      </c>
      <c r="AB259" s="677" t="b">
        <f t="shared" si="120"/>
        <v>0</v>
      </c>
      <c r="AC259" s="678">
        <f t="shared" si="132"/>
        <v>0</v>
      </c>
      <c r="AD259" s="673"/>
      <c r="AE259" s="678">
        <f t="shared" si="121"/>
        <v>0</v>
      </c>
      <c r="AF259" s="678" t="e">
        <f t="shared" si="122"/>
        <v>#N/A</v>
      </c>
      <c r="AG259" s="678" t="e">
        <f t="shared" si="123"/>
        <v>#N/A</v>
      </c>
      <c r="AH259" s="673">
        <f t="shared" si="133"/>
        <v>0</v>
      </c>
      <c r="AI259" s="674" t="e">
        <f>IF(G259="مدير ولائي",(11000*35%),LOOKUP(D259,'f-travail'!A:A,'f-travail'!I:I))</f>
        <v>#N/A</v>
      </c>
      <c r="AJ259" s="673" t="e">
        <f>IF(G259="مدير ولائي",((W259+X259)*45)*80%,IF(V259&lt;8,0,IF(F259="إليزي",(LOOKUP(D259,'f-travail'!A:A,'f-travail'!O:O))*(AF259+AG259),LOOKUP(D259,'f-travail'!A:A,'f-travail'!P:P)*(AF259+AG259))))</f>
        <v>#N/A</v>
      </c>
      <c r="AK259" s="673" t="e">
        <f>IF(G259="مدير ولائي",0,LOOKUP(D259,'f-travail'!A:A,'f-travail'!Q:Q))</f>
        <v>#N/A</v>
      </c>
      <c r="AL259" s="673" t="e">
        <f>IF(G259="مدير ولائي",0,LOOKUP(D259,'f-travail'!A:A,'f-travail'!R:R)*(AF259+AG259))</f>
        <v>#N/A</v>
      </c>
      <c r="AM259" s="673" t="e">
        <f>IF(G259="مدير ولائي",0,LOOKUP(D259,'f-travail'!A:A,'f-travail'!S:S)*(AF259+AG259))</f>
        <v>#N/A</v>
      </c>
      <c r="AN259" s="673" t="e">
        <f>IF(G259="مدير ولائي",0,LOOKUP(D259,'f-travail'!A:A,'f-travail'!T:T)*(AF259+AG259))</f>
        <v>#N/A</v>
      </c>
      <c r="AO259" s="673" t="e">
        <f>IF(G259="مدير ولائي",0,LOOKUP(D259,'f-travail'!A:A,'f-travail'!U:U)*(AF259+AG259))</f>
        <v>#N/A</v>
      </c>
      <c r="AP259" s="673" t="e">
        <f>IF(G259="مدير ولائي",0,LOOKUP(D259,'f-travail'!A:A,'f-travail'!V:V)*(AF259+AG259))</f>
        <v>#N/A</v>
      </c>
      <c r="AQ259" s="673" t="e">
        <f>IF(G259="مدير ولائي",0,LOOKUP(D259,'f-travail'!A:A,'f-travail'!W:W)*(AF259+AG259))</f>
        <v>#N/A</v>
      </c>
      <c r="AR259" s="673">
        <f t="shared" si="134"/>
        <v>0</v>
      </c>
      <c r="AS259" s="673" t="e">
        <f>IF(G259="مدير ولائي",0,LOOKUP(D259,'f-travail'!A:A,'f-travail'!X:X)*(AF259+AG259))</f>
        <v>#N/A</v>
      </c>
      <c r="AT259" s="673" t="e">
        <f>IF(G259="مدير ولائي",0,LOOKUP(D259,'f-travail'!Y:Y,'f-travail'!R:R)*(AF259+AG259))</f>
        <v>#N/A</v>
      </c>
      <c r="AU259" s="673">
        <f t="shared" si="124"/>
        <v>0</v>
      </c>
      <c r="AV259" s="673">
        <f t="shared" si="125"/>
        <v>0</v>
      </c>
      <c r="AW259" s="673">
        <f t="shared" si="126"/>
        <v>0</v>
      </c>
      <c r="AY259" s="640" t="e">
        <f t="shared" si="135"/>
        <v>#N/A</v>
      </c>
      <c r="AZ259" s="673" t="e">
        <f t="shared" si="127"/>
        <v>#N/A</v>
      </c>
      <c r="BA259" s="639" t="e">
        <f t="shared" si="128"/>
        <v>#N/A</v>
      </c>
      <c r="BG259" s="639">
        <f t="shared" si="136"/>
        <v>0</v>
      </c>
      <c r="BH259" s="683">
        <f t="shared" si="137"/>
        <v>0</v>
      </c>
      <c r="BI259" s="683">
        <f t="shared" si="138"/>
        <v>0</v>
      </c>
      <c r="BJ259" s="641" t="e">
        <f t="shared" si="139"/>
        <v>#N/A</v>
      </c>
      <c r="BK259" s="641" t="e">
        <f t="shared" si="140"/>
        <v>#N/A</v>
      </c>
      <c r="BL259" s="641" t="e">
        <f t="shared" si="141"/>
        <v>#N/A</v>
      </c>
      <c r="BM259" s="684" t="e">
        <f t="shared" si="142"/>
        <v>#N/A</v>
      </c>
      <c r="BO259" s="682" t="e">
        <f>CONCATENATE(Z259," ",LOOKUP(D259,'f-travail'!A:A,'f-travail'!F:F))</f>
        <v>#N/A</v>
      </c>
      <c r="BP259" s="669" t="e">
        <f t="shared" si="129"/>
        <v>#N/A</v>
      </c>
    </row>
    <row r="260" spans="1:68">
      <c r="A260" s="636">
        <f t="shared" ref="A260:A323" si="143">A259+1</f>
        <v>259</v>
      </c>
      <c r="B260" s="637"/>
      <c r="C260" s="637"/>
      <c r="D260" s="652"/>
      <c r="E260" s="679" t="e">
        <f>LOOKUP(D260,'f-travail'!A:A,'f-travail'!B:B)</f>
        <v>#N/A</v>
      </c>
      <c r="F260" s="650"/>
      <c r="G260" s="650"/>
      <c r="H260" s="653"/>
      <c r="I260" s="653"/>
      <c r="J260" s="654"/>
      <c r="K260" s="650"/>
      <c r="L260" s="650"/>
      <c r="M260" s="650">
        <v>0</v>
      </c>
      <c r="N260" s="654"/>
      <c r="O260" s="654"/>
      <c r="P260" s="654"/>
      <c r="Q260" s="654"/>
      <c r="R260" s="676"/>
      <c r="S260" s="654"/>
      <c r="T260" s="675"/>
      <c r="U260" s="675"/>
      <c r="V260" s="670" t="e">
        <f>LOOKUP(D260,'f-travail'!A:A,'f-travail'!E:E)</f>
        <v>#N/A</v>
      </c>
      <c r="W260" s="670" t="e">
        <f>VLOOKUP(V260,جرقمإستدلالي,'f-travail'!$AD$4+1,FALSE)</f>
        <v>#N/A</v>
      </c>
      <c r="X260" s="671" t="e">
        <f t="shared" si="119"/>
        <v>#N/A</v>
      </c>
      <c r="Y260" s="671">
        <f>IF(G260="مدير ولائي",(HLOOKUP(I260,جدروظعليا,'f-travail'!$AT$3+1,FALSE)-3200),0)</f>
        <v>0</v>
      </c>
      <c r="Z260" s="672" t="str">
        <f t="shared" si="130"/>
        <v/>
      </c>
      <c r="AA260" s="671">
        <f t="shared" si="131"/>
        <v>0</v>
      </c>
      <c r="AB260" s="677" t="b">
        <f t="shared" si="120"/>
        <v>0</v>
      </c>
      <c r="AC260" s="678">
        <f t="shared" si="132"/>
        <v>0</v>
      </c>
      <c r="AD260" s="673"/>
      <c r="AE260" s="678">
        <f t="shared" si="121"/>
        <v>0</v>
      </c>
      <c r="AF260" s="678" t="e">
        <f t="shared" si="122"/>
        <v>#N/A</v>
      </c>
      <c r="AG260" s="678" t="e">
        <f t="shared" si="123"/>
        <v>#N/A</v>
      </c>
      <c r="AH260" s="673">
        <f t="shared" si="133"/>
        <v>0</v>
      </c>
      <c r="AI260" s="674" t="e">
        <f>IF(G260="مدير ولائي",(11000*35%),LOOKUP(D260,'f-travail'!A:A,'f-travail'!I:I))</f>
        <v>#N/A</v>
      </c>
      <c r="AJ260" s="673" t="e">
        <f>IF(G260="مدير ولائي",((W260+X260)*45)*80%,IF(V260&lt;8,0,IF(F260="إليزي",(LOOKUP(D260,'f-travail'!A:A,'f-travail'!O:O))*(AF260+AG260),LOOKUP(D260,'f-travail'!A:A,'f-travail'!P:P)*(AF260+AG260))))</f>
        <v>#N/A</v>
      </c>
      <c r="AK260" s="673" t="e">
        <f>IF(G260="مدير ولائي",0,LOOKUP(D260,'f-travail'!A:A,'f-travail'!Q:Q))</f>
        <v>#N/A</v>
      </c>
      <c r="AL260" s="673" t="e">
        <f>IF(G260="مدير ولائي",0,LOOKUP(D260,'f-travail'!A:A,'f-travail'!R:R)*(AF260+AG260))</f>
        <v>#N/A</v>
      </c>
      <c r="AM260" s="673" t="e">
        <f>IF(G260="مدير ولائي",0,LOOKUP(D260,'f-travail'!A:A,'f-travail'!S:S)*(AF260+AG260))</f>
        <v>#N/A</v>
      </c>
      <c r="AN260" s="673" t="e">
        <f>IF(G260="مدير ولائي",0,LOOKUP(D260,'f-travail'!A:A,'f-travail'!T:T)*(AF260+AG260))</f>
        <v>#N/A</v>
      </c>
      <c r="AO260" s="673" t="e">
        <f>IF(G260="مدير ولائي",0,LOOKUP(D260,'f-travail'!A:A,'f-travail'!U:U)*(AF260+AG260))</f>
        <v>#N/A</v>
      </c>
      <c r="AP260" s="673" t="e">
        <f>IF(G260="مدير ولائي",0,LOOKUP(D260,'f-travail'!A:A,'f-travail'!V:V)*(AF260+AG260))</f>
        <v>#N/A</v>
      </c>
      <c r="AQ260" s="673" t="e">
        <f>IF(G260="مدير ولائي",0,LOOKUP(D260,'f-travail'!A:A,'f-travail'!W:W)*(AF260+AG260))</f>
        <v>#N/A</v>
      </c>
      <c r="AR260" s="673">
        <f t="shared" si="134"/>
        <v>0</v>
      </c>
      <c r="AS260" s="673" t="e">
        <f>IF(G260="مدير ولائي",0,LOOKUP(D260,'f-travail'!A:A,'f-travail'!X:X)*(AF260+AG260))</f>
        <v>#N/A</v>
      </c>
      <c r="AT260" s="673" t="e">
        <f>IF(G260="مدير ولائي",0,LOOKUP(D260,'f-travail'!Y:Y,'f-travail'!R:R)*(AF260+AG260))</f>
        <v>#N/A</v>
      </c>
      <c r="AU260" s="673">
        <f t="shared" si="124"/>
        <v>0</v>
      </c>
      <c r="AV260" s="673">
        <f t="shared" si="125"/>
        <v>0</v>
      </c>
      <c r="AW260" s="673">
        <f t="shared" si="126"/>
        <v>0</v>
      </c>
      <c r="AY260" s="640" t="e">
        <f t="shared" si="135"/>
        <v>#N/A</v>
      </c>
      <c r="AZ260" s="673" t="e">
        <f t="shared" si="127"/>
        <v>#N/A</v>
      </c>
      <c r="BA260" s="639" t="e">
        <f t="shared" si="128"/>
        <v>#N/A</v>
      </c>
      <c r="BG260" s="639">
        <f t="shared" si="136"/>
        <v>0</v>
      </c>
      <c r="BH260" s="683">
        <f t="shared" si="137"/>
        <v>0</v>
      </c>
      <c r="BI260" s="683">
        <f t="shared" si="138"/>
        <v>0</v>
      </c>
      <c r="BJ260" s="641" t="e">
        <f t="shared" si="139"/>
        <v>#N/A</v>
      </c>
      <c r="BK260" s="641" t="e">
        <f t="shared" si="140"/>
        <v>#N/A</v>
      </c>
      <c r="BL260" s="641" t="e">
        <f t="shared" si="141"/>
        <v>#N/A</v>
      </c>
      <c r="BM260" s="684" t="e">
        <f t="shared" si="142"/>
        <v>#N/A</v>
      </c>
      <c r="BO260" s="682" t="e">
        <f>CONCATENATE(Z260," ",LOOKUP(D260,'f-travail'!A:A,'f-travail'!F:F))</f>
        <v>#N/A</v>
      </c>
      <c r="BP260" s="669" t="e">
        <f t="shared" si="129"/>
        <v>#N/A</v>
      </c>
    </row>
    <row r="261" spans="1:68">
      <c r="A261" s="636">
        <f t="shared" si="143"/>
        <v>260</v>
      </c>
      <c r="B261" s="637"/>
      <c r="C261" s="637"/>
      <c r="D261" s="652"/>
      <c r="E261" s="679" t="e">
        <f>LOOKUP(D261,'f-travail'!A:A,'f-travail'!B:B)</f>
        <v>#N/A</v>
      </c>
      <c r="F261" s="650"/>
      <c r="G261" s="650"/>
      <c r="H261" s="653"/>
      <c r="I261" s="653"/>
      <c r="J261" s="654"/>
      <c r="K261" s="650"/>
      <c r="L261" s="650"/>
      <c r="M261" s="650">
        <v>0</v>
      </c>
      <c r="N261" s="654"/>
      <c r="O261" s="654"/>
      <c r="P261" s="654"/>
      <c r="Q261" s="654"/>
      <c r="R261" s="676"/>
      <c r="S261" s="654"/>
      <c r="T261" s="675"/>
      <c r="U261" s="675"/>
      <c r="V261" s="670" t="e">
        <f>LOOKUP(D261,'f-travail'!A:A,'f-travail'!E:E)</f>
        <v>#N/A</v>
      </c>
      <c r="W261" s="670" t="e">
        <f>VLOOKUP(V261,جرقمإستدلالي,'f-travail'!$AD$4+1,FALSE)</f>
        <v>#N/A</v>
      </c>
      <c r="X261" s="671" t="e">
        <f t="shared" si="119"/>
        <v>#N/A</v>
      </c>
      <c r="Y261" s="671">
        <f>IF(G261="مدير ولائي",(HLOOKUP(I261,جدروظعليا,'f-travail'!$AT$3+1,FALSE)-3200),0)</f>
        <v>0</v>
      </c>
      <c r="Z261" s="672" t="str">
        <f t="shared" si="130"/>
        <v/>
      </c>
      <c r="AA261" s="671">
        <f t="shared" si="131"/>
        <v>0</v>
      </c>
      <c r="AB261" s="677" t="b">
        <f t="shared" si="120"/>
        <v>0</v>
      </c>
      <c r="AC261" s="678">
        <f t="shared" si="132"/>
        <v>0</v>
      </c>
      <c r="AD261" s="673"/>
      <c r="AE261" s="678">
        <f t="shared" si="121"/>
        <v>0</v>
      </c>
      <c r="AF261" s="678" t="e">
        <f t="shared" si="122"/>
        <v>#N/A</v>
      </c>
      <c r="AG261" s="678" t="e">
        <f t="shared" si="123"/>
        <v>#N/A</v>
      </c>
      <c r="AH261" s="673">
        <f t="shared" si="133"/>
        <v>0</v>
      </c>
      <c r="AI261" s="674" t="e">
        <f>IF(G261="مدير ولائي",(11000*35%),LOOKUP(D261,'f-travail'!A:A,'f-travail'!I:I))</f>
        <v>#N/A</v>
      </c>
      <c r="AJ261" s="673" t="e">
        <f>IF(G261="مدير ولائي",((W261+X261)*45)*80%,IF(V261&lt;8,0,IF(F261="إليزي",(LOOKUP(D261,'f-travail'!A:A,'f-travail'!O:O))*(AF261+AG261),LOOKUP(D261,'f-travail'!A:A,'f-travail'!P:P)*(AF261+AG261))))</f>
        <v>#N/A</v>
      </c>
      <c r="AK261" s="673" t="e">
        <f>IF(G261="مدير ولائي",0,LOOKUP(D261,'f-travail'!A:A,'f-travail'!Q:Q))</f>
        <v>#N/A</v>
      </c>
      <c r="AL261" s="673" t="e">
        <f>IF(G261="مدير ولائي",0,LOOKUP(D261,'f-travail'!A:A,'f-travail'!R:R)*(AF261+AG261))</f>
        <v>#N/A</v>
      </c>
      <c r="AM261" s="673" t="e">
        <f>IF(G261="مدير ولائي",0,LOOKUP(D261,'f-travail'!A:A,'f-travail'!S:S)*(AF261+AG261))</f>
        <v>#N/A</v>
      </c>
      <c r="AN261" s="673" t="e">
        <f>IF(G261="مدير ولائي",0,LOOKUP(D261,'f-travail'!A:A,'f-travail'!T:T)*(AF261+AG261))</f>
        <v>#N/A</v>
      </c>
      <c r="AO261" s="673" t="e">
        <f>IF(G261="مدير ولائي",0,LOOKUP(D261,'f-travail'!A:A,'f-travail'!U:U)*(AF261+AG261))</f>
        <v>#N/A</v>
      </c>
      <c r="AP261" s="673" t="e">
        <f>IF(G261="مدير ولائي",0,LOOKUP(D261,'f-travail'!A:A,'f-travail'!V:V)*(AF261+AG261))</f>
        <v>#N/A</v>
      </c>
      <c r="AQ261" s="673" t="e">
        <f>IF(G261="مدير ولائي",0,LOOKUP(D261,'f-travail'!A:A,'f-travail'!W:W)*(AF261+AG261))</f>
        <v>#N/A</v>
      </c>
      <c r="AR261" s="673">
        <f t="shared" si="134"/>
        <v>0</v>
      </c>
      <c r="AS261" s="673" t="e">
        <f>IF(G261="مدير ولائي",0,LOOKUP(D261,'f-travail'!A:A,'f-travail'!X:X)*(AF261+AG261))</f>
        <v>#N/A</v>
      </c>
      <c r="AT261" s="673" t="e">
        <f>IF(G261="مدير ولائي",0,LOOKUP(D261,'f-travail'!Y:Y,'f-travail'!R:R)*(AF261+AG261))</f>
        <v>#N/A</v>
      </c>
      <c r="AU261" s="673">
        <f t="shared" si="124"/>
        <v>0</v>
      </c>
      <c r="AV261" s="673">
        <f t="shared" si="125"/>
        <v>0</v>
      </c>
      <c r="AW261" s="673">
        <f t="shared" si="126"/>
        <v>0</v>
      </c>
      <c r="AY261" s="640" t="e">
        <f t="shared" si="135"/>
        <v>#N/A</v>
      </c>
      <c r="AZ261" s="673" t="e">
        <f t="shared" si="127"/>
        <v>#N/A</v>
      </c>
      <c r="BA261" s="639" t="e">
        <f t="shared" si="128"/>
        <v>#N/A</v>
      </c>
      <c r="BG261" s="639">
        <f t="shared" si="136"/>
        <v>0</v>
      </c>
      <c r="BH261" s="683">
        <f t="shared" si="137"/>
        <v>0</v>
      </c>
      <c r="BI261" s="683">
        <f t="shared" si="138"/>
        <v>0</v>
      </c>
      <c r="BJ261" s="641" t="e">
        <f t="shared" si="139"/>
        <v>#N/A</v>
      </c>
      <c r="BK261" s="641" t="e">
        <f t="shared" si="140"/>
        <v>#N/A</v>
      </c>
      <c r="BL261" s="641" t="e">
        <f t="shared" si="141"/>
        <v>#N/A</v>
      </c>
      <c r="BM261" s="684" t="e">
        <f t="shared" si="142"/>
        <v>#N/A</v>
      </c>
      <c r="BO261" s="682" t="e">
        <f>CONCATENATE(Z261," ",LOOKUP(D261,'f-travail'!A:A,'f-travail'!F:F))</f>
        <v>#N/A</v>
      </c>
      <c r="BP261" s="669" t="e">
        <f t="shared" si="129"/>
        <v>#N/A</v>
      </c>
    </row>
    <row r="262" spans="1:68">
      <c r="A262" s="636">
        <f t="shared" si="143"/>
        <v>261</v>
      </c>
      <c r="B262" s="637"/>
      <c r="C262" s="637"/>
      <c r="D262" s="652"/>
      <c r="E262" s="679" t="e">
        <f>LOOKUP(D262,'f-travail'!A:A,'f-travail'!B:B)</f>
        <v>#N/A</v>
      </c>
      <c r="F262" s="650"/>
      <c r="G262" s="650"/>
      <c r="H262" s="653"/>
      <c r="I262" s="653"/>
      <c r="J262" s="654"/>
      <c r="K262" s="650"/>
      <c r="L262" s="650"/>
      <c r="M262" s="650">
        <v>0</v>
      </c>
      <c r="N262" s="654"/>
      <c r="O262" s="654"/>
      <c r="P262" s="654"/>
      <c r="Q262" s="654"/>
      <c r="R262" s="676"/>
      <c r="S262" s="654"/>
      <c r="T262" s="675"/>
      <c r="U262" s="675"/>
      <c r="V262" s="670" t="e">
        <f>LOOKUP(D262,'f-travail'!A:A,'f-travail'!E:E)</f>
        <v>#N/A</v>
      </c>
      <c r="W262" s="670" t="e">
        <f>VLOOKUP(V262,جرقمإستدلالي,'f-travail'!$AD$4+1,FALSE)</f>
        <v>#N/A</v>
      </c>
      <c r="X262" s="671" t="e">
        <f t="shared" si="119"/>
        <v>#N/A</v>
      </c>
      <c r="Y262" s="671">
        <f>IF(G262="مدير ولائي",(HLOOKUP(I262,جدروظعليا,'f-travail'!$AT$3+1,FALSE)-3200),0)</f>
        <v>0</v>
      </c>
      <c r="Z262" s="672" t="str">
        <f t="shared" si="130"/>
        <v/>
      </c>
      <c r="AA262" s="671">
        <f t="shared" si="131"/>
        <v>0</v>
      </c>
      <c r="AB262" s="677" t="b">
        <f t="shared" si="120"/>
        <v>0</v>
      </c>
      <c r="AC262" s="678">
        <f t="shared" si="132"/>
        <v>0</v>
      </c>
      <c r="AD262" s="673"/>
      <c r="AE262" s="678">
        <f t="shared" si="121"/>
        <v>0</v>
      </c>
      <c r="AF262" s="678" t="e">
        <f t="shared" si="122"/>
        <v>#N/A</v>
      </c>
      <c r="AG262" s="678" t="e">
        <f t="shared" si="123"/>
        <v>#N/A</v>
      </c>
      <c r="AH262" s="673">
        <f t="shared" si="133"/>
        <v>0</v>
      </c>
      <c r="AI262" s="674" t="e">
        <f>IF(G262="مدير ولائي",(11000*35%),LOOKUP(D262,'f-travail'!A:A,'f-travail'!I:I))</f>
        <v>#N/A</v>
      </c>
      <c r="AJ262" s="673" t="e">
        <f>IF(G262="مدير ولائي",((W262+X262)*45)*80%,IF(V262&lt;8,0,IF(F262="إليزي",(LOOKUP(D262,'f-travail'!A:A,'f-travail'!O:O))*(AF262+AG262),LOOKUP(D262,'f-travail'!A:A,'f-travail'!P:P)*(AF262+AG262))))</f>
        <v>#N/A</v>
      </c>
      <c r="AK262" s="673" t="e">
        <f>IF(G262="مدير ولائي",0,LOOKUP(D262,'f-travail'!A:A,'f-travail'!Q:Q))</f>
        <v>#N/A</v>
      </c>
      <c r="AL262" s="673" t="e">
        <f>IF(G262="مدير ولائي",0,LOOKUP(D262,'f-travail'!A:A,'f-travail'!R:R)*(AF262+AG262))</f>
        <v>#N/A</v>
      </c>
      <c r="AM262" s="673" t="e">
        <f>IF(G262="مدير ولائي",0,LOOKUP(D262,'f-travail'!A:A,'f-travail'!S:S)*(AF262+AG262))</f>
        <v>#N/A</v>
      </c>
      <c r="AN262" s="673" t="e">
        <f>IF(G262="مدير ولائي",0,LOOKUP(D262,'f-travail'!A:A,'f-travail'!T:T)*(AF262+AG262))</f>
        <v>#N/A</v>
      </c>
      <c r="AO262" s="673" t="e">
        <f>IF(G262="مدير ولائي",0,LOOKUP(D262,'f-travail'!A:A,'f-travail'!U:U)*(AF262+AG262))</f>
        <v>#N/A</v>
      </c>
      <c r="AP262" s="673" t="e">
        <f>IF(G262="مدير ولائي",0,LOOKUP(D262,'f-travail'!A:A,'f-travail'!V:V)*(AF262+AG262))</f>
        <v>#N/A</v>
      </c>
      <c r="AQ262" s="673" t="e">
        <f>IF(G262="مدير ولائي",0,LOOKUP(D262,'f-travail'!A:A,'f-travail'!W:W)*(AF262+AG262))</f>
        <v>#N/A</v>
      </c>
      <c r="AR262" s="673">
        <f t="shared" si="134"/>
        <v>0</v>
      </c>
      <c r="AS262" s="673" t="e">
        <f>IF(G262="مدير ولائي",0,LOOKUP(D262,'f-travail'!A:A,'f-travail'!X:X)*(AF262+AG262))</f>
        <v>#N/A</v>
      </c>
      <c r="AT262" s="673" t="e">
        <f>IF(G262="مدير ولائي",0,LOOKUP(D262,'f-travail'!Y:Y,'f-travail'!R:R)*(AF262+AG262))</f>
        <v>#N/A</v>
      </c>
      <c r="AU262" s="673">
        <f t="shared" si="124"/>
        <v>0</v>
      </c>
      <c r="AV262" s="673">
        <f t="shared" si="125"/>
        <v>0</v>
      </c>
      <c r="AW262" s="673">
        <f t="shared" si="126"/>
        <v>0</v>
      </c>
      <c r="AY262" s="640" t="e">
        <f t="shared" si="135"/>
        <v>#N/A</v>
      </c>
      <c r="AZ262" s="673" t="e">
        <f t="shared" si="127"/>
        <v>#N/A</v>
      </c>
      <c r="BA262" s="639" t="e">
        <f t="shared" si="128"/>
        <v>#N/A</v>
      </c>
      <c r="BG262" s="639">
        <f t="shared" si="136"/>
        <v>0</v>
      </c>
      <c r="BH262" s="683">
        <f t="shared" si="137"/>
        <v>0</v>
      </c>
      <c r="BI262" s="683">
        <f t="shared" si="138"/>
        <v>0</v>
      </c>
      <c r="BJ262" s="641" t="e">
        <f t="shared" si="139"/>
        <v>#N/A</v>
      </c>
      <c r="BK262" s="641" t="e">
        <f t="shared" si="140"/>
        <v>#N/A</v>
      </c>
      <c r="BL262" s="641" t="e">
        <f t="shared" si="141"/>
        <v>#N/A</v>
      </c>
      <c r="BM262" s="684" t="e">
        <f t="shared" si="142"/>
        <v>#N/A</v>
      </c>
      <c r="BO262" s="682" t="e">
        <f>CONCATENATE(Z262," ",LOOKUP(D262,'f-travail'!A:A,'f-travail'!F:F))</f>
        <v>#N/A</v>
      </c>
      <c r="BP262" s="669" t="e">
        <f t="shared" si="129"/>
        <v>#N/A</v>
      </c>
    </row>
    <row r="263" spans="1:68">
      <c r="A263" s="636">
        <f t="shared" si="143"/>
        <v>262</v>
      </c>
      <c r="B263" s="637"/>
      <c r="C263" s="637"/>
      <c r="D263" s="652"/>
      <c r="E263" s="679" t="e">
        <f>LOOKUP(D263,'f-travail'!A:A,'f-travail'!B:B)</f>
        <v>#N/A</v>
      </c>
      <c r="F263" s="650"/>
      <c r="G263" s="650"/>
      <c r="H263" s="653"/>
      <c r="I263" s="653"/>
      <c r="J263" s="654"/>
      <c r="K263" s="650"/>
      <c r="L263" s="650"/>
      <c r="M263" s="650">
        <v>0</v>
      </c>
      <c r="N263" s="654"/>
      <c r="O263" s="654"/>
      <c r="P263" s="654"/>
      <c r="Q263" s="654"/>
      <c r="R263" s="676"/>
      <c r="S263" s="654"/>
      <c r="T263" s="675"/>
      <c r="U263" s="675"/>
      <c r="V263" s="670" t="e">
        <f>LOOKUP(D263,'f-travail'!A:A,'f-travail'!E:E)</f>
        <v>#N/A</v>
      </c>
      <c r="W263" s="670" t="e">
        <f>VLOOKUP(V263,جرقمإستدلالي,'f-travail'!$AD$4+1,FALSE)</f>
        <v>#N/A</v>
      </c>
      <c r="X263" s="671" t="e">
        <f t="shared" si="119"/>
        <v>#N/A</v>
      </c>
      <c r="Y263" s="671">
        <f>IF(G263="مدير ولائي",(HLOOKUP(I263,جدروظعليا,'f-travail'!$AT$3+1,FALSE)-3200),0)</f>
        <v>0</v>
      </c>
      <c r="Z263" s="672" t="str">
        <f t="shared" si="130"/>
        <v/>
      </c>
      <c r="AA263" s="671">
        <f t="shared" si="131"/>
        <v>0</v>
      </c>
      <c r="AB263" s="677" t="b">
        <f t="shared" si="120"/>
        <v>0</v>
      </c>
      <c r="AC263" s="678">
        <f t="shared" si="132"/>
        <v>0</v>
      </c>
      <c r="AD263" s="673"/>
      <c r="AE263" s="678">
        <f t="shared" si="121"/>
        <v>0</v>
      </c>
      <c r="AF263" s="678" t="e">
        <f t="shared" si="122"/>
        <v>#N/A</v>
      </c>
      <c r="AG263" s="678" t="e">
        <f t="shared" si="123"/>
        <v>#N/A</v>
      </c>
      <c r="AH263" s="673">
        <f t="shared" si="133"/>
        <v>0</v>
      </c>
      <c r="AI263" s="674" t="e">
        <f>IF(G263="مدير ولائي",(11000*35%),LOOKUP(D263,'f-travail'!A:A,'f-travail'!I:I))</f>
        <v>#N/A</v>
      </c>
      <c r="AJ263" s="673" t="e">
        <f>IF(G263="مدير ولائي",((W263+X263)*45)*80%,IF(V263&lt;8,0,IF(F263="إليزي",(LOOKUP(D263,'f-travail'!A:A,'f-travail'!O:O))*(AF263+AG263),LOOKUP(D263,'f-travail'!A:A,'f-travail'!P:P)*(AF263+AG263))))</f>
        <v>#N/A</v>
      </c>
      <c r="AK263" s="673" t="e">
        <f>IF(G263="مدير ولائي",0,LOOKUP(D263,'f-travail'!A:A,'f-travail'!Q:Q))</f>
        <v>#N/A</v>
      </c>
      <c r="AL263" s="673" t="e">
        <f>IF(G263="مدير ولائي",0,LOOKUP(D263,'f-travail'!A:A,'f-travail'!R:R)*(AF263+AG263))</f>
        <v>#N/A</v>
      </c>
      <c r="AM263" s="673" t="e">
        <f>IF(G263="مدير ولائي",0,LOOKUP(D263,'f-travail'!A:A,'f-travail'!S:S)*(AF263+AG263))</f>
        <v>#N/A</v>
      </c>
      <c r="AN263" s="673" t="e">
        <f>IF(G263="مدير ولائي",0,LOOKUP(D263,'f-travail'!A:A,'f-travail'!T:T)*(AF263+AG263))</f>
        <v>#N/A</v>
      </c>
      <c r="AO263" s="673" t="e">
        <f>IF(G263="مدير ولائي",0,LOOKUP(D263,'f-travail'!A:A,'f-travail'!U:U)*(AF263+AG263))</f>
        <v>#N/A</v>
      </c>
      <c r="AP263" s="673" t="e">
        <f>IF(G263="مدير ولائي",0,LOOKUP(D263,'f-travail'!A:A,'f-travail'!V:V)*(AF263+AG263))</f>
        <v>#N/A</v>
      </c>
      <c r="AQ263" s="673" t="e">
        <f>IF(G263="مدير ولائي",0,LOOKUP(D263,'f-travail'!A:A,'f-travail'!W:W)*(AF263+AG263))</f>
        <v>#N/A</v>
      </c>
      <c r="AR263" s="673">
        <f t="shared" si="134"/>
        <v>0</v>
      </c>
      <c r="AS263" s="673" t="e">
        <f>IF(G263="مدير ولائي",0,LOOKUP(D263,'f-travail'!A:A,'f-travail'!X:X)*(AF263+AG263))</f>
        <v>#N/A</v>
      </c>
      <c r="AT263" s="673" t="e">
        <f>IF(G263="مدير ولائي",0,LOOKUP(D263,'f-travail'!Y:Y,'f-travail'!R:R)*(AF263+AG263))</f>
        <v>#N/A</v>
      </c>
      <c r="AU263" s="673">
        <f t="shared" si="124"/>
        <v>0</v>
      </c>
      <c r="AV263" s="673">
        <f t="shared" si="125"/>
        <v>0</v>
      </c>
      <c r="AW263" s="673">
        <f t="shared" si="126"/>
        <v>0</v>
      </c>
      <c r="AY263" s="640" t="e">
        <f t="shared" si="135"/>
        <v>#N/A</v>
      </c>
      <c r="AZ263" s="673" t="e">
        <f t="shared" si="127"/>
        <v>#N/A</v>
      </c>
      <c r="BA263" s="639" t="e">
        <f t="shared" si="128"/>
        <v>#N/A</v>
      </c>
      <c r="BG263" s="639">
        <f t="shared" si="136"/>
        <v>0</v>
      </c>
      <c r="BH263" s="683">
        <f t="shared" si="137"/>
        <v>0</v>
      </c>
      <c r="BI263" s="683">
        <f t="shared" si="138"/>
        <v>0</v>
      </c>
      <c r="BJ263" s="641" t="e">
        <f t="shared" si="139"/>
        <v>#N/A</v>
      </c>
      <c r="BK263" s="641" t="e">
        <f t="shared" si="140"/>
        <v>#N/A</v>
      </c>
      <c r="BL263" s="641" t="e">
        <f t="shared" si="141"/>
        <v>#N/A</v>
      </c>
      <c r="BM263" s="684" t="e">
        <f t="shared" si="142"/>
        <v>#N/A</v>
      </c>
      <c r="BO263" s="682" t="e">
        <f>CONCATENATE(Z263," ",LOOKUP(D263,'f-travail'!A:A,'f-travail'!F:F))</f>
        <v>#N/A</v>
      </c>
      <c r="BP263" s="669" t="e">
        <f t="shared" si="129"/>
        <v>#N/A</v>
      </c>
    </row>
    <row r="264" spans="1:68">
      <c r="A264" s="636">
        <f t="shared" si="143"/>
        <v>263</v>
      </c>
      <c r="B264" s="637"/>
      <c r="C264" s="637"/>
      <c r="D264" s="652"/>
      <c r="E264" s="679" t="e">
        <f>LOOKUP(D264,'f-travail'!A:A,'f-travail'!B:B)</f>
        <v>#N/A</v>
      </c>
      <c r="F264" s="650"/>
      <c r="G264" s="650"/>
      <c r="H264" s="653"/>
      <c r="I264" s="653"/>
      <c r="J264" s="654"/>
      <c r="K264" s="650"/>
      <c r="L264" s="650"/>
      <c r="M264" s="650">
        <v>0</v>
      </c>
      <c r="N264" s="654"/>
      <c r="O264" s="654"/>
      <c r="P264" s="654"/>
      <c r="Q264" s="654"/>
      <c r="R264" s="676"/>
      <c r="S264" s="654"/>
      <c r="T264" s="675"/>
      <c r="U264" s="675"/>
      <c r="V264" s="670" t="e">
        <f>LOOKUP(D264,'f-travail'!A:A,'f-travail'!E:E)</f>
        <v>#N/A</v>
      </c>
      <c r="W264" s="670" t="e">
        <f>VLOOKUP(V264,جرقمإستدلالي,'f-travail'!$AD$4+1,FALSE)</f>
        <v>#N/A</v>
      </c>
      <c r="X264" s="671" t="e">
        <f t="shared" si="119"/>
        <v>#N/A</v>
      </c>
      <c r="Y264" s="671">
        <f>IF(G264="مدير ولائي",(HLOOKUP(I264,جدروظعليا,'f-travail'!$AT$3+1,FALSE)-3200),0)</f>
        <v>0</v>
      </c>
      <c r="Z264" s="672" t="str">
        <f t="shared" si="130"/>
        <v/>
      </c>
      <c r="AA264" s="671">
        <f t="shared" si="131"/>
        <v>0</v>
      </c>
      <c r="AB264" s="677" t="b">
        <f t="shared" si="120"/>
        <v>0</v>
      </c>
      <c r="AC264" s="678">
        <f t="shared" si="132"/>
        <v>0</v>
      </c>
      <c r="AD264" s="673"/>
      <c r="AE264" s="678">
        <f t="shared" si="121"/>
        <v>0</v>
      </c>
      <c r="AF264" s="678" t="e">
        <f t="shared" si="122"/>
        <v>#N/A</v>
      </c>
      <c r="AG264" s="678" t="e">
        <f t="shared" si="123"/>
        <v>#N/A</v>
      </c>
      <c r="AH264" s="673">
        <f t="shared" si="133"/>
        <v>0</v>
      </c>
      <c r="AI264" s="674" t="e">
        <f>IF(G264="مدير ولائي",(11000*35%),LOOKUP(D264,'f-travail'!A:A,'f-travail'!I:I))</f>
        <v>#N/A</v>
      </c>
      <c r="AJ264" s="673" t="e">
        <f>IF(G264="مدير ولائي",((W264+X264)*45)*80%,IF(V264&lt;8,0,IF(F264="إليزي",(LOOKUP(D264,'f-travail'!A:A,'f-travail'!O:O))*(AF264+AG264),LOOKUP(D264,'f-travail'!A:A,'f-travail'!P:P)*(AF264+AG264))))</f>
        <v>#N/A</v>
      </c>
      <c r="AK264" s="673" t="e">
        <f>IF(G264="مدير ولائي",0,LOOKUP(D264,'f-travail'!A:A,'f-travail'!Q:Q))</f>
        <v>#N/A</v>
      </c>
      <c r="AL264" s="673" t="e">
        <f>IF(G264="مدير ولائي",0,LOOKUP(D264,'f-travail'!A:A,'f-travail'!R:R)*(AF264+AG264))</f>
        <v>#N/A</v>
      </c>
      <c r="AM264" s="673" t="e">
        <f>IF(G264="مدير ولائي",0,LOOKUP(D264,'f-travail'!A:A,'f-travail'!S:S)*(AF264+AG264))</f>
        <v>#N/A</v>
      </c>
      <c r="AN264" s="673" t="e">
        <f>IF(G264="مدير ولائي",0,LOOKUP(D264,'f-travail'!A:A,'f-travail'!T:T)*(AF264+AG264))</f>
        <v>#N/A</v>
      </c>
      <c r="AO264" s="673" t="e">
        <f>IF(G264="مدير ولائي",0,LOOKUP(D264,'f-travail'!A:A,'f-travail'!U:U)*(AF264+AG264))</f>
        <v>#N/A</v>
      </c>
      <c r="AP264" s="673" t="e">
        <f>IF(G264="مدير ولائي",0,LOOKUP(D264,'f-travail'!A:A,'f-travail'!V:V)*(AF264+AG264))</f>
        <v>#N/A</v>
      </c>
      <c r="AQ264" s="673" t="e">
        <f>IF(G264="مدير ولائي",0,LOOKUP(D264,'f-travail'!A:A,'f-travail'!W:W)*(AF264+AG264))</f>
        <v>#N/A</v>
      </c>
      <c r="AR264" s="673">
        <f t="shared" si="134"/>
        <v>0</v>
      </c>
      <c r="AS264" s="673" t="e">
        <f>IF(G264="مدير ولائي",0,LOOKUP(D264,'f-travail'!A:A,'f-travail'!X:X)*(AF264+AG264))</f>
        <v>#N/A</v>
      </c>
      <c r="AT264" s="673" t="e">
        <f>IF(G264="مدير ولائي",0,LOOKUP(D264,'f-travail'!Y:Y,'f-travail'!R:R)*(AF264+AG264))</f>
        <v>#N/A</v>
      </c>
      <c r="AU264" s="673">
        <f t="shared" si="124"/>
        <v>0</v>
      </c>
      <c r="AV264" s="673">
        <f t="shared" si="125"/>
        <v>0</v>
      </c>
      <c r="AW264" s="673">
        <f t="shared" si="126"/>
        <v>0</v>
      </c>
      <c r="AY264" s="640" t="e">
        <f t="shared" si="135"/>
        <v>#N/A</v>
      </c>
      <c r="AZ264" s="673" t="e">
        <f t="shared" si="127"/>
        <v>#N/A</v>
      </c>
      <c r="BA264" s="639" t="e">
        <f t="shared" si="128"/>
        <v>#N/A</v>
      </c>
      <c r="BG264" s="639">
        <f t="shared" si="136"/>
        <v>0</v>
      </c>
      <c r="BH264" s="683">
        <f t="shared" si="137"/>
        <v>0</v>
      </c>
      <c r="BI264" s="683">
        <f t="shared" si="138"/>
        <v>0</v>
      </c>
      <c r="BJ264" s="641" t="e">
        <f t="shared" si="139"/>
        <v>#N/A</v>
      </c>
      <c r="BK264" s="641" t="e">
        <f t="shared" si="140"/>
        <v>#N/A</v>
      </c>
      <c r="BL264" s="641" t="e">
        <f t="shared" si="141"/>
        <v>#N/A</v>
      </c>
      <c r="BM264" s="684" t="e">
        <f t="shared" si="142"/>
        <v>#N/A</v>
      </c>
      <c r="BO264" s="682" t="e">
        <f>CONCATENATE(Z264," ",LOOKUP(D264,'f-travail'!A:A,'f-travail'!F:F))</f>
        <v>#N/A</v>
      </c>
      <c r="BP264" s="669" t="e">
        <f t="shared" si="129"/>
        <v>#N/A</v>
      </c>
    </row>
    <row r="265" spans="1:68">
      <c r="A265" s="636">
        <f t="shared" si="143"/>
        <v>264</v>
      </c>
      <c r="B265" s="637"/>
      <c r="C265" s="637"/>
      <c r="D265" s="652"/>
      <c r="E265" s="679" t="e">
        <f>LOOKUP(D265,'f-travail'!A:A,'f-travail'!B:B)</f>
        <v>#N/A</v>
      </c>
      <c r="F265" s="650"/>
      <c r="G265" s="650"/>
      <c r="H265" s="653"/>
      <c r="I265" s="653"/>
      <c r="J265" s="654"/>
      <c r="K265" s="650"/>
      <c r="L265" s="650"/>
      <c r="M265" s="650">
        <v>0</v>
      </c>
      <c r="N265" s="654"/>
      <c r="O265" s="654"/>
      <c r="P265" s="654"/>
      <c r="Q265" s="654"/>
      <c r="R265" s="676"/>
      <c r="S265" s="654"/>
      <c r="T265" s="675"/>
      <c r="U265" s="675"/>
      <c r="V265" s="670" t="e">
        <f>LOOKUP(D265,'f-travail'!A:A,'f-travail'!E:E)</f>
        <v>#N/A</v>
      </c>
      <c r="W265" s="670" t="e">
        <f>VLOOKUP(V265,جرقمإستدلالي,'f-travail'!$AD$4+1,FALSE)</f>
        <v>#N/A</v>
      </c>
      <c r="X265" s="671" t="e">
        <f t="shared" si="119"/>
        <v>#N/A</v>
      </c>
      <c r="Y265" s="671">
        <f>IF(G265="مدير ولائي",(HLOOKUP(I265,جدروظعليا,'f-travail'!$AT$3+1,FALSE)-3200),0)</f>
        <v>0</v>
      </c>
      <c r="Z265" s="672" t="str">
        <f t="shared" si="130"/>
        <v/>
      </c>
      <c r="AA265" s="671">
        <f t="shared" si="131"/>
        <v>0</v>
      </c>
      <c r="AB265" s="677" t="b">
        <f t="shared" si="120"/>
        <v>0</v>
      </c>
      <c r="AC265" s="678">
        <f t="shared" si="132"/>
        <v>0</v>
      </c>
      <c r="AD265" s="673"/>
      <c r="AE265" s="678">
        <f t="shared" si="121"/>
        <v>0</v>
      </c>
      <c r="AF265" s="678" t="e">
        <f t="shared" si="122"/>
        <v>#N/A</v>
      </c>
      <c r="AG265" s="678" t="e">
        <f t="shared" si="123"/>
        <v>#N/A</v>
      </c>
      <c r="AH265" s="673">
        <f t="shared" si="133"/>
        <v>0</v>
      </c>
      <c r="AI265" s="674" t="e">
        <f>IF(G265="مدير ولائي",(11000*35%),LOOKUP(D265,'f-travail'!A:A,'f-travail'!I:I))</f>
        <v>#N/A</v>
      </c>
      <c r="AJ265" s="673" t="e">
        <f>IF(G265="مدير ولائي",((W265+X265)*45)*80%,IF(V265&lt;8,0,IF(F265="إليزي",(LOOKUP(D265,'f-travail'!A:A,'f-travail'!O:O))*(AF265+AG265),LOOKUP(D265,'f-travail'!A:A,'f-travail'!P:P)*(AF265+AG265))))</f>
        <v>#N/A</v>
      </c>
      <c r="AK265" s="673" t="e">
        <f>IF(G265="مدير ولائي",0,LOOKUP(D265,'f-travail'!A:A,'f-travail'!Q:Q))</f>
        <v>#N/A</v>
      </c>
      <c r="AL265" s="673" t="e">
        <f>IF(G265="مدير ولائي",0,LOOKUP(D265,'f-travail'!A:A,'f-travail'!R:R)*(AF265+AG265))</f>
        <v>#N/A</v>
      </c>
      <c r="AM265" s="673" t="e">
        <f>IF(G265="مدير ولائي",0,LOOKUP(D265,'f-travail'!A:A,'f-travail'!S:S)*(AF265+AG265))</f>
        <v>#N/A</v>
      </c>
      <c r="AN265" s="673" t="e">
        <f>IF(G265="مدير ولائي",0,LOOKUP(D265,'f-travail'!A:A,'f-travail'!T:T)*(AF265+AG265))</f>
        <v>#N/A</v>
      </c>
      <c r="AO265" s="673" t="e">
        <f>IF(G265="مدير ولائي",0,LOOKUP(D265,'f-travail'!A:A,'f-travail'!U:U)*(AF265+AG265))</f>
        <v>#N/A</v>
      </c>
      <c r="AP265" s="673" t="e">
        <f>IF(G265="مدير ولائي",0,LOOKUP(D265,'f-travail'!A:A,'f-travail'!V:V)*(AF265+AG265))</f>
        <v>#N/A</v>
      </c>
      <c r="AQ265" s="673" t="e">
        <f>IF(G265="مدير ولائي",0,LOOKUP(D265,'f-travail'!A:A,'f-travail'!W:W)*(AF265+AG265))</f>
        <v>#N/A</v>
      </c>
      <c r="AR265" s="673">
        <f t="shared" si="134"/>
        <v>0</v>
      </c>
      <c r="AS265" s="673" t="e">
        <f>IF(G265="مدير ولائي",0,LOOKUP(D265,'f-travail'!A:A,'f-travail'!X:X)*(AF265+AG265))</f>
        <v>#N/A</v>
      </c>
      <c r="AT265" s="673" t="e">
        <f>IF(G265="مدير ولائي",0,LOOKUP(D265,'f-travail'!Y:Y,'f-travail'!R:R)*(AF265+AG265))</f>
        <v>#N/A</v>
      </c>
      <c r="AU265" s="673">
        <f t="shared" si="124"/>
        <v>0</v>
      </c>
      <c r="AV265" s="673">
        <f t="shared" si="125"/>
        <v>0</v>
      </c>
      <c r="AW265" s="673">
        <f t="shared" si="126"/>
        <v>0</v>
      </c>
      <c r="AY265" s="640" t="e">
        <f t="shared" si="135"/>
        <v>#N/A</v>
      </c>
      <c r="AZ265" s="673" t="e">
        <f t="shared" si="127"/>
        <v>#N/A</v>
      </c>
      <c r="BA265" s="639" t="e">
        <f t="shared" si="128"/>
        <v>#N/A</v>
      </c>
      <c r="BG265" s="639">
        <f t="shared" si="136"/>
        <v>0</v>
      </c>
      <c r="BH265" s="683">
        <f t="shared" si="137"/>
        <v>0</v>
      </c>
      <c r="BI265" s="683">
        <f t="shared" si="138"/>
        <v>0</v>
      </c>
      <c r="BJ265" s="641" t="e">
        <f t="shared" si="139"/>
        <v>#N/A</v>
      </c>
      <c r="BK265" s="641" t="e">
        <f t="shared" si="140"/>
        <v>#N/A</v>
      </c>
      <c r="BL265" s="641" t="e">
        <f t="shared" si="141"/>
        <v>#N/A</v>
      </c>
      <c r="BM265" s="684" t="e">
        <f t="shared" si="142"/>
        <v>#N/A</v>
      </c>
      <c r="BO265" s="682" t="e">
        <f>CONCATENATE(Z265," ",LOOKUP(D265,'f-travail'!A:A,'f-travail'!F:F))</f>
        <v>#N/A</v>
      </c>
      <c r="BP265" s="669" t="e">
        <f t="shared" si="129"/>
        <v>#N/A</v>
      </c>
    </row>
    <row r="266" spans="1:68">
      <c r="A266" s="636">
        <f t="shared" si="143"/>
        <v>265</v>
      </c>
      <c r="B266" s="637"/>
      <c r="C266" s="637"/>
      <c r="D266" s="652"/>
      <c r="E266" s="679" t="e">
        <f>LOOKUP(D266,'f-travail'!A:A,'f-travail'!B:B)</f>
        <v>#N/A</v>
      </c>
      <c r="F266" s="650"/>
      <c r="G266" s="650"/>
      <c r="H266" s="653"/>
      <c r="I266" s="653"/>
      <c r="J266" s="654"/>
      <c r="K266" s="650"/>
      <c r="L266" s="650"/>
      <c r="M266" s="650">
        <v>0</v>
      </c>
      <c r="N266" s="654"/>
      <c r="O266" s="654"/>
      <c r="P266" s="654"/>
      <c r="Q266" s="654"/>
      <c r="R266" s="676"/>
      <c r="S266" s="654"/>
      <c r="T266" s="675"/>
      <c r="U266" s="675"/>
      <c r="V266" s="670" t="e">
        <f>LOOKUP(D266,'f-travail'!A:A,'f-travail'!E:E)</f>
        <v>#N/A</v>
      </c>
      <c r="W266" s="670" t="e">
        <f>VLOOKUP(V266,جرقمإستدلالي,'f-travail'!$AD$4+1,FALSE)</f>
        <v>#N/A</v>
      </c>
      <c r="X266" s="671" t="e">
        <f t="shared" si="119"/>
        <v>#N/A</v>
      </c>
      <c r="Y266" s="671">
        <f>IF(G266="مدير ولائي",(HLOOKUP(I266,جدروظعليا,'f-travail'!$AT$3+1,FALSE)-3200),0)</f>
        <v>0</v>
      </c>
      <c r="Z266" s="672" t="str">
        <f t="shared" si="130"/>
        <v/>
      </c>
      <c r="AA266" s="671">
        <f t="shared" si="131"/>
        <v>0</v>
      </c>
      <c r="AB266" s="677" t="b">
        <f t="shared" si="120"/>
        <v>0</v>
      </c>
      <c r="AC266" s="678">
        <f t="shared" si="132"/>
        <v>0</v>
      </c>
      <c r="AD266" s="673"/>
      <c r="AE266" s="678">
        <f t="shared" si="121"/>
        <v>0</v>
      </c>
      <c r="AF266" s="678" t="e">
        <f t="shared" si="122"/>
        <v>#N/A</v>
      </c>
      <c r="AG266" s="678" t="e">
        <f t="shared" si="123"/>
        <v>#N/A</v>
      </c>
      <c r="AH266" s="673">
        <f t="shared" si="133"/>
        <v>0</v>
      </c>
      <c r="AI266" s="674" t="e">
        <f>IF(G266="مدير ولائي",(11000*35%),LOOKUP(D266,'f-travail'!A:A,'f-travail'!I:I))</f>
        <v>#N/A</v>
      </c>
      <c r="AJ266" s="673" t="e">
        <f>IF(G266="مدير ولائي",((W266+X266)*45)*80%,IF(V266&lt;8,0,IF(F266="إليزي",(LOOKUP(D266,'f-travail'!A:A,'f-travail'!O:O))*(AF266+AG266),LOOKUP(D266,'f-travail'!A:A,'f-travail'!P:P)*(AF266+AG266))))</f>
        <v>#N/A</v>
      </c>
      <c r="AK266" s="673" t="e">
        <f>IF(G266="مدير ولائي",0,LOOKUP(D266,'f-travail'!A:A,'f-travail'!Q:Q))</f>
        <v>#N/A</v>
      </c>
      <c r="AL266" s="673" t="e">
        <f>IF(G266="مدير ولائي",0,LOOKUP(D266,'f-travail'!A:A,'f-travail'!R:R)*(AF266+AG266))</f>
        <v>#N/A</v>
      </c>
      <c r="AM266" s="673" t="e">
        <f>IF(G266="مدير ولائي",0,LOOKUP(D266,'f-travail'!A:A,'f-travail'!S:S)*(AF266+AG266))</f>
        <v>#N/A</v>
      </c>
      <c r="AN266" s="673" t="e">
        <f>IF(G266="مدير ولائي",0,LOOKUP(D266,'f-travail'!A:A,'f-travail'!T:T)*(AF266+AG266))</f>
        <v>#N/A</v>
      </c>
      <c r="AO266" s="673" t="e">
        <f>IF(G266="مدير ولائي",0,LOOKUP(D266,'f-travail'!A:A,'f-travail'!U:U)*(AF266+AG266))</f>
        <v>#N/A</v>
      </c>
      <c r="AP266" s="673" t="e">
        <f>IF(G266="مدير ولائي",0,LOOKUP(D266,'f-travail'!A:A,'f-travail'!V:V)*(AF266+AG266))</f>
        <v>#N/A</v>
      </c>
      <c r="AQ266" s="673" t="e">
        <f>IF(G266="مدير ولائي",0,LOOKUP(D266,'f-travail'!A:A,'f-travail'!W:W)*(AF266+AG266))</f>
        <v>#N/A</v>
      </c>
      <c r="AR266" s="673">
        <f t="shared" si="134"/>
        <v>0</v>
      </c>
      <c r="AS266" s="673" t="e">
        <f>IF(G266="مدير ولائي",0,LOOKUP(D266,'f-travail'!A:A,'f-travail'!X:X)*(AF266+AG266))</f>
        <v>#N/A</v>
      </c>
      <c r="AT266" s="673" t="e">
        <f>IF(G266="مدير ولائي",0,LOOKUP(D266,'f-travail'!Y:Y,'f-travail'!R:R)*(AF266+AG266))</f>
        <v>#N/A</v>
      </c>
      <c r="AU266" s="673">
        <f t="shared" si="124"/>
        <v>0</v>
      </c>
      <c r="AV266" s="673">
        <f t="shared" si="125"/>
        <v>0</v>
      </c>
      <c r="AW266" s="673">
        <f t="shared" si="126"/>
        <v>0</v>
      </c>
      <c r="AY266" s="640" t="e">
        <f t="shared" si="135"/>
        <v>#N/A</v>
      </c>
      <c r="AZ266" s="673" t="e">
        <f t="shared" si="127"/>
        <v>#N/A</v>
      </c>
      <c r="BA266" s="639" t="e">
        <f t="shared" si="128"/>
        <v>#N/A</v>
      </c>
      <c r="BG266" s="639">
        <f t="shared" si="136"/>
        <v>0</v>
      </c>
      <c r="BH266" s="683">
        <f t="shared" si="137"/>
        <v>0</v>
      </c>
      <c r="BI266" s="683">
        <f t="shared" si="138"/>
        <v>0</v>
      </c>
      <c r="BJ266" s="641" t="e">
        <f t="shared" si="139"/>
        <v>#N/A</v>
      </c>
      <c r="BK266" s="641" t="e">
        <f t="shared" si="140"/>
        <v>#N/A</v>
      </c>
      <c r="BL266" s="641" t="e">
        <f t="shared" si="141"/>
        <v>#N/A</v>
      </c>
      <c r="BM266" s="684" t="e">
        <f t="shared" si="142"/>
        <v>#N/A</v>
      </c>
      <c r="BO266" s="682" t="e">
        <f>CONCATENATE(Z266," ",LOOKUP(D266,'f-travail'!A:A,'f-travail'!F:F))</f>
        <v>#N/A</v>
      </c>
      <c r="BP266" s="669" t="e">
        <f t="shared" si="129"/>
        <v>#N/A</v>
      </c>
    </row>
    <row r="267" spans="1:68">
      <c r="A267" s="636">
        <f t="shared" si="143"/>
        <v>266</v>
      </c>
      <c r="B267" s="637"/>
      <c r="C267" s="637"/>
      <c r="D267" s="652"/>
      <c r="E267" s="679" t="e">
        <f>LOOKUP(D267,'f-travail'!A:A,'f-travail'!B:B)</f>
        <v>#N/A</v>
      </c>
      <c r="F267" s="650"/>
      <c r="G267" s="650"/>
      <c r="H267" s="653"/>
      <c r="I267" s="653"/>
      <c r="J267" s="654"/>
      <c r="K267" s="650"/>
      <c r="L267" s="650"/>
      <c r="M267" s="650">
        <v>0</v>
      </c>
      <c r="N267" s="654"/>
      <c r="O267" s="654"/>
      <c r="P267" s="654"/>
      <c r="Q267" s="654"/>
      <c r="R267" s="676"/>
      <c r="S267" s="654"/>
      <c r="T267" s="675"/>
      <c r="U267" s="675"/>
      <c r="V267" s="670" t="e">
        <f>LOOKUP(D267,'f-travail'!A:A,'f-travail'!E:E)</f>
        <v>#N/A</v>
      </c>
      <c r="W267" s="670" t="e">
        <f>VLOOKUP(V267,جرقمإستدلالي,'f-travail'!$AD$4+1,FALSE)</f>
        <v>#N/A</v>
      </c>
      <c r="X267" s="671" t="e">
        <f t="shared" si="119"/>
        <v>#N/A</v>
      </c>
      <c r="Y267" s="671">
        <f>IF(G267="مدير ولائي",(HLOOKUP(I267,جدروظعليا,'f-travail'!$AT$3+1,FALSE)-3200),0)</f>
        <v>0</v>
      </c>
      <c r="Z267" s="672" t="str">
        <f t="shared" si="130"/>
        <v/>
      </c>
      <c r="AA267" s="671">
        <f t="shared" si="131"/>
        <v>0</v>
      </c>
      <c r="AB267" s="677" t="b">
        <f t="shared" si="120"/>
        <v>0</v>
      </c>
      <c r="AC267" s="678">
        <f t="shared" si="132"/>
        <v>0</v>
      </c>
      <c r="AD267" s="673"/>
      <c r="AE267" s="678">
        <f t="shared" si="121"/>
        <v>0</v>
      </c>
      <c r="AF267" s="678" t="e">
        <f t="shared" si="122"/>
        <v>#N/A</v>
      </c>
      <c r="AG267" s="678" t="e">
        <f t="shared" si="123"/>
        <v>#N/A</v>
      </c>
      <c r="AH267" s="673">
        <f t="shared" si="133"/>
        <v>0</v>
      </c>
      <c r="AI267" s="674" t="e">
        <f>IF(G267="مدير ولائي",(11000*35%),LOOKUP(D267,'f-travail'!A:A,'f-travail'!I:I))</f>
        <v>#N/A</v>
      </c>
      <c r="AJ267" s="673" t="e">
        <f>IF(G267="مدير ولائي",((W267+X267)*45)*80%,IF(V267&lt;8,0,IF(F267="إليزي",(LOOKUP(D267,'f-travail'!A:A,'f-travail'!O:O))*(AF267+AG267),LOOKUP(D267,'f-travail'!A:A,'f-travail'!P:P)*(AF267+AG267))))</f>
        <v>#N/A</v>
      </c>
      <c r="AK267" s="673" t="e">
        <f>IF(G267="مدير ولائي",0,LOOKUP(D267,'f-travail'!A:A,'f-travail'!Q:Q))</f>
        <v>#N/A</v>
      </c>
      <c r="AL267" s="673" t="e">
        <f>IF(G267="مدير ولائي",0,LOOKUP(D267,'f-travail'!A:A,'f-travail'!R:R)*(AF267+AG267))</f>
        <v>#N/A</v>
      </c>
      <c r="AM267" s="673" t="e">
        <f>IF(G267="مدير ولائي",0,LOOKUP(D267,'f-travail'!A:A,'f-travail'!S:S)*(AF267+AG267))</f>
        <v>#N/A</v>
      </c>
      <c r="AN267" s="673" t="e">
        <f>IF(G267="مدير ولائي",0,LOOKUP(D267,'f-travail'!A:A,'f-travail'!T:T)*(AF267+AG267))</f>
        <v>#N/A</v>
      </c>
      <c r="AO267" s="673" t="e">
        <f>IF(G267="مدير ولائي",0,LOOKUP(D267,'f-travail'!A:A,'f-travail'!U:U)*(AF267+AG267))</f>
        <v>#N/A</v>
      </c>
      <c r="AP267" s="673" t="e">
        <f>IF(G267="مدير ولائي",0,LOOKUP(D267,'f-travail'!A:A,'f-travail'!V:V)*(AF267+AG267))</f>
        <v>#N/A</v>
      </c>
      <c r="AQ267" s="673" t="e">
        <f>IF(G267="مدير ولائي",0,LOOKUP(D267,'f-travail'!A:A,'f-travail'!W:W)*(AF267+AG267))</f>
        <v>#N/A</v>
      </c>
      <c r="AR267" s="673">
        <f t="shared" si="134"/>
        <v>0</v>
      </c>
      <c r="AS267" s="673" t="e">
        <f>IF(G267="مدير ولائي",0,LOOKUP(D267,'f-travail'!A:A,'f-travail'!X:X)*(AF267+AG267))</f>
        <v>#N/A</v>
      </c>
      <c r="AT267" s="673" t="e">
        <f>IF(G267="مدير ولائي",0,LOOKUP(D267,'f-travail'!Y:Y,'f-travail'!R:R)*(AF267+AG267))</f>
        <v>#N/A</v>
      </c>
      <c r="AU267" s="673">
        <f t="shared" si="124"/>
        <v>0</v>
      </c>
      <c r="AV267" s="673">
        <f t="shared" si="125"/>
        <v>0</v>
      </c>
      <c r="AW267" s="673">
        <f t="shared" si="126"/>
        <v>0</v>
      </c>
      <c r="AY267" s="640" t="e">
        <f t="shared" si="135"/>
        <v>#N/A</v>
      </c>
      <c r="AZ267" s="673" t="e">
        <f t="shared" si="127"/>
        <v>#N/A</v>
      </c>
      <c r="BA267" s="639" t="e">
        <f t="shared" si="128"/>
        <v>#N/A</v>
      </c>
      <c r="BG267" s="639">
        <f t="shared" si="136"/>
        <v>0</v>
      </c>
      <c r="BH267" s="683">
        <f t="shared" si="137"/>
        <v>0</v>
      </c>
      <c r="BI267" s="683">
        <f t="shared" si="138"/>
        <v>0</v>
      </c>
      <c r="BJ267" s="641" t="e">
        <f t="shared" si="139"/>
        <v>#N/A</v>
      </c>
      <c r="BK267" s="641" t="e">
        <f t="shared" si="140"/>
        <v>#N/A</v>
      </c>
      <c r="BL267" s="641" t="e">
        <f t="shared" si="141"/>
        <v>#N/A</v>
      </c>
      <c r="BM267" s="684" t="e">
        <f t="shared" si="142"/>
        <v>#N/A</v>
      </c>
      <c r="BO267" s="682" t="e">
        <f>CONCATENATE(Z267," ",LOOKUP(D267,'f-travail'!A:A,'f-travail'!F:F))</f>
        <v>#N/A</v>
      </c>
      <c r="BP267" s="669" t="e">
        <f t="shared" si="129"/>
        <v>#N/A</v>
      </c>
    </row>
    <row r="268" spans="1:68">
      <c r="A268" s="636">
        <f t="shared" si="143"/>
        <v>267</v>
      </c>
      <c r="B268" s="637"/>
      <c r="C268" s="637"/>
      <c r="D268" s="652"/>
      <c r="E268" s="679" t="e">
        <f>LOOKUP(D268,'f-travail'!A:A,'f-travail'!B:B)</f>
        <v>#N/A</v>
      </c>
      <c r="F268" s="650"/>
      <c r="G268" s="650"/>
      <c r="H268" s="653"/>
      <c r="I268" s="653"/>
      <c r="J268" s="654"/>
      <c r="K268" s="650"/>
      <c r="L268" s="650"/>
      <c r="M268" s="650">
        <v>0</v>
      </c>
      <c r="N268" s="654"/>
      <c r="O268" s="654"/>
      <c r="P268" s="654"/>
      <c r="Q268" s="654"/>
      <c r="R268" s="676"/>
      <c r="S268" s="654"/>
      <c r="T268" s="675"/>
      <c r="U268" s="675"/>
      <c r="V268" s="670" t="e">
        <f>LOOKUP(D268,'f-travail'!A:A,'f-travail'!E:E)</f>
        <v>#N/A</v>
      </c>
      <c r="W268" s="670" t="e">
        <f>VLOOKUP(V268,جرقمإستدلالي,'f-travail'!$AD$4+1,FALSE)</f>
        <v>#N/A</v>
      </c>
      <c r="X268" s="671" t="e">
        <f t="shared" si="119"/>
        <v>#N/A</v>
      </c>
      <c r="Y268" s="671">
        <f>IF(G268="مدير ولائي",(HLOOKUP(I268,جدروظعليا,'f-travail'!$AT$3+1,FALSE)-3200),0)</f>
        <v>0</v>
      </c>
      <c r="Z268" s="672" t="str">
        <f t="shared" si="130"/>
        <v/>
      </c>
      <c r="AA268" s="671">
        <f t="shared" si="131"/>
        <v>0</v>
      </c>
      <c r="AB268" s="677" t="b">
        <f t="shared" si="120"/>
        <v>0</v>
      </c>
      <c r="AC268" s="678">
        <f t="shared" si="132"/>
        <v>0</v>
      </c>
      <c r="AD268" s="673"/>
      <c r="AE268" s="678">
        <f t="shared" si="121"/>
        <v>0</v>
      </c>
      <c r="AF268" s="678" t="e">
        <f t="shared" si="122"/>
        <v>#N/A</v>
      </c>
      <c r="AG268" s="678" t="e">
        <f t="shared" si="123"/>
        <v>#N/A</v>
      </c>
      <c r="AH268" s="673">
        <f t="shared" si="133"/>
        <v>0</v>
      </c>
      <c r="AI268" s="674" t="e">
        <f>IF(G268="مدير ولائي",(11000*35%),LOOKUP(D268,'f-travail'!A:A,'f-travail'!I:I))</f>
        <v>#N/A</v>
      </c>
      <c r="AJ268" s="673" t="e">
        <f>IF(G268="مدير ولائي",((W268+X268)*45)*80%,IF(V268&lt;8,0,IF(F268="إليزي",(LOOKUP(D268,'f-travail'!A:A,'f-travail'!O:O))*(AF268+AG268),LOOKUP(D268,'f-travail'!A:A,'f-travail'!P:P)*(AF268+AG268))))</f>
        <v>#N/A</v>
      </c>
      <c r="AK268" s="673" t="e">
        <f>IF(G268="مدير ولائي",0,LOOKUP(D268,'f-travail'!A:A,'f-travail'!Q:Q))</f>
        <v>#N/A</v>
      </c>
      <c r="AL268" s="673" t="e">
        <f>IF(G268="مدير ولائي",0,LOOKUP(D268,'f-travail'!A:A,'f-travail'!R:R)*(AF268+AG268))</f>
        <v>#N/A</v>
      </c>
      <c r="AM268" s="673" t="e">
        <f>IF(G268="مدير ولائي",0,LOOKUP(D268,'f-travail'!A:A,'f-travail'!S:S)*(AF268+AG268))</f>
        <v>#N/A</v>
      </c>
      <c r="AN268" s="673" t="e">
        <f>IF(G268="مدير ولائي",0,LOOKUP(D268,'f-travail'!A:A,'f-travail'!T:T)*(AF268+AG268))</f>
        <v>#N/A</v>
      </c>
      <c r="AO268" s="673" t="e">
        <f>IF(G268="مدير ولائي",0,LOOKUP(D268,'f-travail'!A:A,'f-travail'!U:U)*(AF268+AG268))</f>
        <v>#N/A</v>
      </c>
      <c r="AP268" s="673" t="e">
        <f>IF(G268="مدير ولائي",0,LOOKUP(D268,'f-travail'!A:A,'f-travail'!V:V)*(AF268+AG268))</f>
        <v>#N/A</v>
      </c>
      <c r="AQ268" s="673" t="e">
        <f>IF(G268="مدير ولائي",0,LOOKUP(D268,'f-travail'!A:A,'f-travail'!W:W)*(AF268+AG268))</f>
        <v>#N/A</v>
      </c>
      <c r="AR268" s="673">
        <f t="shared" si="134"/>
        <v>0</v>
      </c>
      <c r="AS268" s="673" t="e">
        <f>IF(G268="مدير ولائي",0,LOOKUP(D268,'f-travail'!A:A,'f-travail'!X:X)*(AF268+AG268))</f>
        <v>#N/A</v>
      </c>
      <c r="AT268" s="673" t="e">
        <f>IF(G268="مدير ولائي",0,LOOKUP(D268,'f-travail'!Y:Y,'f-travail'!R:R)*(AF268+AG268))</f>
        <v>#N/A</v>
      </c>
      <c r="AU268" s="673">
        <f t="shared" si="124"/>
        <v>0</v>
      </c>
      <c r="AV268" s="673">
        <f t="shared" si="125"/>
        <v>0</v>
      </c>
      <c r="AW268" s="673">
        <f t="shared" si="126"/>
        <v>0</v>
      </c>
      <c r="AY268" s="640" t="e">
        <f t="shared" si="135"/>
        <v>#N/A</v>
      </c>
      <c r="AZ268" s="673" t="e">
        <f t="shared" si="127"/>
        <v>#N/A</v>
      </c>
      <c r="BA268" s="639" t="e">
        <f t="shared" si="128"/>
        <v>#N/A</v>
      </c>
      <c r="BG268" s="639">
        <f t="shared" si="136"/>
        <v>0</v>
      </c>
      <c r="BH268" s="683">
        <f t="shared" si="137"/>
        <v>0</v>
      </c>
      <c r="BI268" s="683">
        <f t="shared" si="138"/>
        <v>0</v>
      </c>
      <c r="BJ268" s="641" t="e">
        <f t="shared" si="139"/>
        <v>#N/A</v>
      </c>
      <c r="BK268" s="641" t="e">
        <f t="shared" si="140"/>
        <v>#N/A</v>
      </c>
      <c r="BL268" s="641" t="e">
        <f t="shared" si="141"/>
        <v>#N/A</v>
      </c>
      <c r="BM268" s="684" t="e">
        <f t="shared" si="142"/>
        <v>#N/A</v>
      </c>
      <c r="BO268" s="682" t="e">
        <f>CONCATENATE(Z268," ",LOOKUP(D268,'f-travail'!A:A,'f-travail'!F:F))</f>
        <v>#N/A</v>
      </c>
      <c r="BP268" s="669" t="e">
        <f t="shared" si="129"/>
        <v>#N/A</v>
      </c>
    </row>
    <row r="269" spans="1:68">
      <c r="A269" s="636">
        <f t="shared" si="143"/>
        <v>268</v>
      </c>
      <c r="B269" s="637"/>
      <c r="C269" s="637"/>
      <c r="D269" s="652"/>
      <c r="E269" s="679" t="e">
        <f>LOOKUP(D269,'f-travail'!A:A,'f-travail'!B:B)</f>
        <v>#N/A</v>
      </c>
      <c r="F269" s="650"/>
      <c r="G269" s="650"/>
      <c r="H269" s="653"/>
      <c r="I269" s="653"/>
      <c r="J269" s="654"/>
      <c r="K269" s="650"/>
      <c r="L269" s="650"/>
      <c r="M269" s="650">
        <v>0</v>
      </c>
      <c r="N269" s="654"/>
      <c r="O269" s="654"/>
      <c r="P269" s="654"/>
      <c r="Q269" s="654"/>
      <c r="R269" s="676"/>
      <c r="S269" s="654"/>
      <c r="T269" s="675"/>
      <c r="U269" s="675"/>
      <c r="V269" s="670" t="e">
        <f>LOOKUP(D269,'f-travail'!A:A,'f-travail'!E:E)</f>
        <v>#N/A</v>
      </c>
      <c r="W269" s="670" t="e">
        <f>VLOOKUP(V269,جرقمإستدلالي,'f-travail'!$AD$4+1,FALSE)</f>
        <v>#N/A</v>
      </c>
      <c r="X269" s="671" t="e">
        <f t="shared" si="119"/>
        <v>#N/A</v>
      </c>
      <c r="Y269" s="671">
        <f>IF(G269="مدير ولائي",(HLOOKUP(I269,جدروظعليا,'f-travail'!$AT$3+1,FALSE)-3200),0)</f>
        <v>0</v>
      </c>
      <c r="Z269" s="672" t="str">
        <f t="shared" si="130"/>
        <v/>
      </c>
      <c r="AA269" s="671">
        <f t="shared" si="131"/>
        <v>0</v>
      </c>
      <c r="AB269" s="677" t="b">
        <f t="shared" si="120"/>
        <v>0</v>
      </c>
      <c r="AC269" s="678">
        <f t="shared" si="132"/>
        <v>0</v>
      </c>
      <c r="AD269" s="673"/>
      <c r="AE269" s="678">
        <f t="shared" si="121"/>
        <v>0</v>
      </c>
      <c r="AF269" s="678" t="e">
        <f t="shared" si="122"/>
        <v>#N/A</v>
      </c>
      <c r="AG269" s="678" t="e">
        <f t="shared" si="123"/>
        <v>#N/A</v>
      </c>
      <c r="AH269" s="673">
        <f t="shared" si="133"/>
        <v>0</v>
      </c>
      <c r="AI269" s="674" t="e">
        <f>IF(G269="مدير ولائي",(11000*35%),LOOKUP(D269,'f-travail'!A:A,'f-travail'!I:I))</f>
        <v>#N/A</v>
      </c>
      <c r="AJ269" s="673" t="e">
        <f>IF(G269="مدير ولائي",((W269+X269)*45)*80%,IF(V269&lt;8,0,IF(F269="إليزي",(LOOKUP(D269,'f-travail'!A:A,'f-travail'!O:O))*(AF269+AG269),LOOKUP(D269,'f-travail'!A:A,'f-travail'!P:P)*(AF269+AG269))))</f>
        <v>#N/A</v>
      </c>
      <c r="AK269" s="673" t="e">
        <f>IF(G269="مدير ولائي",0,LOOKUP(D269,'f-travail'!A:A,'f-travail'!Q:Q))</f>
        <v>#N/A</v>
      </c>
      <c r="AL269" s="673" t="e">
        <f>IF(G269="مدير ولائي",0,LOOKUP(D269,'f-travail'!A:A,'f-travail'!R:R)*(AF269+AG269))</f>
        <v>#N/A</v>
      </c>
      <c r="AM269" s="673" t="e">
        <f>IF(G269="مدير ولائي",0,LOOKUP(D269,'f-travail'!A:A,'f-travail'!S:S)*(AF269+AG269))</f>
        <v>#N/A</v>
      </c>
      <c r="AN269" s="673" t="e">
        <f>IF(G269="مدير ولائي",0,LOOKUP(D269,'f-travail'!A:A,'f-travail'!T:T)*(AF269+AG269))</f>
        <v>#N/A</v>
      </c>
      <c r="AO269" s="673" t="e">
        <f>IF(G269="مدير ولائي",0,LOOKUP(D269,'f-travail'!A:A,'f-travail'!U:U)*(AF269+AG269))</f>
        <v>#N/A</v>
      </c>
      <c r="AP269" s="673" t="e">
        <f>IF(G269="مدير ولائي",0,LOOKUP(D269,'f-travail'!A:A,'f-travail'!V:V)*(AF269+AG269))</f>
        <v>#N/A</v>
      </c>
      <c r="AQ269" s="673" t="e">
        <f>IF(G269="مدير ولائي",0,LOOKUP(D269,'f-travail'!A:A,'f-travail'!W:W)*(AF269+AG269))</f>
        <v>#N/A</v>
      </c>
      <c r="AR269" s="673">
        <f t="shared" si="134"/>
        <v>0</v>
      </c>
      <c r="AS269" s="673" t="e">
        <f>IF(G269="مدير ولائي",0,LOOKUP(D269,'f-travail'!A:A,'f-travail'!X:X)*(AF269+AG269))</f>
        <v>#N/A</v>
      </c>
      <c r="AT269" s="673" t="e">
        <f>IF(G269="مدير ولائي",0,LOOKUP(D269,'f-travail'!Y:Y,'f-travail'!R:R)*(AF269+AG269))</f>
        <v>#N/A</v>
      </c>
      <c r="AU269" s="673">
        <f t="shared" si="124"/>
        <v>0</v>
      </c>
      <c r="AV269" s="673">
        <f t="shared" si="125"/>
        <v>0</v>
      </c>
      <c r="AW269" s="673">
        <f t="shared" si="126"/>
        <v>0</v>
      </c>
      <c r="AY269" s="640" t="e">
        <f t="shared" si="135"/>
        <v>#N/A</v>
      </c>
      <c r="AZ269" s="673" t="e">
        <f t="shared" si="127"/>
        <v>#N/A</v>
      </c>
      <c r="BA269" s="639" t="e">
        <f t="shared" si="128"/>
        <v>#N/A</v>
      </c>
      <c r="BG269" s="639">
        <f t="shared" si="136"/>
        <v>0</v>
      </c>
      <c r="BH269" s="683">
        <f t="shared" si="137"/>
        <v>0</v>
      </c>
      <c r="BI269" s="683">
        <f t="shared" si="138"/>
        <v>0</v>
      </c>
      <c r="BJ269" s="641" t="e">
        <f t="shared" si="139"/>
        <v>#N/A</v>
      </c>
      <c r="BK269" s="641" t="e">
        <f t="shared" si="140"/>
        <v>#N/A</v>
      </c>
      <c r="BL269" s="641" t="e">
        <f t="shared" si="141"/>
        <v>#N/A</v>
      </c>
      <c r="BM269" s="684" t="e">
        <f t="shared" si="142"/>
        <v>#N/A</v>
      </c>
      <c r="BO269" s="682" t="e">
        <f>CONCATENATE(Z269," ",LOOKUP(D269,'f-travail'!A:A,'f-travail'!F:F))</f>
        <v>#N/A</v>
      </c>
      <c r="BP269" s="669" t="e">
        <f t="shared" si="129"/>
        <v>#N/A</v>
      </c>
    </row>
    <row r="270" spans="1:68">
      <c r="A270" s="636">
        <f t="shared" si="143"/>
        <v>269</v>
      </c>
      <c r="B270" s="637"/>
      <c r="C270" s="637"/>
      <c r="D270" s="652"/>
      <c r="E270" s="679" t="e">
        <f>LOOKUP(D270,'f-travail'!A:A,'f-travail'!B:B)</f>
        <v>#N/A</v>
      </c>
      <c r="F270" s="650"/>
      <c r="G270" s="650"/>
      <c r="H270" s="653"/>
      <c r="I270" s="653"/>
      <c r="J270" s="654"/>
      <c r="K270" s="650"/>
      <c r="L270" s="650"/>
      <c r="M270" s="650">
        <v>0</v>
      </c>
      <c r="N270" s="654"/>
      <c r="O270" s="654"/>
      <c r="P270" s="654"/>
      <c r="Q270" s="654"/>
      <c r="R270" s="676"/>
      <c r="S270" s="654"/>
      <c r="T270" s="675"/>
      <c r="U270" s="675"/>
      <c r="V270" s="670" t="e">
        <f>LOOKUP(D270,'f-travail'!A:A,'f-travail'!E:E)</f>
        <v>#N/A</v>
      </c>
      <c r="W270" s="670" t="e">
        <f>VLOOKUP(V270,جرقمإستدلالي,'f-travail'!$AD$4+1,FALSE)</f>
        <v>#N/A</v>
      </c>
      <c r="X270" s="671" t="e">
        <f t="shared" si="119"/>
        <v>#N/A</v>
      </c>
      <c r="Y270" s="671">
        <f>IF(G270="مدير ولائي",(HLOOKUP(I270,جدروظعليا,'f-travail'!$AT$3+1,FALSE)-3200),0)</f>
        <v>0</v>
      </c>
      <c r="Z270" s="672" t="str">
        <f t="shared" si="130"/>
        <v/>
      </c>
      <c r="AA270" s="671">
        <f t="shared" si="131"/>
        <v>0</v>
      </c>
      <c r="AB270" s="677" t="b">
        <f t="shared" si="120"/>
        <v>0</v>
      </c>
      <c r="AC270" s="678">
        <f t="shared" si="132"/>
        <v>0</v>
      </c>
      <c r="AD270" s="673"/>
      <c r="AE270" s="678">
        <f t="shared" si="121"/>
        <v>0</v>
      </c>
      <c r="AF270" s="678" t="e">
        <f t="shared" si="122"/>
        <v>#N/A</v>
      </c>
      <c r="AG270" s="678" t="e">
        <f t="shared" si="123"/>
        <v>#N/A</v>
      </c>
      <c r="AH270" s="673">
        <f t="shared" si="133"/>
        <v>0</v>
      </c>
      <c r="AI270" s="674" t="e">
        <f>IF(G270="مدير ولائي",(11000*35%),LOOKUP(D270,'f-travail'!A:A,'f-travail'!I:I))</f>
        <v>#N/A</v>
      </c>
      <c r="AJ270" s="673" t="e">
        <f>IF(G270="مدير ولائي",((W270+X270)*45)*80%,IF(V270&lt;8,0,IF(F270="إليزي",(LOOKUP(D270,'f-travail'!A:A,'f-travail'!O:O))*(AF270+AG270),LOOKUP(D270,'f-travail'!A:A,'f-travail'!P:P)*(AF270+AG270))))</f>
        <v>#N/A</v>
      </c>
      <c r="AK270" s="673" t="e">
        <f>IF(G270="مدير ولائي",0,LOOKUP(D270,'f-travail'!A:A,'f-travail'!Q:Q))</f>
        <v>#N/A</v>
      </c>
      <c r="AL270" s="673" t="e">
        <f>IF(G270="مدير ولائي",0,LOOKUP(D270,'f-travail'!A:A,'f-travail'!R:R)*(AF270+AG270))</f>
        <v>#N/A</v>
      </c>
      <c r="AM270" s="673" t="e">
        <f>IF(G270="مدير ولائي",0,LOOKUP(D270,'f-travail'!A:A,'f-travail'!S:S)*(AF270+AG270))</f>
        <v>#N/A</v>
      </c>
      <c r="AN270" s="673" t="e">
        <f>IF(G270="مدير ولائي",0,LOOKUP(D270,'f-travail'!A:A,'f-travail'!T:T)*(AF270+AG270))</f>
        <v>#N/A</v>
      </c>
      <c r="AO270" s="673" t="e">
        <f>IF(G270="مدير ولائي",0,LOOKUP(D270,'f-travail'!A:A,'f-travail'!U:U)*(AF270+AG270))</f>
        <v>#N/A</v>
      </c>
      <c r="AP270" s="673" t="e">
        <f>IF(G270="مدير ولائي",0,LOOKUP(D270,'f-travail'!A:A,'f-travail'!V:V)*(AF270+AG270))</f>
        <v>#N/A</v>
      </c>
      <c r="AQ270" s="673" t="e">
        <f>IF(G270="مدير ولائي",0,LOOKUP(D270,'f-travail'!A:A,'f-travail'!W:W)*(AF270+AG270))</f>
        <v>#N/A</v>
      </c>
      <c r="AR270" s="673">
        <f t="shared" si="134"/>
        <v>0</v>
      </c>
      <c r="AS270" s="673" t="e">
        <f>IF(G270="مدير ولائي",0,LOOKUP(D270,'f-travail'!A:A,'f-travail'!X:X)*(AF270+AG270))</f>
        <v>#N/A</v>
      </c>
      <c r="AT270" s="673" t="e">
        <f>IF(G270="مدير ولائي",0,LOOKUP(D270,'f-travail'!Y:Y,'f-travail'!R:R)*(AF270+AG270))</f>
        <v>#N/A</v>
      </c>
      <c r="AU270" s="673">
        <f t="shared" si="124"/>
        <v>0</v>
      </c>
      <c r="AV270" s="673">
        <f t="shared" si="125"/>
        <v>0</v>
      </c>
      <c r="AW270" s="673">
        <f t="shared" si="126"/>
        <v>0</v>
      </c>
      <c r="AY270" s="640" t="e">
        <f t="shared" si="135"/>
        <v>#N/A</v>
      </c>
      <c r="AZ270" s="673" t="e">
        <f t="shared" si="127"/>
        <v>#N/A</v>
      </c>
      <c r="BA270" s="639" t="e">
        <f t="shared" si="128"/>
        <v>#N/A</v>
      </c>
      <c r="BG270" s="639">
        <f t="shared" si="136"/>
        <v>0</v>
      </c>
      <c r="BH270" s="683">
        <f t="shared" si="137"/>
        <v>0</v>
      </c>
      <c r="BI270" s="683">
        <f t="shared" si="138"/>
        <v>0</v>
      </c>
      <c r="BJ270" s="641" t="e">
        <f t="shared" si="139"/>
        <v>#N/A</v>
      </c>
      <c r="BK270" s="641" t="e">
        <f t="shared" si="140"/>
        <v>#N/A</v>
      </c>
      <c r="BL270" s="641" t="e">
        <f t="shared" si="141"/>
        <v>#N/A</v>
      </c>
      <c r="BM270" s="684" t="e">
        <f t="shared" si="142"/>
        <v>#N/A</v>
      </c>
      <c r="BO270" s="682" t="e">
        <f>CONCATENATE(Z270," ",LOOKUP(D270,'f-travail'!A:A,'f-travail'!F:F))</f>
        <v>#N/A</v>
      </c>
      <c r="BP270" s="669" t="e">
        <f t="shared" si="129"/>
        <v>#N/A</v>
      </c>
    </row>
    <row r="271" spans="1:68">
      <c r="A271" s="636">
        <f t="shared" si="143"/>
        <v>270</v>
      </c>
      <c r="B271" s="637"/>
      <c r="C271" s="637"/>
      <c r="D271" s="652"/>
      <c r="E271" s="679" t="e">
        <f>LOOKUP(D271,'f-travail'!A:A,'f-travail'!B:B)</f>
        <v>#N/A</v>
      </c>
      <c r="F271" s="650"/>
      <c r="G271" s="650"/>
      <c r="H271" s="653"/>
      <c r="I271" s="653"/>
      <c r="J271" s="654"/>
      <c r="K271" s="650"/>
      <c r="L271" s="650"/>
      <c r="M271" s="650">
        <v>0</v>
      </c>
      <c r="N271" s="654"/>
      <c r="O271" s="654"/>
      <c r="P271" s="654"/>
      <c r="Q271" s="654"/>
      <c r="R271" s="676"/>
      <c r="S271" s="654"/>
      <c r="T271" s="675"/>
      <c r="U271" s="675"/>
      <c r="V271" s="670" t="e">
        <f>LOOKUP(D271,'f-travail'!A:A,'f-travail'!E:E)</f>
        <v>#N/A</v>
      </c>
      <c r="W271" s="670" t="e">
        <f>VLOOKUP(V271,جرقمإستدلالي,'f-travail'!$AD$4+1,FALSE)</f>
        <v>#N/A</v>
      </c>
      <c r="X271" s="671" t="e">
        <f t="shared" si="119"/>
        <v>#N/A</v>
      </c>
      <c r="Y271" s="671">
        <f>IF(G271="مدير ولائي",(HLOOKUP(I271,جدروظعليا,'f-travail'!$AT$3+1,FALSE)-3200),0)</f>
        <v>0</v>
      </c>
      <c r="Z271" s="672" t="str">
        <f t="shared" si="130"/>
        <v/>
      </c>
      <c r="AA271" s="671">
        <f t="shared" si="131"/>
        <v>0</v>
      </c>
      <c r="AB271" s="677" t="b">
        <f t="shared" si="120"/>
        <v>0</v>
      </c>
      <c r="AC271" s="678">
        <f t="shared" si="132"/>
        <v>0</v>
      </c>
      <c r="AD271" s="673"/>
      <c r="AE271" s="678">
        <f t="shared" si="121"/>
        <v>0</v>
      </c>
      <c r="AF271" s="678" t="e">
        <f t="shared" si="122"/>
        <v>#N/A</v>
      </c>
      <c r="AG271" s="678" t="e">
        <f t="shared" si="123"/>
        <v>#N/A</v>
      </c>
      <c r="AH271" s="673">
        <f t="shared" si="133"/>
        <v>0</v>
      </c>
      <c r="AI271" s="674" t="e">
        <f>IF(G271="مدير ولائي",(11000*35%),LOOKUP(D271,'f-travail'!A:A,'f-travail'!I:I))</f>
        <v>#N/A</v>
      </c>
      <c r="AJ271" s="673" t="e">
        <f>IF(G271="مدير ولائي",((W271+X271)*45)*80%,IF(V271&lt;8,0,IF(F271="إليزي",(LOOKUP(D271,'f-travail'!A:A,'f-travail'!O:O))*(AF271+AG271),LOOKUP(D271,'f-travail'!A:A,'f-travail'!P:P)*(AF271+AG271))))</f>
        <v>#N/A</v>
      </c>
      <c r="AK271" s="673" t="e">
        <f>IF(G271="مدير ولائي",0,LOOKUP(D271,'f-travail'!A:A,'f-travail'!Q:Q))</f>
        <v>#N/A</v>
      </c>
      <c r="AL271" s="673" t="e">
        <f>IF(G271="مدير ولائي",0,LOOKUP(D271,'f-travail'!A:A,'f-travail'!R:R)*(AF271+AG271))</f>
        <v>#N/A</v>
      </c>
      <c r="AM271" s="673" t="e">
        <f>IF(G271="مدير ولائي",0,LOOKUP(D271,'f-travail'!A:A,'f-travail'!S:S)*(AF271+AG271))</f>
        <v>#N/A</v>
      </c>
      <c r="AN271" s="673" t="e">
        <f>IF(G271="مدير ولائي",0,LOOKUP(D271,'f-travail'!A:A,'f-travail'!T:T)*(AF271+AG271))</f>
        <v>#N/A</v>
      </c>
      <c r="AO271" s="673" t="e">
        <f>IF(G271="مدير ولائي",0,LOOKUP(D271,'f-travail'!A:A,'f-travail'!U:U)*(AF271+AG271))</f>
        <v>#N/A</v>
      </c>
      <c r="AP271" s="673" t="e">
        <f>IF(G271="مدير ولائي",0,LOOKUP(D271,'f-travail'!A:A,'f-travail'!V:V)*(AF271+AG271))</f>
        <v>#N/A</v>
      </c>
      <c r="AQ271" s="673" t="e">
        <f>IF(G271="مدير ولائي",0,LOOKUP(D271,'f-travail'!A:A,'f-travail'!W:W)*(AF271+AG271))</f>
        <v>#N/A</v>
      </c>
      <c r="AR271" s="673">
        <f t="shared" si="134"/>
        <v>0</v>
      </c>
      <c r="AS271" s="673" t="e">
        <f>IF(G271="مدير ولائي",0,LOOKUP(D271,'f-travail'!A:A,'f-travail'!X:X)*(AF271+AG271))</f>
        <v>#N/A</v>
      </c>
      <c r="AT271" s="673" t="e">
        <f>IF(G271="مدير ولائي",0,LOOKUP(D271,'f-travail'!Y:Y,'f-travail'!R:R)*(AF271+AG271))</f>
        <v>#N/A</v>
      </c>
      <c r="AU271" s="673">
        <f t="shared" si="124"/>
        <v>0</v>
      </c>
      <c r="AV271" s="673">
        <f t="shared" si="125"/>
        <v>0</v>
      </c>
      <c r="AW271" s="673">
        <f t="shared" si="126"/>
        <v>0</v>
      </c>
      <c r="AY271" s="640" t="e">
        <f t="shared" si="135"/>
        <v>#N/A</v>
      </c>
      <c r="AZ271" s="673" t="e">
        <f t="shared" si="127"/>
        <v>#N/A</v>
      </c>
      <c r="BA271" s="639" t="e">
        <f t="shared" si="128"/>
        <v>#N/A</v>
      </c>
      <c r="BG271" s="639">
        <f t="shared" si="136"/>
        <v>0</v>
      </c>
      <c r="BH271" s="683">
        <f t="shared" si="137"/>
        <v>0</v>
      </c>
      <c r="BI271" s="683">
        <f t="shared" si="138"/>
        <v>0</v>
      </c>
      <c r="BJ271" s="641" t="e">
        <f t="shared" si="139"/>
        <v>#N/A</v>
      </c>
      <c r="BK271" s="641" t="e">
        <f t="shared" si="140"/>
        <v>#N/A</v>
      </c>
      <c r="BL271" s="641" t="e">
        <f t="shared" si="141"/>
        <v>#N/A</v>
      </c>
      <c r="BM271" s="684" t="e">
        <f t="shared" si="142"/>
        <v>#N/A</v>
      </c>
      <c r="BO271" s="682" t="e">
        <f>CONCATENATE(Z271," ",LOOKUP(D271,'f-travail'!A:A,'f-travail'!F:F))</f>
        <v>#N/A</v>
      </c>
      <c r="BP271" s="669" t="e">
        <f t="shared" si="129"/>
        <v>#N/A</v>
      </c>
    </row>
    <row r="272" spans="1:68">
      <c r="A272" s="636">
        <f t="shared" si="143"/>
        <v>271</v>
      </c>
      <c r="B272" s="637"/>
      <c r="C272" s="637"/>
      <c r="D272" s="652"/>
      <c r="E272" s="679" t="e">
        <f>LOOKUP(D272,'f-travail'!A:A,'f-travail'!B:B)</f>
        <v>#N/A</v>
      </c>
      <c r="F272" s="650"/>
      <c r="G272" s="650"/>
      <c r="H272" s="653"/>
      <c r="I272" s="653"/>
      <c r="J272" s="654"/>
      <c r="K272" s="650"/>
      <c r="L272" s="650"/>
      <c r="M272" s="650">
        <v>0</v>
      </c>
      <c r="N272" s="654"/>
      <c r="O272" s="654"/>
      <c r="P272" s="654"/>
      <c r="Q272" s="654"/>
      <c r="R272" s="676"/>
      <c r="S272" s="654"/>
      <c r="T272" s="675"/>
      <c r="U272" s="675"/>
      <c r="V272" s="670" t="e">
        <f>LOOKUP(D272,'f-travail'!A:A,'f-travail'!E:E)</f>
        <v>#N/A</v>
      </c>
      <c r="W272" s="670" t="e">
        <f>VLOOKUP(V272,جرقمإستدلالي,'f-travail'!$AD$4+1,FALSE)</f>
        <v>#N/A</v>
      </c>
      <c r="X272" s="671" t="e">
        <f t="shared" si="119"/>
        <v>#N/A</v>
      </c>
      <c r="Y272" s="671">
        <f>IF(G272="مدير ولائي",(HLOOKUP(I272,جدروظعليا,'f-travail'!$AT$3+1,FALSE)-3200),0)</f>
        <v>0</v>
      </c>
      <c r="Z272" s="672" t="str">
        <f t="shared" si="130"/>
        <v/>
      </c>
      <c r="AA272" s="671">
        <f t="shared" si="131"/>
        <v>0</v>
      </c>
      <c r="AB272" s="677" t="b">
        <f t="shared" si="120"/>
        <v>0</v>
      </c>
      <c r="AC272" s="678">
        <f t="shared" si="132"/>
        <v>0</v>
      </c>
      <c r="AD272" s="673"/>
      <c r="AE272" s="678">
        <f t="shared" si="121"/>
        <v>0</v>
      </c>
      <c r="AF272" s="678" t="e">
        <f t="shared" si="122"/>
        <v>#N/A</v>
      </c>
      <c r="AG272" s="678" t="e">
        <f t="shared" si="123"/>
        <v>#N/A</v>
      </c>
      <c r="AH272" s="673">
        <f t="shared" si="133"/>
        <v>0</v>
      </c>
      <c r="AI272" s="674" t="e">
        <f>IF(G272="مدير ولائي",(11000*35%),LOOKUP(D272,'f-travail'!A:A,'f-travail'!I:I))</f>
        <v>#N/A</v>
      </c>
      <c r="AJ272" s="673" t="e">
        <f>IF(G272="مدير ولائي",((W272+X272)*45)*80%,IF(V272&lt;8,0,IF(F272="إليزي",(LOOKUP(D272,'f-travail'!A:A,'f-travail'!O:O))*(AF272+AG272),LOOKUP(D272,'f-travail'!A:A,'f-travail'!P:P)*(AF272+AG272))))</f>
        <v>#N/A</v>
      </c>
      <c r="AK272" s="673" t="e">
        <f>IF(G272="مدير ولائي",0,LOOKUP(D272,'f-travail'!A:A,'f-travail'!Q:Q))</f>
        <v>#N/A</v>
      </c>
      <c r="AL272" s="673" t="e">
        <f>IF(G272="مدير ولائي",0,LOOKUP(D272,'f-travail'!A:A,'f-travail'!R:R)*(AF272+AG272))</f>
        <v>#N/A</v>
      </c>
      <c r="AM272" s="673" t="e">
        <f>IF(G272="مدير ولائي",0,LOOKUP(D272,'f-travail'!A:A,'f-travail'!S:S)*(AF272+AG272))</f>
        <v>#N/A</v>
      </c>
      <c r="AN272" s="673" t="e">
        <f>IF(G272="مدير ولائي",0,LOOKUP(D272,'f-travail'!A:A,'f-travail'!T:T)*(AF272+AG272))</f>
        <v>#N/A</v>
      </c>
      <c r="AO272" s="673" t="e">
        <f>IF(G272="مدير ولائي",0,LOOKUP(D272,'f-travail'!A:A,'f-travail'!U:U)*(AF272+AG272))</f>
        <v>#N/A</v>
      </c>
      <c r="AP272" s="673" t="e">
        <f>IF(G272="مدير ولائي",0,LOOKUP(D272,'f-travail'!A:A,'f-travail'!V:V)*(AF272+AG272))</f>
        <v>#N/A</v>
      </c>
      <c r="AQ272" s="673" t="e">
        <f>IF(G272="مدير ولائي",0,LOOKUP(D272,'f-travail'!A:A,'f-travail'!W:W)*(AF272+AG272))</f>
        <v>#N/A</v>
      </c>
      <c r="AR272" s="673">
        <f t="shared" si="134"/>
        <v>0</v>
      </c>
      <c r="AS272" s="673" t="e">
        <f>IF(G272="مدير ولائي",0,LOOKUP(D272,'f-travail'!A:A,'f-travail'!X:X)*(AF272+AG272))</f>
        <v>#N/A</v>
      </c>
      <c r="AT272" s="673" t="e">
        <f>IF(G272="مدير ولائي",0,LOOKUP(D272,'f-travail'!Y:Y,'f-travail'!R:R)*(AF272+AG272))</f>
        <v>#N/A</v>
      </c>
      <c r="AU272" s="673">
        <f t="shared" si="124"/>
        <v>0</v>
      </c>
      <c r="AV272" s="673">
        <f t="shared" si="125"/>
        <v>0</v>
      </c>
      <c r="AW272" s="673">
        <f t="shared" si="126"/>
        <v>0</v>
      </c>
      <c r="AY272" s="640" t="e">
        <f t="shared" si="135"/>
        <v>#N/A</v>
      </c>
      <c r="AZ272" s="673" t="e">
        <f t="shared" si="127"/>
        <v>#N/A</v>
      </c>
      <c r="BA272" s="639" t="e">
        <f t="shared" si="128"/>
        <v>#N/A</v>
      </c>
      <c r="BG272" s="639">
        <f t="shared" si="136"/>
        <v>0</v>
      </c>
      <c r="BH272" s="683">
        <f t="shared" si="137"/>
        <v>0</v>
      </c>
      <c r="BI272" s="683">
        <f t="shared" si="138"/>
        <v>0</v>
      </c>
      <c r="BJ272" s="641" t="e">
        <f t="shared" si="139"/>
        <v>#N/A</v>
      </c>
      <c r="BK272" s="641" t="e">
        <f t="shared" si="140"/>
        <v>#N/A</v>
      </c>
      <c r="BL272" s="641" t="e">
        <f t="shared" si="141"/>
        <v>#N/A</v>
      </c>
      <c r="BM272" s="684" t="e">
        <f t="shared" si="142"/>
        <v>#N/A</v>
      </c>
      <c r="BO272" s="682" t="e">
        <f>CONCATENATE(Z272," ",LOOKUP(D272,'f-travail'!A:A,'f-travail'!F:F))</f>
        <v>#N/A</v>
      </c>
      <c r="BP272" s="669" t="e">
        <f t="shared" si="129"/>
        <v>#N/A</v>
      </c>
    </row>
    <row r="273" spans="1:68">
      <c r="A273" s="636">
        <f t="shared" si="143"/>
        <v>272</v>
      </c>
      <c r="B273" s="637"/>
      <c r="C273" s="637"/>
      <c r="D273" s="652"/>
      <c r="E273" s="679" t="e">
        <f>LOOKUP(D273,'f-travail'!A:A,'f-travail'!B:B)</f>
        <v>#N/A</v>
      </c>
      <c r="F273" s="650"/>
      <c r="G273" s="650"/>
      <c r="H273" s="653"/>
      <c r="I273" s="653"/>
      <c r="J273" s="654"/>
      <c r="K273" s="650"/>
      <c r="L273" s="650"/>
      <c r="M273" s="650">
        <v>0</v>
      </c>
      <c r="N273" s="654"/>
      <c r="O273" s="654"/>
      <c r="P273" s="654"/>
      <c r="Q273" s="654"/>
      <c r="R273" s="676"/>
      <c r="S273" s="654"/>
      <c r="T273" s="675"/>
      <c r="U273" s="675"/>
      <c r="V273" s="670" t="e">
        <f>LOOKUP(D273,'f-travail'!A:A,'f-travail'!E:E)</f>
        <v>#N/A</v>
      </c>
      <c r="W273" s="670" t="e">
        <f>VLOOKUP(V273,جرقمإستدلالي,'f-travail'!$AD$4+1,FALSE)</f>
        <v>#N/A</v>
      </c>
      <c r="X273" s="671" t="e">
        <f t="shared" si="119"/>
        <v>#N/A</v>
      </c>
      <c r="Y273" s="671">
        <f>IF(G273="مدير ولائي",(HLOOKUP(I273,جدروظعليا,'f-travail'!$AT$3+1,FALSE)-3200),0)</f>
        <v>0</v>
      </c>
      <c r="Z273" s="672" t="str">
        <f t="shared" si="130"/>
        <v/>
      </c>
      <c r="AA273" s="671">
        <f t="shared" si="131"/>
        <v>0</v>
      </c>
      <c r="AB273" s="677" t="b">
        <f t="shared" si="120"/>
        <v>0</v>
      </c>
      <c r="AC273" s="678">
        <f t="shared" si="132"/>
        <v>0</v>
      </c>
      <c r="AD273" s="673"/>
      <c r="AE273" s="678">
        <f t="shared" si="121"/>
        <v>0</v>
      </c>
      <c r="AF273" s="678" t="e">
        <f t="shared" si="122"/>
        <v>#N/A</v>
      </c>
      <c r="AG273" s="678" t="e">
        <f t="shared" si="123"/>
        <v>#N/A</v>
      </c>
      <c r="AH273" s="673">
        <f t="shared" si="133"/>
        <v>0</v>
      </c>
      <c r="AI273" s="674" t="e">
        <f>IF(G273="مدير ولائي",(11000*35%),LOOKUP(D273,'f-travail'!A:A,'f-travail'!I:I))</f>
        <v>#N/A</v>
      </c>
      <c r="AJ273" s="673" t="e">
        <f>IF(G273="مدير ولائي",((W273+X273)*45)*80%,IF(V273&lt;8,0,IF(F273="إليزي",(LOOKUP(D273,'f-travail'!A:A,'f-travail'!O:O))*(AF273+AG273),LOOKUP(D273,'f-travail'!A:A,'f-travail'!P:P)*(AF273+AG273))))</f>
        <v>#N/A</v>
      </c>
      <c r="AK273" s="673" t="e">
        <f>IF(G273="مدير ولائي",0,LOOKUP(D273,'f-travail'!A:A,'f-travail'!Q:Q))</f>
        <v>#N/A</v>
      </c>
      <c r="AL273" s="673" t="e">
        <f>IF(G273="مدير ولائي",0,LOOKUP(D273,'f-travail'!A:A,'f-travail'!R:R)*(AF273+AG273))</f>
        <v>#N/A</v>
      </c>
      <c r="AM273" s="673" t="e">
        <f>IF(G273="مدير ولائي",0,LOOKUP(D273,'f-travail'!A:A,'f-travail'!S:S)*(AF273+AG273))</f>
        <v>#N/A</v>
      </c>
      <c r="AN273" s="673" t="e">
        <f>IF(G273="مدير ولائي",0,LOOKUP(D273,'f-travail'!A:A,'f-travail'!T:T)*(AF273+AG273))</f>
        <v>#N/A</v>
      </c>
      <c r="AO273" s="673" t="e">
        <f>IF(G273="مدير ولائي",0,LOOKUP(D273,'f-travail'!A:A,'f-travail'!U:U)*(AF273+AG273))</f>
        <v>#N/A</v>
      </c>
      <c r="AP273" s="673" t="e">
        <f>IF(G273="مدير ولائي",0,LOOKUP(D273,'f-travail'!A:A,'f-travail'!V:V)*(AF273+AG273))</f>
        <v>#N/A</v>
      </c>
      <c r="AQ273" s="673" t="e">
        <f>IF(G273="مدير ولائي",0,LOOKUP(D273,'f-travail'!A:A,'f-travail'!W:W)*(AF273+AG273))</f>
        <v>#N/A</v>
      </c>
      <c r="AR273" s="673">
        <f t="shared" si="134"/>
        <v>0</v>
      </c>
      <c r="AS273" s="673" t="e">
        <f>IF(G273="مدير ولائي",0,LOOKUP(D273,'f-travail'!A:A,'f-travail'!X:X)*(AF273+AG273))</f>
        <v>#N/A</v>
      </c>
      <c r="AT273" s="673" t="e">
        <f>IF(G273="مدير ولائي",0,LOOKUP(D273,'f-travail'!Y:Y,'f-travail'!R:R)*(AF273+AG273))</f>
        <v>#N/A</v>
      </c>
      <c r="AU273" s="673">
        <f t="shared" si="124"/>
        <v>0</v>
      </c>
      <c r="AV273" s="673">
        <f t="shared" si="125"/>
        <v>0</v>
      </c>
      <c r="AW273" s="673">
        <f t="shared" si="126"/>
        <v>0</v>
      </c>
      <c r="AY273" s="640" t="e">
        <f t="shared" si="135"/>
        <v>#N/A</v>
      </c>
      <c r="AZ273" s="673" t="e">
        <f t="shared" si="127"/>
        <v>#N/A</v>
      </c>
      <c r="BA273" s="639" t="e">
        <f t="shared" si="128"/>
        <v>#N/A</v>
      </c>
      <c r="BG273" s="639">
        <f t="shared" si="136"/>
        <v>0</v>
      </c>
      <c r="BH273" s="683">
        <f t="shared" si="137"/>
        <v>0</v>
      </c>
      <c r="BI273" s="683">
        <f t="shared" si="138"/>
        <v>0</v>
      </c>
      <c r="BJ273" s="641" t="e">
        <f t="shared" si="139"/>
        <v>#N/A</v>
      </c>
      <c r="BK273" s="641" t="e">
        <f t="shared" si="140"/>
        <v>#N/A</v>
      </c>
      <c r="BL273" s="641" t="e">
        <f t="shared" si="141"/>
        <v>#N/A</v>
      </c>
      <c r="BM273" s="684" t="e">
        <f t="shared" si="142"/>
        <v>#N/A</v>
      </c>
      <c r="BO273" s="682" t="e">
        <f>CONCATENATE(Z273," ",LOOKUP(D273,'f-travail'!A:A,'f-travail'!F:F))</f>
        <v>#N/A</v>
      </c>
      <c r="BP273" s="669" t="e">
        <f t="shared" si="129"/>
        <v>#N/A</v>
      </c>
    </row>
    <row r="274" spans="1:68">
      <c r="A274" s="636">
        <f t="shared" si="143"/>
        <v>273</v>
      </c>
      <c r="B274" s="637"/>
      <c r="C274" s="637"/>
      <c r="D274" s="652"/>
      <c r="E274" s="679" t="e">
        <f>LOOKUP(D274,'f-travail'!A:A,'f-travail'!B:B)</f>
        <v>#N/A</v>
      </c>
      <c r="F274" s="650"/>
      <c r="G274" s="650"/>
      <c r="H274" s="653"/>
      <c r="I274" s="653"/>
      <c r="J274" s="654"/>
      <c r="K274" s="650"/>
      <c r="L274" s="650"/>
      <c r="M274" s="650">
        <v>0</v>
      </c>
      <c r="N274" s="654"/>
      <c r="O274" s="654"/>
      <c r="P274" s="654"/>
      <c r="Q274" s="654"/>
      <c r="R274" s="676"/>
      <c r="S274" s="654"/>
      <c r="T274" s="675"/>
      <c r="U274" s="675"/>
      <c r="V274" s="670" t="e">
        <f>LOOKUP(D274,'f-travail'!A:A,'f-travail'!E:E)</f>
        <v>#N/A</v>
      </c>
      <c r="W274" s="670" t="e">
        <f>VLOOKUP(V274,جرقمإستدلالي,'f-travail'!$AD$4+1,FALSE)</f>
        <v>#N/A</v>
      </c>
      <c r="X274" s="671" t="e">
        <f t="shared" si="119"/>
        <v>#N/A</v>
      </c>
      <c r="Y274" s="671">
        <f>IF(G274="مدير ولائي",(HLOOKUP(I274,جدروظعليا,'f-travail'!$AT$3+1,FALSE)-3200),0)</f>
        <v>0</v>
      </c>
      <c r="Z274" s="672" t="str">
        <f t="shared" si="130"/>
        <v/>
      </c>
      <c r="AA274" s="671">
        <f t="shared" si="131"/>
        <v>0</v>
      </c>
      <c r="AB274" s="677" t="b">
        <f t="shared" si="120"/>
        <v>0</v>
      </c>
      <c r="AC274" s="678">
        <f t="shared" si="132"/>
        <v>0</v>
      </c>
      <c r="AD274" s="673"/>
      <c r="AE274" s="678">
        <f t="shared" si="121"/>
        <v>0</v>
      </c>
      <c r="AF274" s="678" t="e">
        <f t="shared" si="122"/>
        <v>#N/A</v>
      </c>
      <c r="AG274" s="678" t="e">
        <f t="shared" si="123"/>
        <v>#N/A</v>
      </c>
      <c r="AH274" s="673">
        <f t="shared" si="133"/>
        <v>0</v>
      </c>
      <c r="AI274" s="674" t="e">
        <f>IF(G274="مدير ولائي",(11000*35%),LOOKUP(D274,'f-travail'!A:A,'f-travail'!I:I))</f>
        <v>#N/A</v>
      </c>
      <c r="AJ274" s="673" t="e">
        <f>IF(G274="مدير ولائي",((W274+X274)*45)*80%,IF(V274&lt;8,0,IF(F274="إليزي",(LOOKUP(D274,'f-travail'!A:A,'f-travail'!O:O))*(AF274+AG274),LOOKUP(D274,'f-travail'!A:A,'f-travail'!P:P)*(AF274+AG274))))</f>
        <v>#N/A</v>
      </c>
      <c r="AK274" s="673" t="e">
        <f>IF(G274="مدير ولائي",0,LOOKUP(D274,'f-travail'!A:A,'f-travail'!Q:Q))</f>
        <v>#N/A</v>
      </c>
      <c r="AL274" s="673" t="e">
        <f>IF(G274="مدير ولائي",0,LOOKUP(D274,'f-travail'!A:A,'f-travail'!R:R)*(AF274+AG274))</f>
        <v>#N/A</v>
      </c>
      <c r="AM274" s="673" t="e">
        <f>IF(G274="مدير ولائي",0,LOOKUP(D274,'f-travail'!A:A,'f-travail'!S:S)*(AF274+AG274))</f>
        <v>#N/A</v>
      </c>
      <c r="AN274" s="673" t="e">
        <f>IF(G274="مدير ولائي",0,LOOKUP(D274,'f-travail'!A:A,'f-travail'!T:T)*(AF274+AG274))</f>
        <v>#N/A</v>
      </c>
      <c r="AO274" s="673" t="e">
        <f>IF(G274="مدير ولائي",0,LOOKUP(D274,'f-travail'!A:A,'f-travail'!U:U)*(AF274+AG274))</f>
        <v>#N/A</v>
      </c>
      <c r="AP274" s="673" t="e">
        <f>IF(G274="مدير ولائي",0,LOOKUP(D274,'f-travail'!A:A,'f-travail'!V:V)*(AF274+AG274))</f>
        <v>#N/A</v>
      </c>
      <c r="AQ274" s="673" t="e">
        <f>IF(G274="مدير ولائي",0,LOOKUP(D274,'f-travail'!A:A,'f-travail'!W:W)*(AF274+AG274))</f>
        <v>#N/A</v>
      </c>
      <c r="AR274" s="673">
        <f t="shared" si="134"/>
        <v>0</v>
      </c>
      <c r="AS274" s="673" t="e">
        <f>IF(G274="مدير ولائي",0,LOOKUP(D274,'f-travail'!A:A,'f-travail'!X:X)*(AF274+AG274))</f>
        <v>#N/A</v>
      </c>
      <c r="AT274" s="673" t="e">
        <f>IF(G274="مدير ولائي",0,LOOKUP(D274,'f-travail'!Y:Y,'f-travail'!R:R)*(AF274+AG274))</f>
        <v>#N/A</v>
      </c>
      <c r="AU274" s="673">
        <f t="shared" si="124"/>
        <v>0</v>
      </c>
      <c r="AV274" s="673">
        <f t="shared" si="125"/>
        <v>0</v>
      </c>
      <c r="AW274" s="673">
        <f t="shared" si="126"/>
        <v>0</v>
      </c>
      <c r="AY274" s="640" t="e">
        <f t="shared" si="135"/>
        <v>#N/A</v>
      </c>
      <c r="AZ274" s="673" t="e">
        <f t="shared" si="127"/>
        <v>#N/A</v>
      </c>
      <c r="BA274" s="639" t="e">
        <f t="shared" si="128"/>
        <v>#N/A</v>
      </c>
      <c r="BG274" s="639">
        <f t="shared" si="136"/>
        <v>0</v>
      </c>
      <c r="BH274" s="683">
        <f t="shared" si="137"/>
        <v>0</v>
      </c>
      <c r="BI274" s="683">
        <f t="shared" si="138"/>
        <v>0</v>
      </c>
      <c r="BJ274" s="641" t="e">
        <f t="shared" si="139"/>
        <v>#N/A</v>
      </c>
      <c r="BK274" s="641" t="e">
        <f t="shared" si="140"/>
        <v>#N/A</v>
      </c>
      <c r="BL274" s="641" t="e">
        <f t="shared" si="141"/>
        <v>#N/A</v>
      </c>
      <c r="BM274" s="684" t="e">
        <f t="shared" si="142"/>
        <v>#N/A</v>
      </c>
      <c r="BO274" s="682" t="e">
        <f>CONCATENATE(Z274," ",LOOKUP(D274,'f-travail'!A:A,'f-travail'!F:F))</f>
        <v>#N/A</v>
      </c>
      <c r="BP274" s="669" t="e">
        <f t="shared" si="129"/>
        <v>#N/A</v>
      </c>
    </row>
    <row r="275" spans="1:68">
      <c r="A275" s="636">
        <f t="shared" si="143"/>
        <v>274</v>
      </c>
      <c r="B275" s="637"/>
      <c r="C275" s="637"/>
      <c r="D275" s="652"/>
      <c r="E275" s="679" t="e">
        <f>LOOKUP(D275,'f-travail'!A:A,'f-travail'!B:B)</f>
        <v>#N/A</v>
      </c>
      <c r="F275" s="650"/>
      <c r="G275" s="650"/>
      <c r="H275" s="653"/>
      <c r="I275" s="653"/>
      <c r="J275" s="654"/>
      <c r="K275" s="650"/>
      <c r="L275" s="650"/>
      <c r="M275" s="650">
        <v>0</v>
      </c>
      <c r="N275" s="654"/>
      <c r="O275" s="654"/>
      <c r="P275" s="654"/>
      <c r="Q275" s="654"/>
      <c r="R275" s="676"/>
      <c r="S275" s="654"/>
      <c r="T275" s="675"/>
      <c r="U275" s="675"/>
      <c r="V275" s="670" t="e">
        <f>LOOKUP(D275,'f-travail'!A:A,'f-travail'!E:E)</f>
        <v>#N/A</v>
      </c>
      <c r="W275" s="670" t="e">
        <f>VLOOKUP(V275,جرقمإستدلالي,'f-travail'!$AD$4+1,FALSE)</f>
        <v>#N/A</v>
      </c>
      <c r="X275" s="671" t="e">
        <f t="shared" si="119"/>
        <v>#N/A</v>
      </c>
      <c r="Y275" s="671">
        <f>IF(G275="مدير ولائي",(HLOOKUP(I275,جدروظعليا,'f-travail'!$AT$3+1,FALSE)-3200),0)</f>
        <v>0</v>
      </c>
      <c r="Z275" s="672" t="str">
        <f t="shared" si="130"/>
        <v/>
      </c>
      <c r="AA275" s="671">
        <f t="shared" si="131"/>
        <v>0</v>
      </c>
      <c r="AB275" s="677" t="b">
        <f t="shared" si="120"/>
        <v>0</v>
      </c>
      <c r="AC275" s="678">
        <f t="shared" si="132"/>
        <v>0</v>
      </c>
      <c r="AD275" s="673"/>
      <c r="AE275" s="678">
        <f t="shared" si="121"/>
        <v>0</v>
      </c>
      <c r="AF275" s="678" t="e">
        <f t="shared" si="122"/>
        <v>#N/A</v>
      </c>
      <c r="AG275" s="678" t="e">
        <f t="shared" si="123"/>
        <v>#N/A</v>
      </c>
      <c r="AH275" s="673">
        <f t="shared" si="133"/>
        <v>0</v>
      </c>
      <c r="AI275" s="674" t="e">
        <f>IF(G275="مدير ولائي",(11000*35%),LOOKUP(D275,'f-travail'!A:A,'f-travail'!I:I))</f>
        <v>#N/A</v>
      </c>
      <c r="AJ275" s="673" t="e">
        <f>IF(G275="مدير ولائي",((W275+X275)*45)*80%,IF(V275&lt;8,0,IF(F275="إليزي",(LOOKUP(D275,'f-travail'!A:A,'f-travail'!O:O))*(AF275+AG275),LOOKUP(D275,'f-travail'!A:A,'f-travail'!P:P)*(AF275+AG275))))</f>
        <v>#N/A</v>
      </c>
      <c r="AK275" s="673" t="e">
        <f>IF(G275="مدير ولائي",0,LOOKUP(D275,'f-travail'!A:A,'f-travail'!Q:Q))</f>
        <v>#N/A</v>
      </c>
      <c r="AL275" s="673" t="e">
        <f>IF(G275="مدير ولائي",0,LOOKUP(D275,'f-travail'!A:A,'f-travail'!R:R)*(AF275+AG275))</f>
        <v>#N/A</v>
      </c>
      <c r="AM275" s="673" t="e">
        <f>IF(G275="مدير ولائي",0,LOOKUP(D275,'f-travail'!A:A,'f-travail'!S:S)*(AF275+AG275))</f>
        <v>#N/A</v>
      </c>
      <c r="AN275" s="673" t="e">
        <f>IF(G275="مدير ولائي",0,LOOKUP(D275,'f-travail'!A:A,'f-travail'!T:T)*(AF275+AG275))</f>
        <v>#N/A</v>
      </c>
      <c r="AO275" s="673" t="e">
        <f>IF(G275="مدير ولائي",0,LOOKUP(D275,'f-travail'!A:A,'f-travail'!U:U)*(AF275+AG275))</f>
        <v>#N/A</v>
      </c>
      <c r="AP275" s="673" t="e">
        <f>IF(G275="مدير ولائي",0,LOOKUP(D275,'f-travail'!A:A,'f-travail'!V:V)*(AF275+AG275))</f>
        <v>#N/A</v>
      </c>
      <c r="AQ275" s="673" t="e">
        <f>IF(G275="مدير ولائي",0,LOOKUP(D275,'f-travail'!A:A,'f-travail'!W:W)*(AF275+AG275))</f>
        <v>#N/A</v>
      </c>
      <c r="AR275" s="673">
        <f t="shared" si="134"/>
        <v>0</v>
      </c>
      <c r="AS275" s="673" t="e">
        <f>IF(G275="مدير ولائي",0,LOOKUP(D275,'f-travail'!A:A,'f-travail'!X:X)*(AF275+AG275))</f>
        <v>#N/A</v>
      </c>
      <c r="AT275" s="673" t="e">
        <f>IF(G275="مدير ولائي",0,LOOKUP(D275,'f-travail'!Y:Y,'f-travail'!R:R)*(AF275+AG275))</f>
        <v>#N/A</v>
      </c>
      <c r="AU275" s="673">
        <f t="shared" si="124"/>
        <v>0</v>
      </c>
      <c r="AV275" s="673">
        <f t="shared" si="125"/>
        <v>0</v>
      </c>
      <c r="AW275" s="673">
        <f t="shared" si="126"/>
        <v>0</v>
      </c>
      <c r="AY275" s="640" t="e">
        <f t="shared" si="135"/>
        <v>#N/A</v>
      </c>
      <c r="AZ275" s="673" t="e">
        <f t="shared" si="127"/>
        <v>#N/A</v>
      </c>
      <c r="BA275" s="639" t="e">
        <f t="shared" si="128"/>
        <v>#N/A</v>
      </c>
      <c r="BG275" s="639">
        <f t="shared" si="136"/>
        <v>0</v>
      </c>
      <c r="BH275" s="683">
        <f t="shared" si="137"/>
        <v>0</v>
      </c>
      <c r="BI275" s="683">
        <f t="shared" si="138"/>
        <v>0</v>
      </c>
      <c r="BJ275" s="641" t="e">
        <f t="shared" si="139"/>
        <v>#N/A</v>
      </c>
      <c r="BK275" s="641" t="e">
        <f t="shared" si="140"/>
        <v>#N/A</v>
      </c>
      <c r="BL275" s="641" t="e">
        <f t="shared" si="141"/>
        <v>#N/A</v>
      </c>
      <c r="BM275" s="684" t="e">
        <f t="shared" si="142"/>
        <v>#N/A</v>
      </c>
      <c r="BO275" s="682" t="e">
        <f>CONCATENATE(Z275," ",LOOKUP(D275,'f-travail'!A:A,'f-travail'!F:F))</f>
        <v>#N/A</v>
      </c>
      <c r="BP275" s="669" t="e">
        <f t="shared" si="129"/>
        <v>#N/A</v>
      </c>
    </row>
    <row r="276" spans="1:68">
      <c r="A276" s="636">
        <f t="shared" si="143"/>
        <v>275</v>
      </c>
      <c r="B276" s="637"/>
      <c r="C276" s="637"/>
      <c r="D276" s="652"/>
      <c r="E276" s="679" t="e">
        <f>LOOKUP(D276,'f-travail'!A:A,'f-travail'!B:B)</f>
        <v>#N/A</v>
      </c>
      <c r="F276" s="650"/>
      <c r="G276" s="650"/>
      <c r="H276" s="653"/>
      <c r="I276" s="653"/>
      <c r="J276" s="654"/>
      <c r="K276" s="650"/>
      <c r="L276" s="650"/>
      <c r="M276" s="650">
        <v>0</v>
      </c>
      <c r="N276" s="654"/>
      <c r="O276" s="654"/>
      <c r="P276" s="654"/>
      <c r="Q276" s="654"/>
      <c r="R276" s="676"/>
      <c r="S276" s="654"/>
      <c r="T276" s="675"/>
      <c r="U276" s="675"/>
      <c r="V276" s="670" t="e">
        <f>LOOKUP(D276,'f-travail'!A:A,'f-travail'!E:E)</f>
        <v>#N/A</v>
      </c>
      <c r="W276" s="670" t="e">
        <f>VLOOKUP(V276,جرقمإستدلالي,'f-travail'!$AD$4+1,FALSE)</f>
        <v>#N/A</v>
      </c>
      <c r="X276" s="671" t="e">
        <f t="shared" si="119"/>
        <v>#N/A</v>
      </c>
      <c r="Y276" s="671">
        <f>IF(G276="مدير ولائي",(HLOOKUP(I276,جدروظعليا,'f-travail'!$AT$3+1,FALSE)-3200),0)</f>
        <v>0</v>
      </c>
      <c r="Z276" s="672" t="str">
        <f t="shared" si="130"/>
        <v/>
      </c>
      <c r="AA276" s="671">
        <f t="shared" si="131"/>
        <v>0</v>
      </c>
      <c r="AB276" s="677" t="b">
        <f t="shared" si="120"/>
        <v>0</v>
      </c>
      <c r="AC276" s="678">
        <f t="shared" si="132"/>
        <v>0</v>
      </c>
      <c r="AD276" s="673"/>
      <c r="AE276" s="678">
        <f t="shared" si="121"/>
        <v>0</v>
      </c>
      <c r="AF276" s="678" t="e">
        <f t="shared" si="122"/>
        <v>#N/A</v>
      </c>
      <c r="AG276" s="678" t="e">
        <f t="shared" si="123"/>
        <v>#N/A</v>
      </c>
      <c r="AH276" s="673">
        <f t="shared" si="133"/>
        <v>0</v>
      </c>
      <c r="AI276" s="674" t="e">
        <f>IF(G276="مدير ولائي",(11000*35%),LOOKUP(D276,'f-travail'!A:A,'f-travail'!I:I))</f>
        <v>#N/A</v>
      </c>
      <c r="AJ276" s="673" t="e">
        <f>IF(G276="مدير ولائي",((W276+X276)*45)*80%,IF(V276&lt;8,0,IF(F276="إليزي",(LOOKUP(D276,'f-travail'!A:A,'f-travail'!O:O))*(AF276+AG276),LOOKUP(D276,'f-travail'!A:A,'f-travail'!P:P)*(AF276+AG276))))</f>
        <v>#N/A</v>
      </c>
      <c r="AK276" s="673" t="e">
        <f>IF(G276="مدير ولائي",0,LOOKUP(D276,'f-travail'!A:A,'f-travail'!Q:Q))</f>
        <v>#N/A</v>
      </c>
      <c r="AL276" s="673" t="e">
        <f>IF(G276="مدير ولائي",0,LOOKUP(D276,'f-travail'!A:A,'f-travail'!R:R)*(AF276+AG276))</f>
        <v>#N/A</v>
      </c>
      <c r="AM276" s="673" t="e">
        <f>IF(G276="مدير ولائي",0,LOOKUP(D276,'f-travail'!A:A,'f-travail'!S:S)*(AF276+AG276))</f>
        <v>#N/A</v>
      </c>
      <c r="AN276" s="673" t="e">
        <f>IF(G276="مدير ولائي",0,LOOKUP(D276,'f-travail'!A:A,'f-travail'!T:T)*(AF276+AG276))</f>
        <v>#N/A</v>
      </c>
      <c r="AO276" s="673" t="e">
        <f>IF(G276="مدير ولائي",0,LOOKUP(D276,'f-travail'!A:A,'f-travail'!U:U)*(AF276+AG276))</f>
        <v>#N/A</v>
      </c>
      <c r="AP276" s="673" t="e">
        <f>IF(G276="مدير ولائي",0,LOOKUP(D276,'f-travail'!A:A,'f-travail'!V:V)*(AF276+AG276))</f>
        <v>#N/A</v>
      </c>
      <c r="AQ276" s="673" t="e">
        <f>IF(G276="مدير ولائي",0,LOOKUP(D276,'f-travail'!A:A,'f-travail'!W:W)*(AF276+AG276))</f>
        <v>#N/A</v>
      </c>
      <c r="AR276" s="673">
        <f t="shared" si="134"/>
        <v>0</v>
      </c>
      <c r="AS276" s="673" t="e">
        <f>IF(G276="مدير ولائي",0,LOOKUP(D276,'f-travail'!A:A,'f-travail'!X:X)*(AF276+AG276))</f>
        <v>#N/A</v>
      </c>
      <c r="AT276" s="673" t="e">
        <f>IF(G276="مدير ولائي",0,LOOKUP(D276,'f-travail'!Y:Y,'f-travail'!R:R)*(AF276+AG276))</f>
        <v>#N/A</v>
      </c>
      <c r="AU276" s="673">
        <f t="shared" si="124"/>
        <v>0</v>
      </c>
      <c r="AV276" s="673">
        <f t="shared" si="125"/>
        <v>0</v>
      </c>
      <c r="AW276" s="673">
        <f t="shared" si="126"/>
        <v>0</v>
      </c>
      <c r="AY276" s="640" t="e">
        <f t="shared" si="135"/>
        <v>#N/A</v>
      </c>
      <c r="AZ276" s="673" t="e">
        <f t="shared" si="127"/>
        <v>#N/A</v>
      </c>
      <c r="BA276" s="639" t="e">
        <f t="shared" si="128"/>
        <v>#N/A</v>
      </c>
      <c r="BG276" s="639">
        <f t="shared" si="136"/>
        <v>0</v>
      </c>
      <c r="BH276" s="683">
        <f t="shared" si="137"/>
        <v>0</v>
      </c>
      <c r="BI276" s="683">
        <f t="shared" si="138"/>
        <v>0</v>
      </c>
      <c r="BJ276" s="641" t="e">
        <f t="shared" si="139"/>
        <v>#N/A</v>
      </c>
      <c r="BK276" s="641" t="e">
        <f t="shared" si="140"/>
        <v>#N/A</v>
      </c>
      <c r="BL276" s="641" t="e">
        <f t="shared" si="141"/>
        <v>#N/A</v>
      </c>
      <c r="BM276" s="684" t="e">
        <f t="shared" si="142"/>
        <v>#N/A</v>
      </c>
      <c r="BO276" s="682" t="e">
        <f>CONCATENATE(Z276," ",LOOKUP(D276,'f-travail'!A:A,'f-travail'!F:F))</f>
        <v>#N/A</v>
      </c>
      <c r="BP276" s="669" t="e">
        <f t="shared" si="129"/>
        <v>#N/A</v>
      </c>
    </row>
    <row r="277" spans="1:68">
      <c r="A277" s="636">
        <f t="shared" si="143"/>
        <v>276</v>
      </c>
      <c r="B277" s="637"/>
      <c r="C277" s="637"/>
      <c r="D277" s="652"/>
      <c r="E277" s="679" t="e">
        <f>LOOKUP(D277,'f-travail'!A:A,'f-travail'!B:B)</f>
        <v>#N/A</v>
      </c>
      <c r="F277" s="650"/>
      <c r="G277" s="650"/>
      <c r="H277" s="653"/>
      <c r="I277" s="653"/>
      <c r="J277" s="654"/>
      <c r="K277" s="650"/>
      <c r="L277" s="650"/>
      <c r="M277" s="650">
        <v>0</v>
      </c>
      <c r="N277" s="654"/>
      <c r="O277" s="654"/>
      <c r="P277" s="654"/>
      <c r="Q277" s="654"/>
      <c r="R277" s="676"/>
      <c r="S277" s="654"/>
      <c r="T277" s="675"/>
      <c r="U277" s="675"/>
      <c r="V277" s="670" t="e">
        <f>LOOKUP(D277,'f-travail'!A:A,'f-travail'!E:E)</f>
        <v>#N/A</v>
      </c>
      <c r="W277" s="670" t="e">
        <f>VLOOKUP(V277,جرقمإستدلالي,'f-travail'!$AD$4+1,FALSE)</f>
        <v>#N/A</v>
      </c>
      <c r="X277" s="671" t="e">
        <f t="shared" si="119"/>
        <v>#N/A</v>
      </c>
      <c r="Y277" s="671">
        <f>IF(G277="مدير ولائي",(HLOOKUP(I277,جدروظعليا,'f-travail'!$AT$3+1,FALSE)-3200),0)</f>
        <v>0</v>
      </c>
      <c r="Z277" s="672" t="str">
        <f t="shared" si="130"/>
        <v/>
      </c>
      <c r="AA277" s="671">
        <f t="shared" si="131"/>
        <v>0</v>
      </c>
      <c r="AB277" s="677" t="b">
        <f t="shared" si="120"/>
        <v>0</v>
      </c>
      <c r="AC277" s="678">
        <f t="shared" si="132"/>
        <v>0</v>
      </c>
      <c r="AD277" s="673"/>
      <c r="AE277" s="678">
        <f t="shared" si="121"/>
        <v>0</v>
      </c>
      <c r="AF277" s="678" t="e">
        <f t="shared" si="122"/>
        <v>#N/A</v>
      </c>
      <c r="AG277" s="678" t="e">
        <f t="shared" si="123"/>
        <v>#N/A</v>
      </c>
      <c r="AH277" s="673">
        <f t="shared" si="133"/>
        <v>0</v>
      </c>
      <c r="AI277" s="674" t="e">
        <f>IF(G277="مدير ولائي",(11000*35%),LOOKUP(D277,'f-travail'!A:A,'f-travail'!I:I))</f>
        <v>#N/A</v>
      </c>
      <c r="AJ277" s="673" t="e">
        <f>IF(G277="مدير ولائي",((W277+X277)*45)*80%,IF(V277&lt;8,0,IF(F277="إليزي",(LOOKUP(D277,'f-travail'!A:A,'f-travail'!O:O))*(AF277+AG277),LOOKUP(D277,'f-travail'!A:A,'f-travail'!P:P)*(AF277+AG277))))</f>
        <v>#N/A</v>
      </c>
      <c r="AK277" s="673" t="e">
        <f>IF(G277="مدير ولائي",0,LOOKUP(D277,'f-travail'!A:A,'f-travail'!Q:Q))</f>
        <v>#N/A</v>
      </c>
      <c r="AL277" s="673" t="e">
        <f>IF(G277="مدير ولائي",0,LOOKUP(D277,'f-travail'!A:A,'f-travail'!R:R)*(AF277+AG277))</f>
        <v>#N/A</v>
      </c>
      <c r="AM277" s="673" t="e">
        <f>IF(G277="مدير ولائي",0,LOOKUP(D277,'f-travail'!A:A,'f-travail'!S:S)*(AF277+AG277))</f>
        <v>#N/A</v>
      </c>
      <c r="AN277" s="673" t="e">
        <f>IF(G277="مدير ولائي",0,LOOKUP(D277,'f-travail'!A:A,'f-travail'!T:T)*(AF277+AG277))</f>
        <v>#N/A</v>
      </c>
      <c r="AO277" s="673" t="e">
        <f>IF(G277="مدير ولائي",0,LOOKUP(D277,'f-travail'!A:A,'f-travail'!U:U)*(AF277+AG277))</f>
        <v>#N/A</v>
      </c>
      <c r="AP277" s="673" t="e">
        <f>IF(G277="مدير ولائي",0,LOOKUP(D277,'f-travail'!A:A,'f-travail'!V:V)*(AF277+AG277))</f>
        <v>#N/A</v>
      </c>
      <c r="AQ277" s="673" t="e">
        <f>IF(G277="مدير ولائي",0,LOOKUP(D277,'f-travail'!A:A,'f-travail'!W:W)*(AF277+AG277))</f>
        <v>#N/A</v>
      </c>
      <c r="AR277" s="673">
        <f t="shared" si="134"/>
        <v>0</v>
      </c>
      <c r="AS277" s="673" t="e">
        <f>IF(G277="مدير ولائي",0,LOOKUP(D277,'f-travail'!A:A,'f-travail'!X:X)*(AF277+AG277))</f>
        <v>#N/A</v>
      </c>
      <c r="AT277" s="673" t="e">
        <f>IF(G277="مدير ولائي",0,LOOKUP(D277,'f-travail'!Y:Y,'f-travail'!R:R)*(AF277+AG277))</f>
        <v>#N/A</v>
      </c>
      <c r="AU277" s="673">
        <f t="shared" si="124"/>
        <v>0</v>
      </c>
      <c r="AV277" s="673">
        <f t="shared" si="125"/>
        <v>0</v>
      </c>
      <c r="AW277" s="673">
        <f t="shared" si="126"/>
        <v>0</v>
      </c>
      <c r="AY277" s="640" t="e">
        <f t="shared" si="135"/>
        <v>#N/A</v>
      </c>
      <c r="AZ277" s="673" t="e">
        <f t="shared" si="127"/>
        <v>#N/A</v>
      </c>
      <c r="BA277" s="639" t="e">
        <f t="shared" si="128"/>
        <v>#N/A</v>
      </c>
      <c r="BG277" s="639">
        <f t="shared" si="136"/>
        <v>0</v>
      </c>
      <c r="BH277" s="683">
        <f t="shared" si="137"/>
        <v>0</v>
      </c>
      <c r="BI277" s="683">
        <f t="shared" si="138"/>
        <v>0</v>
      </c>
      <c r="BJ277" s="641" t="e">
        <f t="shared" si="139"/>
        <v>#N/A</v>
      </c>
      <c r="BK277" s="641" t="e">
        <f t="shared" si="140"/>
        <v>#N/A</v>
      </c>
      <c r="BL277" s="641" t="e">
        <f t="shared" si="141"/>
        <v>#N/A</v>
      </c>
      <c r="BM277" s="684" t="e">
        <f t="shared" si="142"/>
        <v>#N/A</v>
      </c>
      <c r="BO277" s="682" t="e">
        <f>CONCATENATE(Z277," ",LOOKUP(D277,'f-travail'!A:A,'f-travail'!F:F))</f>
        <v>#N/A</v>
      </c>
      <c r="BP277" s="669" t="e">
        <f t="shared" si="129"/>
        <v>#N/A</v>
      </c>
    </row>
    <row r="278" spans="1:68">
      <c r="A278" s="636">
        <f t="shared" si="143"/>
        <v>277</v>
      </c>
      <c r="B278" s="637"/>
      <c r="C278" s="637"/>
      <c r="D278" s="652"/>
      <c r="E278" s="679" t="e">
        <f>LOOKUP(D278,'f-travail'!A:A,'f-travail'!B:B)</f>
        <v>#N/A</v>
      </c>
      <c r="F278" s="650"/>
      <c r="G278" s="650"/>
      <c r="H278" s="653"/>
      <c r="I278" s="653"/>
      <c r="J278" s="654"/>
      <c r="K278" s="650"/>
      <c r="L278" s="650"/>
      <c r="M278" s="650">
        <v>0</v>
      </c>
      <c r="N278" s="654"/>
      <c r="O278" s="654"/>
      <c r="P278" s="654"/>
      <c r="Q278" s="654"/>
      <c r="R278" s="676"/>
      <c r="S278" s="654"/>
      <c r="T278" s="675"/>
      <c r="U278" s="675"/>
      <c r="V278" s="670" t="e">
        <f>LOOKUP(D278,'f-travail'!A:A,'f-travail'!E:E)</f>
        <v>#N/A</v>
      </c>
      <c r="W278" s="670" t="e">
        <f>VLOOKUP(V278,جرقمإستدلالي,'f-travail'!$AD$4+1,FALSE)</f>
        <v>#N/A</v>
      </c>
      <c r="X278" s="671" t="e">
        <f t="shared" si="119"/>
        <v>#N/A</v>
      </c>
      <c r="Y278" s="671">
        <f>IF(G278="مدير ولائي",(HLOOKUP(I278,جدروظعليا,'f-travail'!$AT$3+1,FALSE)-3200),0)</f>
        <v>0</v>
      </c>
      <c r="Z278" s="672" t="str">
        <f t="shared" si="130"/>
        <v/>
      </c>
      <c r="AA278" s="671">
        <f t="shared" si="131"/>
        <v>0</v>
      </c>
      <c r="AB278" s="677" t="b">
        <f t="shared" si="120"/>
        <v>0</v>
      </c>
      <c r="AC278" s="678">
        <f t="shared" si="132"/>
        <v>0</v>
      </c>
      <c r="AD278" s="673"/>
      <c r="AE278" s="678">
        <f t="shared" si="121"/>
        <v>0</v>
      </c>
      <c r="AF278" s="678" t="e">
        <f t="shared" si="122"/>
        <v>#N/A</v>
      </c>
      <c r="AG278" s="678" t="e">
        <f t="shared" si="123"/>
        <v>#N/A</v>
      </c>
      <c r="AH278" s="673">
        <f t="shared" si="133"/>
        <v>0</v>
      </c>
      <c r="AI278" s="674" t="e">
        <f>IF(G278="مدير ولائي",(11000*35%),LOOKUP(D278,'f-travail'!A:A,'f-travail'!I:I))</f>
        <v>#N/A</v>
      </c>
      <c r="AJ278" s="673" t="e">
        <f>IF(G278="مدير ولائي",((W278+X278)*45)*80%,IF(V278&lt;8,0,IF(F278="إليزي",(LOOKUP(D278,'f-travail'!A:A,'f-travail'!O:O))*(AF278+AG278),LOOKUP(D278,'f-travail'!A:A,'f-travail'!P:P)*(AF278+AG278))))</f>
        <v>#N/A</v>
      </c>
      <c r="AK278" s="673" t="e">
        <f>IF(G278="مدير ولائي",0,LOOKUP(D278,'f-travail'!A:A,'f-travail'!Q:Q))</f>
        <v>#N/A</v>
      </c>
      <c r="AL278" s="673" t="e">
        <f>IF(G278="مدير ولائي",0,LOOKUP(D278,'f-travail'!A:A,'f-travail'!R:R)*(AF278+AG278))</f>
        <v>#N/A</v>
      </c>
      <c r="AM278" s="673" t="e">
        <f>IF(G278="مدير ولائي",0,LOOKUP(D278,'f-travail'!A:A,'f-travail'!S:S)*(AF278+AG278))</f>
        <v>#N/A</v>
      </c>
      <c r="AN278" s="673" t="e">
        <f>IF(G278="مدير ولائي",0,LOOKUP(D278,'f-travail'!A:A,'f-travail'!T:T)*(AF278+AG278))</f>
        <v>#N/A</v>
      </c>
      <c r="AO278" s="673" t="e">
        <f>IF(G278="مدير ولائي",0,LOOKUP(D278,'f-travail'!A:A,'f-travail'!U:U)*(AF278+AG278))</f>
        <v>#N/A</v>
      </c>
      <c r="AP278" s="673" t="e">
        <f>IF(G278="مدير ولائي",0,LOOKUP(D278,'f-travail'!A:A,'f-travail'!V:V)*(AF278+AG278))</f>
        <v>#N/A</v>
      </c>
      <c r="AQ278" s="673" t="e">
        <f>IF(G278="مدير ولائي",0,LOOKUP(D278,'f-travail'!A:A,'f-travail'!W:W)*(AF278+AG278))</f>
        <v>#N/A</v>
      </c>
      <c r="AR278" s="673">
        <f t="shared" si="134"/>
        <v>0</v>
      </c>
      <c r="AS278" s="673" t="e">
        <f>IF(G278="مدير ولائي",0,LOOKUP(D278,'f-travail'!A:A,'f-travail'!X:X)*(AF278+AG278))</f>
        <v>#N/A</v>
      </c>
      <c r="AT278" s="673" t="e">
        <f>IF(G278="مدير ولائي",0,LOOKUP(D278,'f-travail'!Y:Y,'f-travail'!R:R)*(AF278+AG278))</f>
        <v>#N/A</v>
      </c>
      <c r="AU278" s="673">
        <f t="shared" si="124"/>
        <v>0</v>
      </c>
      <c r="AV278" s="673">
        <f t="shared" si="125"/>
        <v>0</v>
      </c>
      <c r="AW278" s="673">
        <f t="shared" si="126"/>
        <v>0</v>
      </c>
      <c r="AY278" s="640" t="e">
        <f t="shared" si="135"/>
        <v>#N/A</v>
      </c>
      <c r="AZ278" s="673" t="e">
        <f t="shared" si="127"/>
        <v>#N/A</v>
      </c>
      <c r="BA278" s="639" t="e">
        <f t="shared" si="128"/>
        <v>#N/A</v>
      </c>
      <c r="BG278" s="639">
        <f t="shared" si="136"/>
        <v>0</v>
      </c>
      <c r="BH278" s="683">
        <f t="shared" si="137"/>
        <v>0</v>
      </c>
      <c r="BI278" s="683">
        <f t="shared" si="138"/>
        <v>0</v>
      </c>
      <c r="BJ278" s="641" t="e">
        <f t="shared" si="139"/>
        <v>#N/A</v>
      </c>
      <c r="BK278" s="641" t="e">
        <f t="shared" si="140"/>
        <v>#N/A</v>
      </c>
      <c r="BL278" s="641" t="e">
        <f t="shared" si="141"/>
        <v>#N/A</v>
      </c>
      <c r="BM278" s="684" t="e">
        <f t="shared" si="142"/>
        <v>#N/A</v>
      </c>
      <c r="BO278" s="682" t="e">
        <f>CONCATENATE(Z278," ",LOOKUP(D278,'f-travail'!A:A,'f-travail'!F:F))</f>
        <v>#N/A</v>
      </c>
      <c r="BP278" s="669" t="e">
        <f t="shared" si="129"/>
        <v>#N/A</v>
      </c>
    </row>
    <row r="279" spans="1:68">
      <c r="A279" s="636">
        <f t="shared" si="143"/>
        <v>278</v>
      </c>
      <c r="B279" s="637"/>
      <c r="C279" s="637"/>
      <c r="D279" s="652"/>
      <c r="E279" s="679" t="e">
        <f>LOOKUP(D279,'f-travail'!A:A,'f-travail'!B:B)</f>
        <v>#N/A</v>
      </c>
      <c r="F279" s="650"/>
      <c r="G279" s="650"/>
      <c r="H279" s="653"/>
      <c r="I279" s="653"/>
      <c r="J279" s="654"/>
      <c r="K279" s="650"/>
      <c r="L279" s="650"/>
      <c r="M279" s="650">
        <v>0</v>
      </c>
      <c r="N279" s="654"/>
      <c r="O279" s="654"/>
      <c r="P279" s="654"/>
      <c r="Q279" s="654"/>
      <c r="R279" s="676"/>
      <c r="S279" s="654"/>
      <c r="T279" s="675"/>
      <c r="U279" s="675"/>
      <c r="V279" s="670" t="e">
        <f>LOOKUP(D279,'f-travail'!A:A,'f-travail'!E:E)</f>
        <v>#N/A</v>
      </c>
      <c r="W279" s="670" t="e">
        <f>VLOOKUP(V279,جرقمإستدلالي,'f-travail'!$AD$4+1,FALSE)</f>
        <v>#N/A</v>
      </c>
      <c r="X279" s="671" t="e">
        <f t="shared" si="119"/>
        <v>#N/A</v>
      </c>
      <c r="Y279" s="671">
        <f>IF(G279="مدير ولائي",(HLOOKUP(I279,جدروظعليا,'f-travail'!$AT$3+1,FALSE)-3200),0)</f>
        <v>0</v>
      </c>
      <c r="Z279" s="672" t="str">
        <f t="shared" si="130"/>
        <v/>
      </c>
      <c r="AA279" s="671">
        <f t="shared" si="131"/>
        <v>0</v>
      </c>
      <c r="AB279" s="677" t="b">
        <f t="shared" si="120"/>
        <v>0</v>
      </c>
      <c r="AC279" s="678">
        <f t="shared" si="132"/>
        <v>0</v>
      </c>
      <c r="AD279" s="673"/>
      <c r="AE279" s="678">
        <f t="shared" si="121"/>
        <v>0</v>
      </c>
      <c r="AF279" s="678" t="e">
        <f t="shared" si="122"/>
        <v>#N/A</v>
      </c>
      <c r="AG279" s="678" t="e">
        <f t="shared" si="123"/>
        <v>#N/A</v>
      </c>
      <c r="AH279" s="673">
        <f t="shared" si="133"/>
        <v>0</v>
      </c>
      <c r="AI279" s="674" t="e">
        <f>IF(G279="مدير ولائي",(11000*35%),LOOKUP(D279,'f-travail'!A:A,'f-travail'!I:I))</f>
        <v>#N/A</v>
      </c>
      <c r="AJ279" s="673" t="e">
        <f>IF(G279="مدير ولائي",((W279+X279)*45)*80%,IF(V279&lt;8,0,IF(F279="إليزي",(LOOKUP(D279,'f-travail'!A:A,'f-travail'!O:O))*(AF279+AG279),LOOKUP(D279,'f-travail'!A:A,'f-travail'!P:P)*(AF279+AG279))))</f>
        <v>#N/A</v>
      </c>
      <c r="AK279" s="673" t="e">
        <f>IF(G279="مدير ولائي",0,LOOKUP(D279,'f-travail'!A:A,'f-travail'!Q:Q))</f>
        <v>#N/A</v>
      </c>
      <c r="AL279" s="673" t="e">
        <f>IF(G279="مدير ولائي",0,LOOKUP(D279,'f-travail'!A:A,'f-travail'!R:R)*(AF279+AG279))</f>
        <v>#N/A</v>
      </c>
      <c r="AM279" s="673" t="e">
        <f>IF(G279="مدير ولائي",0,LOOKUP(D279,'f-travail'!A:A,'f-travail'!S:S)*(AF279+AG279))</f>
        <v>#N/A</v>
      </c>
      <c r="AN279" s="673" t="e">
        <f>IF(G279="مدير ولائي",0,LOOKUP(D279,'f-travail'!A:A,'f-travail'!T:T)*(AF279+AG279))</f>
        <v>#N/A</v>
      </c>
      <c r="AO279" s="673" t="e">
        <f>IF(G279="مدير ولائي",0,LOOKUP(D279,'f-travail'!A:A,'f-travail'!U:U)*(AF279+AG279))</f>
        <v>#N/A</v>
      </c>
      <c r="AP279" s="673" t="e">
        <f>IF(G279="مدير ولائي",0,LOOKUP(D279,'f-travail'!A:A,'f-travail'!V:V)*(AF279+AG279))</f>
        <v>#N/A</v>
      </c>
      <c r="AQ279" s="673" t="e">
        <f>IF(G279="مدير ولائي",0,LOOKUP(D279,'f-travail'!A:A,'f-travail'!W:W)*(AF279+AG279))</f>
        <v>#N/A</v>
      </c>
      <c r="AR279" s="673">
        <f t="shared" si="134"/>
        <v>0</v>
      </c>
      <c r="AS279" s="673" t="e">
        <f>IF(G279="مدير ولائي",0,LOOKUP(D279,'f-travail'!A:A,'f-travail'!X:X)*(AF279+AG279))</f>
        <v>#N/A</v>
      </c>
      <c r="AT279" s="673" t="e">
        <f>IF(G279="مدير ولائي",0,LOOKUP(D279,'f-travail'!Y:Y,'f-travail'!R:R)*(AF279+AG279))</f>
        <v>#N/A</v>
      </c>
      <c r="AU279" s="673">
        <f t="shared" si="124"/>
        <v>0</v>
      </c>
      <c r="AV279" s="673">
        <f t="shared" si="125"/>
        <v>0</v>
      </c>
      <c r="AW279" s="673">
        <f t="shared" si="126"/>
        <v>0</v>
      </c>
      <c r="AY279" s="640" t="e">
        <f t="shared" si="135"/>
        <v>#N/A</v>
      </c>
      <c r="AZ279" s="673" t="e">
        <f t="shared" si="127"/>
        <v>#N/A</v>
      </c>
      <c r="BA279" s="639" t="e">
        <f t="shared" si="128"/>
        <v>#N/A</v>
      </c>
      <c r="BG279" s="639">
        <f t="shared" si="136"/>
        <v>0</v>
      </c>
      <c r="BH279" s="683">
        <f t="shared" si="137"/>
        <v>0</v>
      </c>
      <c r="BI279" s="683">
        <f t="shared" si="138"/>
        <v>0</v>
      </c>
      <c r="BJ279" s="641" t="e">
        <f t="shared" si="139"/>
        <v>#N/A</v>
      </c>
      <c r="BK279" s="641" t="e">
        <f t="shared" si="140"/>
        <v>#N/A</v>
      </c>
      <c r="BL279" s="641" t="e">
        <f t="shared" si="141"/>
        <v>#N/A</v>
      </c>
      <c r="BM279" s="684" t="e">
        <f t="shared" si="142"/>
        <v>#N/A</v>
      </c>
      <c r="BO279" s="682" t="e">
        <f>CONCATENATE(Z279," ",LOOKUP(D279,'f-travail'!A:A,'f-travail'!F:F))</f>
        <v>#N/A</v>
      </c>
      <c r="BP279" s="669" t="e">
        <f t="shared" si="129"/>
        <v>#N/A</v>
      </c>
    </row>
    <row r="280" spans="1:68">
      <c r="A280" s="636">
        <f t="shared" si="143"/>
        <v>279</v>
      </c>
      <c r="B280" s="637"/>
      <c r="C280" s="637"/>
      <c r="D280" s="652"/>
      <c r="E280" s="679" t="e">
        <f>LOOKUP(D280,'f-travail'!A:A,'f-travail'!B:B)</f>
        <v>#N/A</v>
      </c>
      <c r="F280" s="650"/>
      <c r="G280" s="650"/>
      <c r="H280" s="653"/>
      <c r="I280" s="653"/>
      <c r="J280" s="654"/>
      <c r="K280" s="650"/>
      <c r="L280" s="650"/>
      <c r="M280" s="650">
        <v>0</v>
      </c>
      <c r="N280" s="654"/>
      <c r="O280" s="654"/>
      <c r="P280" s="654"/>
      <c r="Q280" s="654"/>
      <c r="R280" s="676"/>
      <c r="S280" s="654"/>
      <c r="T280" s="675"/>
      <c r="U280" s="675"/>
      <c r="V280" s="670" t="e">
        <f>LOOKUP(D280,'f-travail'!A:A,'f-travail'!E:E)</f>
        <v>#N/A</v>
      </c>
      <c r="W280" s="670" t="e">
        <f>VLOOKUP(V280,جرقمإستدلالي,'f-travail'!$AD$4+1,FALSE)</f>
        <v>#N/A</v>
      </c>
      <c r="X280" s="671" t="e">
        <f t="shared" si="119"/>
        <v>#N/A</v>
      </c>
      <c r="Y280" s="671">
        <f>IF(G280="مدير ولائي",(HLOOKUP(I280,جدروظعليا,'f-travail'!$AT$3+1,FALSE)-3200),0)</f>
        <v>0</v>
      </c>
      <c r="Z280" s="672" t="str">
        <f t="shared" si="130"/>
        <v/>
      </c>
      <c r="AA280" s="671">
        <f t="shared" si="131"/>
        <v>0</v>
      </c>
      <c r="AB280" s="677" t="b">
        <f t="shared" si="120"/>
        <v>0</v>
      </c>
      <c r="AC280" s="678">
        <f t="shared" si="132"/>
        <v>0</v>
      </c>
      <c r="AD280" s="673"/>
      <c r="AE280" s="678">
        <f t="shared" si="121"/>
        <v>0</v>
      </c>
      <c r="AF280" s="678" t="e">
        <f t="shared" si="122"/>
        <v>#N/A</v>
      </c>
      <c r="AG280" s="678" t="e">
        <f t="shared" si="123"/>
        <v>#N/A</v>
      </c>
      <c r="AH280" s="673">
        <f t="shared" si="133"/>
        <v>0</v>
      </c>
      <c r="AI280" s="674" t="e">
        <f>IF(G280="مدير ولائي",(11000*35%),LOOKUP(D280,'f-travail'!A:A,'f-travail'!I:I))</f>
        <v>#N/A</v>
      </c>
      <c r="AJ280" s="673" t="e">
        <f>IF(G280="مدير ولائي",((W280+X280)*45)*80%,IF(V280&lt;8,0,IF(F280="إليزي",(LOOKUP(D280,'f-travail'!A:A,'f-travail'!O:O))*(AF280+AG280),LOOKUP(D280,'f-travail'!A:A,'f-travail'!P:P)*(AF280+AG280))))</f>
        <v>#N/A</v>
      </c>
      <c r="AK280" s="673" t="e">
        <f>IF(G280="مدير ولائي",0,LOOKUP(D280,'f-travail'!A:A,'f-travail'!Q:Q))</f>
        <v>#N/A</v>
      </c>
      <c r="AL280" s="673" t="e">
        <f>IF(G280="مدير ولائي",0,LOOKUP(D280,'f-travail'!A:A,'f-travail'!R:R)*(AF280+AG280))</f>
        <v>#N/A</v>
      </c>
      <c r="AM280" s="673" t="e">
        <f>IF(G280="مدير ولائي",0,LOOKUP(D280,'f-travail'!A:A,'f-travail'!S:S)*(AF280+AG280))</f>
        <v>#N/A</v>
      </c>
      <c r="AN280" s="673" t="e">
        <f>IF(G280="مدير ولائي",0,LOOKUP(D280,'f-travail'!A:A,'f-travail'!T:T)*(AF280+AG280))</f>
        <v>#N/A</v>
      </c>
      <c r="AO280" s="673" t="e">
        <f>IF(G280="مدير ولائي",0,LOOKUP(D280,'f-travail'!A:A,'f-travail'!U:U)*(AF280+AG280))</f>
        <v>#N/A</v>
      </c>
      <c r="AP280" s="673" t="e">
        <f>IF(G280="مدير ولائي",0,LOOKUP(D280,'f-travail'!A:A,'f-travail'!V:V)*(AF280+AG280))</f>
        <v>#N/A</v>
      </c>
      <c r="AQ280" s="673" t="e">
        <f>IF(G280="مدير ولائي",0,LOOKUP(D280,'f-travail'!A:A,'f-travail'!W:W)*(AF280+AG280))</f>
        <v>#N/A</v>
      </c>
      <c r="AR280" s="673">
        <f t="shared" si="134"/>
        <v>0</v>
      </c>
      <c r="AS280" s="673" t="e">
        <f>IF(G280="مدير ولائي",0,LOOKUP(D280,'f-travail'!A:A,'f-travail'!X:X)*(AF280+AG280))</f>
        <v>#N/A</v>
      </c>
      <c r="AT280" s="673" t="e">
        <f>IF(G280="مدير ولائي",0,LOOKUP(D280,'f-travail'!Y:Y,'f-travail'!R:R)*(AF280+AG280))</f>
        <v>#N/A</v>
      </c>
      <c r="AU280" s="673">
        <f t="shared" si="124"/>
        <v>0</v>
      </c>
      <c r="AV280" s="673">
        <f t="shared" si="125"/>
        <v>0</v>
      </c>
      <c r="AW280" s="673">
        <f t="shared" si="126"/>
        <v>0</v>
      </c>
      <c r="AY280" s="640" t="e">
        <f t="shared" si="135"/>
        <v>#N/A</v>
      </c>
      <c r="AZ280" s="673" t="e">
        <f t="shared" si="127"/>
        <v>#N/A</v>
      </c>
      <c r="BA280" s="639" t="e">
        <f t="shared" si="128"/>
        <v>#N/A</v>
      </c>
      <c r="BG280" s="639">
        <f t="shared" si="136"/>
        <v>0</v>
      </c>
      <c r="BH280" s="683">
        <f t="shared" si="137"/>
        <v>0</v>
      </c>
      <c r="BI280" s="683">
        <f t="shared" si="138"/>
        <v>0</v>
      </c>
      <c r="BJ280" s="641" t="e">
        <f t="shared" si="139"/>
        <v>#N/A</v>
      </c>
      <c r="BK280" s="641" t="e">
        <f t="shared" si="140"/>
        <v>#N/A</v>
      </c>
      <c r="BL280" s="641" t="e">
        <f t="shared" si="141"/>
        <v>#N/A</v>
      </c>
      <c r="BM280" s="684" t="e">
        <f t="shared" si="142"/>
        <v>#N/A</v>
      </c>
      <c r="BO280" s="682" t="e">
        <f>CONCATENATE(Z280," ",LOOKUP(D280,'f-travail'!A:A,'f-travail'!F:F))</f>
        <v>#N/A</v>
      </c>
      <c r="BP280" s="669" t="e">
        <f t="shared" si="129"/>
        <v>#N/A</v>
      </c>
    </row>
    <row r="281" spans="1:68">
      <c r="A281" s="636">
        <f t="shared" si="143"/>
        <v>280</v>
      </c>
      <c r="B281" s="637"/>
      <c r="C281" s="637"/>
      <c r="D281" s="652"/>
      <c r="E281" s="679" t="e">
        <f>LOOKUP(D281,'f-travail'!A:A,'f-travail'!B:B)</f>
        <v>#N/A</v>
      </c>
      <c r="F281" s="650"/>
      <c r="G281" s="650"/>
      <c r="H281" s="653"/>
      <c r="I281" s="653"/>
      <c r="J281" s="654"/>
      <c r="K281" s="650"/>
      <c r="L281" s="650"/>
      <c r="M281" s="650">
        <v>0</v>
      </c>
      <c r="N281" s="654"/>
      <c r="O281" s="654"/>
      <c r="P281" s="654"/>
      <c r="Q281" s="654"/>
      <c r="R281" s="676"/>
      <c r="S281" s="654"/>
      <c r="T281" s="675"/>
      <c r="U281" s="675"/>
      <c r="V281" s="670" t="e">
        <f>LOOKUP(D281,'f-travail'!A:A,'f-travail'!E:E)</f>
        <v>#N/A</v>
      </c>
      <c r="W281" s="670" t="e">
        <f>VLOOKUP(V281,جرقمإستدلالي,'f-travail'!$AD$4+1,FALSE)</f>
        <v>#N/A</v>
      </c>
      <c r="X281" s="671" t="e">
        <f t="shared" si="119"/>
        <v>#N/A</v>
      </c>
      <c r="Y281" s="671">
        <f>IF(G281="مدير ولائي",(HLOOKUP(I281,جدروظعليا,'f-travail'!$AT$3+1,FALSE)-3200),0)</f>
        <v>0</v>
      </c>
      <c r="Z281" s="672" t="str">
        <f t="shared" si="130"/>
        <v/>
      </c>
      <c r="AA281" s="671">
        <f t="shared" si="131"/>
        <v>0</v>
      </c>
      <c r="AB281" s="677" t="b">
        <f t="shared" si="120"/>
        <v>0</v>
      </c>
      <c r="AC281" s="678">
        <f t="shared" si="132"/>
        <v>0</v>
      </c>
      <c r="AD281" s="673"/>
      <c r="AE281" s="678">
        <f t="shared" si="121"/>
        <v>0</v>
      </c>
      <c r="AF281" s="678" t="e">
        <f t="shared" si="122"/>
        <v>#N/A</v>
      </c>
      <c r="AG281" s="678" t="e">
        <f t="shared" si="123"/>
        <v>#N/A</v>
      </c>
      <c r="AH281" s="673">
        <f t="shared" si="133"/>
        <v>0</v>
      </c>
      <c r="AI281" s="674" t="e">
        <f>IF(G281="مدير ولائي",(11000*35%),LOOKUP(D281,'f-travail'!A:A,'f-travail'!I:I))</f>
        <v>#N/A</v>
      </c>
      <c r="AJ281" s="673" t="e">
        <f>IF(G281="مدير ولائي",((W281+X281)*45)*80%,IF(V281&lt;8,0,IF(F281="إليزي",(LOOKUP(D281,'f-travail'!A:A,'f-travail'!O:O))*(AF281+AG281),LOOKUP(D281,'f-travail'!A:A,'f-travail'!P:P)*(AF281+AG281))))</f>
        <v>#N/A</v>
      </c>
      <c r="AK281" s="673" t="e">
        <f>IF(G281="مدير ولائي",0,LOOKUP(D281,'f-travail'!A:A,'f-travail'!Q:Q))</f>
        <v>#N/A</v>
      </c>
      <c r="AL281" s="673" t="e">
        <f>IF(G281="مدير ولائي",0,LOOKUP(D281,'f-travail'!A:A,'f-travail'!R:R)*(AF281+AG281))</f>
        <v>#N/A</v>
      </c>
      <c r="AM281" s="673" t="e">
        <f>IF(G281="مدير ولائي",0,LOOKUP(D281,'f-travail'!A:A,'f-travail'!S:S)*(AF281+AG281))</f>
        <v>#N/A</v>
      </c>
      <c r="AN281" s="673" t="e">
        <f>IF(G281="مدير ولائي",0,LOOKUP(D281,'f-travail'!A:A,'f-travail'!T:T)*(AF281+AG281))</f>
        <v>#N/A</v>
      </c>
      <c r="AO281" s="673" t="e">
        <f>IF(G281="مدير ولائي",0,LOOKUP(D281,'f-travail'!A:A,'f-travail'!U:U)*(AF281+AG281))</f>
        <v>#N/A</v>
      </c>
      <c r="AP281" s="673" t="e">
        <f>IF(G281="مدير ولائي",0,LOOKUP(D281,'f-travail'!A:A,'f-travail'!V:V)*(AF281+AG281))</f>
        <v>#N/A</v>
      </c>
      <c r="AQ281" s="673" t="e">
        <f>IF(G281="مدير ولائي",0,LOOKUP(D281,'f-travail'!A:A,'f-travail'!W:W)*(AF281+AG281))</f>
        <v>#N/A</v>
      </c>
      <c r="AR281" s="673">
        <f t="shared" si="134"/>
        <v>0</v>
      </c>
      <c r="AS281" s="673" t="e">
        <f>IF(G281="مدير ولائي",0,LOOKUP(D281,'f-travail'!A:A,'f-travail'!X:X)*(AF281+AG281))</f>
        <v>#N/A</v>
      </c>
      <c r="AT281" s="673" t="e">
        <f>IF(G281="مدير ولائي",0,LOOKUP(D281,'f-travail'!Y:Y,'f-travail'!R:R)*(AF281+AG281))</f>
        <v>#N/A</v>
      </c>
      <c r="AU281" s="673">
        <f t="shared" si="124"/>
        <v>0</v>
      </c>
      <c r="AV281" s="673">
        <f t="shared" si="125"/>
        <v>0</v>
      </c>
      <c r="AW281" s="673">
        <f t="shared" si="126"/>
        <v>0</v>
      </c>
      <c r="AY281" s="640" t="e">
        <f t="shared" si="135"/>
        <v>#N/A</v>
      </c>
      <c r="AZ281" s="673" t="e">
        <f t="shared" si="127"/>
        <v>#N/A</v>
      </c>
      <c r="BA281" s="639" t="e">
        <f t="shared" si="128"/>
        <v>#N/A</v>
      </c>
      <c r="BG281" s="639">
        <f t="shared" si="136"/>
        <v>0</v>
      </c>
      <c r="BH281" s="683">
        <f t="shared" si="137"/>
        <v>0</v>
      </c>
      <c r="BI281" s="683">
        <f t="shared" si="138"/>
        <v>0</v>
      </c>
      <c r="BJ281" s="641" t="e">
        <f t="shared" si="139"/>
        <v>#N/A</v>
      </c>
      <c r="BK281" s="641" t="e">
        <f t="shared" si="140"/>
        <v>#N/A</v>
      </c>
      <c r="BL281" s="641" t="e">
        <f t="shared" si="141"/>
        <v>#N/A</v>
      </c>
      <c r="BM281" s="684" t="e">
        <f t="shared" si="142"/>
        <v>#N/A</v>
      </c>
      <c r="BO281" s="682" t="e">
        <f>CONCATENATE(Z281," ",LOOKUP(D281,'f-travail'!A:A,'f-travail'!F:F))</f>
        <v>#N/A</v>
      </c>
      <c r="BP281" s="669" t="e">
        <f t="shared" si="129"/>
        <v>#N/A</v>
      </c>
    </row>
    <row r="282" spans="1:68">
      <c r="A282" s="636">
        <f t="shared" si="143"/>
        <v>281</v>
      </c>
      <c r="B282" s="637"/>
      <c r="C282" s="637"/>
      <c r="D282" s="652"/>
      <c r="E282" s="679" t="e">
        <f>LOOKUP(D282,'f-travail'!A:A,'f-travail'!B:B)</f>
        <v>#N/A</v>
      </c>
      <c r="F282" s="650"/>
      <c r="G282" s="650"/>
      <c r="H282" s="653"/>
      <c r="I282" s="653"/>
      <c r="J282" s="654"/>
      <c r="K282" s="650"/>
      <c r="L282" s="650"/>
      <c r="M282" s="650">
        <v>0</v>
      </c>
      <c r="N282" s="654"/>
      <c r="O282" s="654"/>
      <c r="P282" s="654"/>
      <c r="Q282" s="654"/>
      <c r="R282" s="676"/>
      <c r="S282" s="654"/>
      <c r="T282" s="675"/>
      <c r="U282" s="675"/>
      <c r="V282" s="670" t="e">
        <f>LOOKUP(D282,'f-travail'!A:A,'f-travail'!E:E)</f>
        <v>#N/A</v>
      </c>
      <c r="W282" s="670" t="e">
        <f>VLOOKUP(V282,جرقمإستدلالي,'f-travail'!$AD$4+1,FALSE)</f>
        <v>#N/A</v>
      </c>
      <c r="X282" s="671" t="e">
        <f t="shared" si="119"/>
        <v>#N/A</v>
      </c>
      <c r="Y282" s="671">
        <f>IF(G282="مدير ولائي",(HLOOKUP(I282,جدروظعليا,'f-travail'!$AT$3+1,FALSE)-3200),0)</f>
        <v>0</v>
      </c>
      <c r="Z282" s="672" t="str">
        <f t="shared" si="130"/>
        <v/>
      </c>
      <c r="AA282" s="671">
        <f t="shared" si="131"/>
        <v>0</v>
      </c>
      <c r="AB282" s="677" t="b">
        <f t="shared" si="120"/>
        <v>0</v>
      </c>
      <c r="AC282" s="678">
        <f t="shared" si="132"/>
        <v>0</v>
      </c>
      <c r="AD282" s="673"/>
      <c r="AE282" s="678">
        <f t="shared" si="121"/>
        <v>0</v>
      </c>
      <c r="AF282" s="678" t="e">
        <f t="shared" si="122"/>
        <v>#N/A</v>
      </c>
      <c r="AG282" s="678" t="e">
        <f t="shared" si="123"/>
        <v>#N/A</v>
      </c>
      <c r="AH282" s="673">
        <f t="shared" si="133"/>
        <v>0</v>
      </c>
      <c r="AI282" s="674" t="e">
        <f>IF(G282="مدير ولائي",(11000*35%),LOOKUP(D282,'f-travail'!A:A,'f-travail'!I:I))</f>
        <v>#N/A</v>
      </c>
      <c r="AJ282" s="673" t="e">
        <f>IF(G282="مدير ولائي",((W282+X282)*45)*80%,IF(V282&lt;8,0,IF(F282="إليزي",(LOOKUP(D282,'f-travail'!A:A,'f-travail'!O:O))*(AF282+AG282),LOOKUP(D282,'f-travail'!A:A,'f-travail'!P:P)*(AF282+AG282))))</f>
        <v>#N/A</v>
      </c>
      <c r="AK282" s="673" t="e">
        <f>IF(G282="مدير ولائي",0,LOOKUP(D282,'f-travail'!A:A,'f-travail'!Q:Q))</f>
        <v>#N/A</v>
      </c>
      <c r="AL282" s="673" t="e">
        <f>IF(G282="مدير ولائي",0,LOOKUP(D282,'f-travail'!A:A,'f-travail'!R:R)*(AF282+AG282))</f>
        <v>#N/A</v>
      </c>
      <c r="AM282" s="673" t="e">
        <f>IF(G282="مدير ولائي",0,LOOKUP(D282,'f-travail'!A:A,'f-travail'!S:S)*(AF282+AG282))</f>
        <v>#N/A</v>
      </c>
      <c r="AN282" s="673" t="e">
        <f>IF(G282="مدير ولائي",0,LOOKUP(D282,'f-travail'!A:A,'f-travail'!T:T)*(AF282+AG282))</f>
        <v>#N/A</v>
      </c>
      <c r="AO282" s="673" t="e">
        <f>IF(G282="مدير ولائي",0,LOOKUP(D282,'f-travail'!A:A,'f-travail'!U:U)*(AF282+AG282))</f>
        <v>#N/A</v>
      </c>
      <c r="AP282" s="673" t="e">
        <f>IF(G282="مدير ولائي",0,LOOKUP(D282,'f-travail'!A:A,'f-travail'!V:V)*(AF282+AG282))</f>
        <v>#N/A</v>
      </c>
      <c r="AQ282" s="673" t="e">
        <f>IF(G282="مدير ولائي",0,LOOKUP(D282,'f-travail'!A:A,'f-travail'!W:W)*(AF282+AG282))</f>
        <v>#N/A</v>
      </c>
      <c r="AR282" s="673">
        <f t="shared" si="134"/>
        <v>0</v>
      </c>
      <c r="AS282" s="673" t="e">
        <f>IF(G282="مدير ولائي",0,LOOKUP(D282,'f-travail'!A:A,'f-travail'!X:X)*(AF282+AG282))</f>
        <v>#N/A</v>
      </c>
      <c r="AT282" s="673" t="e">
        <f>IF(G282="مدير ولائي",0,LOOKUP(D282,'f-travail'!Y:Y,'f-travail'!R:R)*(AF282+AG282))</f>
        <v>#N/A</v>
      </c>
      <c r="AU282" s="673">
        <f t="shared" si="124"/>
        <v>0</v>
      </c>
      <c r="AV282" s="673">
        <f t="shared" si="125"/>
        <v>0</v>
      </c>
      <c r="AW282" s="673">
        <f t="shared" si="126"/>
        <v>0</v>
      </c>
      <c r="AY282" s="640" t="e">
        <f t="shared" si="135"/>
        <v>#N/A</v>
      </c>
      <c r="AZ282" s="673" t="e">
        <f t="shared" si="127"/>
        <v>#N/A</v>
      </c>
      <c r="BA282" s="639" t="e">
        <f t="shared" si="128"/>
        <v>#N/A</v>
      </c>
      <c r="BG282" s="639">
        <f t="shared" si="136"/>
        <v>0</v>
      </c>
      <c r="BH282" s="683">
        <f t="shared" si="137"/>
        <v>0</v>
      </c>
      <c r="BI282" s="683">
        <f t="shared" si="138"/>
        <v>0</v>
      </c>
      <c r="BJ282" s="641" t="e">
        <f t="shared" si="139"/>
        <v>#N/A</v>
      </c>
      <c r="BK282" s="641" t="e">
        <f t="shared" si="140"/>
        <v>#N/A</v>
      </c>
      <c r="BL282" s="641" t="e">
        <f t="shared" si="141"/>
        <v>#N/A</v>
      </c>
      <c r="BM282" s="684" t="e">
        <f t="shared" si="142"/>
        <v>#N/A</v>
      </c>
      <c r="BO282" s="682" t="e">
        <f>CONCATENATE(Z282," ",LOOKUP(D282,'f-travail'!A:A,'f-travail'!F:F))</f>
        <v>#N/A</v>
      </c>
      <c r="BP282" s="669" t="e">
        <f t="shared" si="129"/>
        <v>#N/A</v>
      </c>
    </row>
    <row r="283" spans="1:68">
      <c r="A283" s="636">
        <f t="shared" si="143"/>
        <v>282</v>
      </c>
      <c r="B283" s="637"/>
      <c r="C283" s="637"/>
      <c r="D283" s="652"/>
      <c r="E283" s="679" t="e">
        <f>LOOKUP(D283,'f-travail'!A:A,'f-travail'!B:B)</f>
        <v>#N/A</v>
      </c>
      <c r="F283" s="650"/>
      <c r="G283" s="650"/>
      <c r="H283" s="653"/>
      <c r="I283" s="653"/>
      <c r="J283" s="654"/>
      <c r="K283" s="650"/>
      <c r="L283" s="650"/>
      <c r="M283" s="650">
        <v>0</v>
      </c>
      <c r="N283" s="654"/>
      <c r="O283" s="654"/>
      <c r="P283" s="654"/>
      <c r="Q283" s="654"/>
      <c r="R283" s="676"/>
      <c r="S283" s="654"/>
      <c r="T283" s="675"/>
      <c r="U283" s="675"/>
      <c r="V283" s="670" t="e">
        <f>LOOKUP(D283,'f-travail'!A:A,'f-travail'!E:E)</f>
        <v>#N/A</v>
      </c>
      <c r="W283" s="670" t="e">
        <f>VLOOKUP(V283,جرقمإستدلالي,'f-travail'!$AD$4+1,FALSE)</f>
        <v>#N/A</v>
      </c>
      <c r="X283" s="671" t="e">
        <f t="shared" si="119"/>
        <v>#N/A</v>
      </c>
      <c r="Y283" s="671">
        <f>IF(G283="مدير ولائي",(HLOOKUP(I283,جدروظعليا,'f-travail'!$AT$3+1,FALSE)-3200),0)</f>
        <v>0</v>
      </c>
      <c r="Z283" s="672" t="str">
        <f t="shared" si="130"/>
        <v/>
      </c>
      <c r="AA283" s="671">
        <f t="shared" si="131"/>
        <v>0</v>
      </c>
      <c r="AB283" s="677" t="b">
        <f t="shared" si="120"/>
        <v>0</v>
      </c>
      <c r="AC283" s="678">
        <f t="shared" si="132"/>
        <v>0</v>
      </c>
      <c r="AD283" s="673"/>
      <c r="AE283" s="678">
        <f t="shared" si="121"/>
        <v>0</v>
      </c>
      <c r="AF283" s="678" t="e">
        <f t="shared" si="122"/>
        <v>#N/A</v>
      </c>
      <c r="AG283" s="678" t="e">
        <f t="shared" si="123"/>
        <v>#N/A</v>
      </c>
      <c r="AH283" s="673">
        <f t="shared" si="133"/>
        <v>0</v>
      </c>
      <c r="AI283" s="674" t="e">
        <f>IF(G283="مدير ولائي",(11000*35%),LOOKUP(D283,'f-travail'!A:A,'f-travail'!I:I))</f>
        <v>#N/A</v>
      </c>
      <c r="AJ283" s="673" t="e">
        <f>IF(G283="مدير ولائي",((W283+X283)*45)*80%,IF(V283&lt;8,0,IF(F283="إليزي",(LOOKUP(D283,'f-travail'!A:A,'f-travail'!O:O))*(AF283+AG283),LOOKUP(D283,'f-travail'!A:A,'f-travail'!P:P)*(AF283+AG283))))</f>
        <v>#N/A</v>
      </c>
      <c r="AK283" s="673" t="e">
        <f>IF(G283="مدير ولائي",0,LOOKUP(D283,'f-travail'!A:A,'f-travail'!Q:Q))</f>
        <v>#N/A</v>
      </c>
      <c r="AL283" s="673" t="e">
        <f>IF(G283="مدير ولائي",0,LOOKUP(D283,'f-travail'!A:A,'f-travail'!R:R)*(AF283+AG283))</f>
        <v>#N/A</v>
      </c>
      <c r="AM283" s="673" t="e">
        <f>IF(G283="مدير ولائي",0,LOOKUP(D283,'f-travail'!A:A,'f-travail'!S:S)*(AF283+AG283))</f>
        <v>#N/A</v>
      </c>
      <c r="AN283" s="673" t="e">
        <f>IF(G283="مدير ولائي",0,LOOKUP(D283,'f-travail'!A:A,'f-travail'!T:T)*(AF283+AG283))</f>
        <v>#N/A</v>
      </c>
      <c r="AO283" s="673" t="e">
        <f>IF(G283="مدير ولائي",0,LOOKUP(D283,'f-travail'!A:A,'f-travail'!U:U)*(AF283+AG283))</f>
        <v>#N/A</v>
      </c>
      <c r="AP283" s="673" t="e">
        <f>IF(G283="مدير ولائي",0,LOOKUP(D283,'f-travail'!A:A,'f-travail'!V:V)*(AF283+AG283))</f>
        <v>#N/A</v>
      </c>
      <c r="AQ283" s="673" t="e">
        <f>IF(G283="مدير ولائي",0,LOOKUP(D283,'f-travail'!A:A,'f-travail'!W:W)*(AF283+AG283))</f>
        <v>#N/A</v>
      </c>
      <c r="AR283" s="673">
        <f t="shared" si="134"/>
        <v>0</v>
      </c>
      <c r="AS283" s="673" t="e">
        <f>IF(G283="مدير ولائي",0,LOOKUP(D283,'f-travail'!A:A,'f-travail'!X:X)*(AF283+AG283))</f>
        <v>#N/A</v>
      </c>
      <c r="AT283" s="673" t="e">
        <f>IF(G283="مدير ولائي",0,LOOKUP(D283,'f-travail'!Y:Y,'f-travail'!R:R)*(AF283+AG283))</f>
        <v>#N/A</v>
      </c>
      <c r="AU283" s="673">
        <f t="shared" si="124"/>
        <v>0</v>
      </c>
      <c r="AV283" s="673">
        <f t="shared" si="125"/>
        <v>0</v>
      </c>
      <c r="AW283" s="673">
        <f t="shared" si="126"/>
        <v>0</v>
      </c>
      <c r="AY283" s="640" t="e">
        <f t="shared" si="135"/>
        <v>#N/A</v>
      </c>
      <c r="AZ283" s="673" t="e">
        <f t="shared" si="127"/>
        <v>#N/A</v>
      </c>
      <c r="BA283" s="639" t="e">
        <f t="shared" si="128"/>
        <v>#N/A</v>
      </c>
      <c r="BG283" s="639">
        <f t="shared" si="136"/>
        <v>0</v>
      </c>
      <c r="BH283" s="683">
        <f t="shared" si="137"/>
        <v>0</v>
      </c>
      <c r="BI283" s="683">
        <f t="shared" si="138"/>
        <v>0</v>
      </c>
      <c r="BJ283" s="641" t="e">
        <f t="shared" si="139"/>
        <v>#N/A</v>
      </c>
      <c r="BK283" s="641" t="e">
        <f t="shared" si="140"/>
        <v>#N/A</v>
      </c>
      <c r="BL283" s="641" t="e">
        <f t="shared" si="141"/>
        <v>#N/A</v>
      </c>
      <c r="BM283" s="684" t="e">
        <f t="shared" si="142"/>
        <v>#N/A</v>
      </c>
      <c r="BO283" s="682" t="e">
        <f>CONCATENATE(Z283," ",LOOKUP(D283,'f-travail'!A:A,'f-travail'!F:F))</f>
        <v>#N/A</v>
      </c>
      <c r="BP283" s="669" t="e">
        <f t="shared" si="129"/>
        <v>#N/A</v>
      </c>
    </row>
    <row r="284" spans="1:68">
      <c r="A284" s="636">
        <f t="shared" si="143"/>
        <v>283</v>
      </c>
      <c r="B284" s="637"/>
      <c r="C284" s="637"/>
      <c r="D284" s="652"/>
      <c r="E284" s="679" t="e">
        <f>LOOKUP(D284,'f-travail'!A:A,'f-travail'!B:B)</f>
        <v>#N/A</v>
      </c>
      <c r="F284" s="650"/>
      <c r="G284" s="650"/>
      <c r="H284" s="653"/>
      <c r="I284" s="653"/>
      <c r="J284" s="654"/>
      <c r="K284" s="650"/>
      <c r="L284" s="650"/>
      <c r="M284" s="650">
        <v>0</v>
      </c>
      <c r="N284" s="654"/>
      <c r="O284" s="654"/>
      <c r="P284" s="654"/>
      <c r="Q284" s="654"/>
      <c r="R284" s="676"/>
      <c r="S284" s="654"/>
      <c r="T284" s="675"/>
      <c r="U284" s="675"/>
      <c r="V284" s="670" t="e">
        <f>LOOKUP(D284,'f-travail'!A:A,'f-travail'!E:E)</f>
        <v>#N/A</v>
      </c>
      <c r="W284" s="670" t="e">
        <f>VLOOKUP(V284,جرقمإستدلالي,'f-travail'!$AD$4+1,FALSE)</f>
        <v>#N/A</v>
      </c>
      <c r="X284" s="671" t="e">
        <f t="shared" si="119"/>
        <v>#N/A</v>
      </c>
      <c r="Y284" s="671">
        <f>IF(G284="مدير ولائي",(HLOOKUP(I284,جدروظعليا,'f-travail'!$AT$3+1,FALSE)-3200),0)</f>
        <v>0</v>
      </c>
      <c r="Z284" s="672" t="str">
        <f t="shared" si="130"/>
        <v/>
      </c>
      <c r="AA284" s="671">
        <f t="shared" si="131"/>
        <v>0</v>
      </c>
      <c r="AB284" s="677" t="b">
        <f t="shared" si="120"/>
        <v>0</v>
      </c>
      <c r="AC284" s="678">
        <f t="shared" si="132"/>
        <v>0</v>
      </c>
      <c r="AD284" s="673"/>
      <c r="AE284" s="678">
        <f t="shared" si="121"/>
        <v>0</v>
      </c>
      <c r="AF284" s="678" t="e">
        <f t="shared" si="122"/>
        <v>#N/A</v>
      </c>
      <c r="AG284" s="678" t="e">
        <f t="shared" si="123"/>
        <v>#N/A</v>
      </c>
      <c r="AH284" s="673">
        <f t="shared" si="133"/>
        <v>0</v>
      </c>
      <c r="AI284" s="674" t="e">
        <f>IF(G284="مدير ولائي",(11000*35%),LOOKUP(D284,'f-travail'!A:A,'f-travail'!I:I))</f>
        <v>#N/A</v>
      </c>
      <c r="AJ284" s="673" t="e">
        <f>IF(G284="مدير ولائي",((W284+X284)*45)*80%,IF(V284&lt;8,0,IF(F284="إليزي",(LOOKUP(D284,'f-travail'!A:A,'f-travail'!O:O))*(AF284+AG284),LOOKUP(D284,'f-travail'!A:A,'f-travail'!P:P)*(AF284+AG284))))</f>
        <v>#N/A</v>
      </c>
      <c r="AK284" s="673" t="e">
        <f>IF(G284="مدير ولائي",0,LOOKUP(D284,'f-travail'!A:A,'f-travail'!Q:Q))</f>
        <v>#N/A</v>
      </c>
      <c r="AL284" s="673" t="e">
        <f>IF(G284="مدير ولائي",0,LOOKUP(D284,'f-travail'!A:A,'f-travail'!R:R)*(AF284+AG284))</f>
        <v>#N/A</v>
      </c>
      <c r="AM284" s="673" t="e">
        <f>IF(G284="مدير ولائي",0,LOOKUP(D284,'f-travail'!A:A,'f-travail'!S:S)*(AF284+AG284))</f>
        <v>#N/A</v>
      </c>
      <c r="AN284" s="673" t="e">
        <f>IF(G284="مدير ولائي",0,LOOKUP(D284,'f-travail'!A:A,'f-travail'!T:T)*(AF284+AG284))</f>
        <v>#N/A</v>
      </c>
      <c r="AO284" s="673" t="e">
        <f>IF(G284="مدير ولائي",0,LOOKUP(D284,'f-travail'!A:A,'f-travail'!U:U)*(AF284+AG284))</f>
        <v>#N/A</v>
      </c>
      <c r="AP284" s="673" t="e">
        <f>IF(G284="مدير ولائي",0,LOOKUP(D284,'f-travail'!A:A,'f-travail'!V:V)*(AF284+AG284))</f>
        <v>#N/A</v>
      </c>
      <c r="AQ284" s="673" t="e">
        <f>IF(G284="مدير ولائي",0,LOOKUP(D284,'f-travail'!A:A,'f-travail'!W:W)*(AF284+AG284))</f>
        <v>#N/A</v>
      </c>
      <c r="AR284" s="673">
        <f t="shared" si="134"/>
        <v>0</v>
      </c>
      <c r="AS284" s="673" t="e">
        <f>IF(G284="مدير ولائي",0,LOOKUP(D284,'f-travail'!A:A,'f-travail'!X:X)*(AF284+AG284))</f>
        <v>#N/A</v>
      </c>
      <c r="AT284" s="673" t="e">
        <f>IF(G284="مدير ولائي",0,LOOKUP(D284,'f-travail'!Y:Y,'f-travail'!R:R)*(AF284+AG284))</f>
        <v>#N/A</v>
      </c>
      <c r="AU284" s="673">
        <f t="shared" si="124"/>
        <v>0</v>
      </c>
      <c r="AV284" s="673">
        <f t="shared" si="125"/>
        <v>0</v>
      </c>
      <c r="AW284" s="673">
        <f t="shared" si="126"/>
        <v>0</v>
      </c>
      <c r="AY284" s="640" t="e">
        <f t="shared" si="135"/>
        <v>#N/A</v>
      </c>
      <c r="AZ284" s="673" t="e">
        <f t="shared" si="127"/>
        <v>#N/A</v>
      </c>
      <c r="BA284" s="639" t="e">
        <f t="shared" si="128"/>
        <v>#N/A</v>
      </c>
      <c r="BG284" s="639">
        <f t="shared" si="136"/>
        <v>0</v>
      </c>
      <c r="BH284" s="683">
        <f t="shared" si="137"/>
        <v>0</v>
      </c>
      <c r="BI284" s="683">
        <f t="shared" si="138"/>
        <v>0</v>
      </c>
      <c r="BJ284" s="641" t="e">
        <f t="shared" si="139"/>
        <v>#N/A</v>
      </c>
      <c r="BK284" s="641" t="e">
        <f t="shared" si="140"/>
        <v>#N/A</v>
      </c>
      <c r="BL284" s="641" t="e">
        <f t="shared" si="141"/>
        <v>#N/A</v>
      </c>
      <c r="BM284" s="684" t="e">
        <f t="shared" si="142"/>
        <v>#N/A</v>
      </c>
      <c r="BO284" s="682" t="e">
        <f>CONCATENATE(Z284," ",LOOKUP(D284,'f-travail'!A:A,'f-travail'!F:F))</f>
        <v>#N/A</v>
      </c>
      <c r="BP284" s="669" t="e">
        <f t="shared" si="129"/>
        <v>#N/A</v>
      </c>
    </row>
    <row r="285" spans="1:68">
      <c r="A285" s="636">
        <f t="shared" si="143"/>
        <v>284</v>
      </c>
      <c r="B285" s="637"/>
      <c r="C285" s="637"/>
      <c r="D285" s="652"/>
      <c r="E285" s="679" t="e">
        <f>LOOKUP(D285,'f-travail'!A:A,'f-travail'!B:B)</f>
        <v>#N/A</v>
      </c>
      <c r="F285" s="650"/>
      <c r="G285" s="650"/>
      <c r="H285" s="653"/>
      <c r="I285" s="653"/>
      <c r="J285" s="654"/>
      <c r="K285" s="650"/>
      <c r="L285" s="650"/>
      <c r="M285" s="650">
        <v>0</v>
      </c>
      <c r="N285" s="654"/>
      <c r="O285" s="654"/>
      <c r="P285" s="654"/>
      <c r="Q285" s="654"/>
      <c r="R285" s="676"/>
      <c r="S285" s="654"/>
      <c r="T285" s="675"/>
      <c r="U285" s="675"/>
      <c r="V285" s="670" t="e">
        <f>LOOKUP(D285,'f-travail'!A:A,'f-travail'!E:E)</f>
        <v>#N/A</v>
      </c>
      <c r="W285" s="670" t="e">
        <f>VLOOKUP(V285,جرقمإستدلالي,'f-travail'!$AD$4+1,FALSE)</f>
        <v>#N/A</v>
      </c>
      <c r="X285" s="671" t="e">
        <f t="shared" si="119"/>
        <v>#N/A</v>
      </c>
      <c r="Y285" s="671">
        <f>IF(G285="مدير ولائي",(HLOOKUP(I285,جدروظعليا,'f-travail'!$AT$3+1,FALSE)-3200),0)</f>
        <v>0</v>
      </c>
      <c r="Z285" s="672" t="str">
        <f t="shared" si="130"/>
        <v/>
      </c>
      <c r="AA285" s="671">
        <f t="shared" si="131"/>
        <v>0</v>
      </c>
      <c r="AB285" s="677" t="b">
        <f t="shared" si="120"/>
        <v>0</v>
      </c>
      <c r="AC285" s="678">
        <f t="shared" si="132"/>
        <v>0</v>
      </c>
      <c r="AD285" s="673"/>
      <c r="AE285" s="678">
        <f t="shared" si="121"/>
        <v>0</v>
      </c>
      <c r="AF285" s="678" t="e">
        <f t="shared" si="122"/>
        <v>#N/A</v>
      </c>
      <c r="AG285" s="678" t="e">
        <f t="shared" si="123"/>
        <v>#N/A</v>
      </c>
      <c r="AH285" s="673">
        <f t="shared" si="133"/>
        <v>0</v>
      </c>
      <c r="AI285" s="674" t="e">
        <f>IF(G285="مدير ولائي",(11000*35%),LOOKUP(D285,'f-travail'!A:A,'f-travail'!I:I))</f>
        <v>#N/A</v>
      </c>
      <c r="AJ285" s="673" t="e">
        <f>IF(G285="مدير ولائي",((W285+X285)*45)*80%,IF(V285&lt;8,0,IF(F285="إليزي",(LOOKUP(D285,'f-travail'!A:A,'f-travail'!O:O))*(AF285+AG285),LOOKUP(D285,'f-travail'!A:A,'f-travail'!P:P)*(AF285+AG285))))</f>
        <v>#N/A</v>
      </c>
      <c r="AK285" s="673" t="e">
        <f>IF(G285="مدير ولائي",0,LOOKUP(D285,'f-travail'!A:A,'f-travail'!Q:Q))</f>
        <v>#N/A</v>
      </c>
      <c r="AL285" s="673" t="e">
        <f>IF(G285="مدير ولائي",0,LOOKUP(D285,'f-travail'!A:A,'f-travail'!R:R)*(AF285+AG285))</f>
        <v>#N/A</v>
      </c>
      <c r="AM285" s="673" t="e">
        <f>IF(G285="مدير ولائي",0,LOOKUP(D285,'f-travail'!A:A,'f-travail'!S:S)*(AF285+AG285))</f>
        <v>#N/A</v>
      </c>
      <c r="AN285" s="673" t="e">
        <f>IF(G285="مدير ولائي",0,LOOKUP(D285,'f-travail'!A:A,'f-travail'!T:T)*(AF285+AG285))</f>
        <v>#N/A</v>
      </c>
      <c r="AO285" s="673" t="e">
        <f>IF(G285="مدير ولائي",0,LOOKUP(D285,'f-travail'!A:A,'f-travail'!U:U)*(AF285+AG285))</f>
        <v>#N/A</v>
      </c>
      <c r="AP285" s="673" t="e">
        <f>IF(G285="مدير ولائي",0,LOOKUP(D285,'f-travail'!A:A,'f-travail'!V:V)*(AF285+AG285))</f>
        <v>#N/A</v>
      </c>
      <c r="AQ285" s="673" t="e">
        <f>IF(G285="مدير ولائي",0,LOOKUP(D285,'f-travail'!A:A,'f-travail'!W:W)*(AF285+AG285))</f>
        <v>#N/A</v>
      </c>
      <c r="AR285" s="673">
        <f t="shared" si="134"/>
        <v>0</v>
      </c>
      <c r="AS285" s="673" t="e">
        <f>IF(G285="مدير ولائي",0,LOOKUP(D285,'f-travail'!A:A,'f-travail'!X:X)*(AF285+AG285))</f>
        <v>#N/A</v>
      </c>
      <c r="AT285" s="673" t="e">
        <f>IF(G285="مدير ولائي",0,LOOKUP(D285,'f-travail'!Y:Y,'f-travail'!R:R)*(AF285+AG285))</f>
        <v>#N/A</v>
      </c>
      <c r="AU285" s="673">
        <f t="shared" si="124"/>
        <v>0</v>
      </c>
      <c r="AV285" s="673">
        <f t="shared" si="125"/>
        <v>0</v>
      </c>
      <c r="AW285" s="673">
        <f t="shared" si="126"/>
        <v>0</v>
      </c>
      <c r="AY285" s="640" t="e">
        <f t="shared" si="135"/>
        <v>#N/A</v>
      </c>
      <c r="AZ285" s="673" t="e">
        <f t="shared" si="127"/>
        <v>#N/A</v>
      </c>
      <c r="BA285" s="639" t="e">
        <f t="shared" si="128"/>
        <v>#N/A</v>
      </c>
      <c r="BG285" s="639">
        <f t="shared" si="136"/>
        <v>0</v>
      </c>
      <c r="BH285" s="683">
        <f t="shared" si="137"/>
        <v>0</v>
      </c>
      <c r="BI285" s="683">
        <f t="shared" si="138"/>
        <v>0</v>
      </c>
      <c r="BJ285" s="641" t="e">
        <f t="shared" si="139"/>
        <v>#N/A</v>
      </c>
      <c r="BK285" s="641" t="e">
        <f t="shared" si="140"/>
        <v>#N/A</v>
      </c>
      <c r="BL285" s="641" t="e">
        <f t="shared" si="141"/>
        <v>#N/A</v>
      </c>
      <c r="BM285" s="684" t="e">
        <f t="shared" si="142"/>
        <v>#N/A</v>
      </c>
      <c r="BO285" s="682" t="e">
        <f>CONCATENATE(Z285," ",LOOKUP(D285,'f-travail'!A:A,'f-travail'!F:F))</f>
        <v>#N/A</v>
      </c>
      <c r="BP285" s="669" t="e">
        <f t="shared" si="129"/>
        <v>#N/A</v>
      </c>
    </row>
    <row r="286" spans="1:68">
      <c r="A286" s="636">
        <f t="shared" si="143"/>
        <v>285</v>
      </c>
      <c r="B286" s="637"/>
      <c r="C286" s="637"/>
      <c r="D286" s="652"/>
      <c r="E286" s="679" t="e">
        <f>LOOKUP(D286,'f-travail'!A:A,'f-travail'!B:B)</f>
        <v>#N/A</v>
      </c>
      <c r="F286" s="650"/>
      <c r="G286" s="650"/>
      <c r="H286" s="653"/>
      <c r="I286" s="653"/>
      <c r="J286" s="654"/>
      <c r="K286" s="650"/>
      <c r="L286" s="650"/>
      <c r="M286" s="650">
        <v>0</v>
      </c>
      <c r="N286" s="654"/>
      <c r="O286" s="654"/>
      <c r="P286" s="654"/>
      <c r="Q286" s="654"/>
      <c r="R286" s="676"/>
      <c r="S286" s="654"/>
      <c r="T286" s="675"/>
      <c r="U286" s="675"/>
      <c r="V286" s="670" t="e">
        <f>LOOKUP(D286,'f-travail'!A:A,'f-travail'!E:E)</f>
        <v>#N/A</v>
      </c>
      <c r="W286" s="670" t="e">
        <f>VLOOKUP(V286,جرقمإستدلالي,'f-travail'!$AD$4+1,FALSE)</f>
        <v>#N/A</v>
      </c>
      <c r="X286" s="671" t="e">
        <f t="shared" si="119"/>
        <v>#N/A</v>
      </c>
      <c r="Y286" s="671">
        <f>IF(G286="مدير ولائي",(HLOOKUP(I286,جدروظعليا,'f-travail'!$AT$3+1,FALSE)-3200),0)</f>
        <v>0</v>
      </c>
      <c r="Z286" s="672" t="str">
        <f t="shared" si="130"/>
        <v/>
      </c>
      <c r="AA286" s="671">
        <f t="shared" si="131"/>
        <v>0</v>
      </c>
      <c r="AB286" s="677" t="b">
        <f t="shared" si="120"/>
        <v>0</v>
      </c>
      <c r="AC286" s="678">
        <f t="shared" si="132"/>
        <v>0</v>
      </c>
      <c r="AD286" s="673"/>
      <c r="AE286" s="678">
        <f t="shared" si="121"/>
        <v>0</v>
      </c>
      <c r="AF286" s="678" t="e">
        <f t="shared" si="122"/>
        <v>#N/A</v>
      </c>
      <c r="AG286" s="678" t="e">
        <f t="shared" si="123"/>
        <v>#N/A</v>
      </c>
      <c r="AH286" s="673">
        <f t="shared" si="133"/>
        <v>0</v>
      </c>
      <c r="AI286" s="674" t="e">
        <f>IF(G286="مدير ولائي",(11000*35%),LOOKUP(D286,'f-travail'!A:A,'f-travail'!I:I))</f>
        <v>#N/A</v>
      </c>
      <c r="AJ286" s="673" t="e">
        <f>IF(G286="مدير ولائي",((W286+X286)*45)*80%,IF(V286&lt;8,0,IF(F286="إليزي",(LOOKUP(D286,'f-travail'!A:A,'f-travail'!O:O))*(AF286+AG286),LOOKUP(D286,'f-travail'!A:A,'f-travail'!P:P)*(AF286+AG286))))</f>
        <v>#N/A</v>
      </c>
      <c r="AK286" s="673" t="e">
        <f>IF(G286="مدير ولائي",0,LOOKUP(D286,'f-travail'!A:A,'f-travail'!Q:Q))</f>
        <v>#N/A</v>
      </c>
      <c r="AL286" s="673" t="e">
        <f>IF(G286="مدير ولائي",0,LOOKUP(D286,'f-travail'!A:A,'f-travail'!R:R)*(AF286+AG286))</f>
        <v>#N/A</v>
      </c>
      <c r="AM286" s="673" t="e">
        <f>IF(G286="مدير ولائي",0,LOOKUP(D286,'f-travail'!A:A,'f-travail'!S:S)*(AF286+AG286))</f>
        <v>#N/A</v>
      </c>
      <c r="AN286" s="673" t="e">
        <f>IF(G286="مدير ولائي",0,LOOKUP(D286,'f-travail'!A:A,'f-travail'!T:T)*(AF286+AG286))</f>
        <v>#N/A</v>
      </c>
      <c r="AO286" s="673" t="e">
        <f>IF(G286="مدير ولائي",0,LOOKUP(D286,'f-travail'!A:A,'f-travail'!U:U)*(AF286+AG286))</f>
        <v>#N/A</v>
      </c>
      <c r="AP286" s="673" t="e">
        <f>IF(G286="مدير ولائي",0,LOOKUP(D286,'f-travail'!A:A,'f-travail'!V:V)*(AF286+AG286))</f>
        <v>#N/A</v>
      </c>
      <c r="AQ286" s="673" t="e">
        <f>IF(G286="مدير ولائي",0,LOOKUP(D286,'f-travail'!A:A,'f-travail'!W:W)*(AF286+AG286))</f>
        <v>#N/A</v>
      </c>
      <c r="AR286" s="673">
        <f t="shared" si="134"/>
        <v>0</v>
      </c>
      <c r="AS286" s="673" t="e">
        <f>IF(G286="مدير ولائي",0,LOOKUP(D286,'f-travail'!A:A,'f-travail'!X:X)*(AF286+AG286))</f>
        <v>#N/A</v>
      </c>
      <c r="AT286" s="673" t="e">
        <f>IF(G286="مدير ولائي",0,LOOKUP(D286,'f-travail'!Y:Y,'f-travail'!R:R)*(AF286+AG286))</f>
        <v>#N/A</v>
      </c>
      <c r="AU286" s="673">
        <f t="shared" si="124"/>
        <v>0</v>
      </c>
      <c r="AV286" s="673">
        <f t="shared" si="125"/>
        <v>0</v>
      </c>
      <c r="AW286" s="673">
        <f t="shared" si="126"/>
        <v>0</v>
      </c>
      <c r="AY286" s="640" t="e">
        <f t="shared" si="135"/>
        <v>#N/A</v>
      </c>
      <c r="AZ286" s="673" t="e">
        <f t="shared" si="127"/>
        <v>#N/A</v>
      </c>
      <c r="BA286" s="639" t="e">
        <f t="shared" si="128"/>
        <v>#N/A</v>
      </c>
      <c r="BG286" s="639">
        <f t="shared" si="136"/>
        <v>0</v>
      </c>
      <c r="BH286" s="683">
        <f t="shared" si="137"/>
        <v>0</v>
      </c>
      <c r="BI286" s="683">
        <f t="shared" si="138"/>
        <v>0</v>
      </c>
      <c r="BJ286" s="641" t="e">
        <f t="shared" si="139"/>
        <v>#N/A</v>
      </c>
      <c r="BK286" s="641" t="e">
        <f t="shared" si="140"/>
        <v>#N/A</v>
      </c>
      <c r="BL286" s="641" t="e">
        <f t="shared" si="141"/>
        <v>#N/A</v>
      </c>
      <c r="BM286" s="684" t="e">
        <f t="shared" si="142"/>
        <v>#N/A</v>
      </c>
      <c r="BO286" s="682" t="e">
        <f>CONCATENATE(Z286," ",LOOKUP(D286,'f-travail'!A:A,'f-travail'!F:F))</f>
        <v>#N/A</v>
      </c>
      <c r="BP286" s="669" t="e">
        <f t="shared" si="129"/>
        <v>#N/A</v>
      </c>
    </row>
    <row r="287" spans="1:68">
      <c r="A287" s="636">
        <f t="shared" si="143"/>
        <v>286</v>
      </c>
      <c r="B287" s="637"/>
      <c r="C287" s="637"/>
      <c r="D287" s="652"/>
      <c r="E287" s="679" t="e">
        <f>LOOKUP(D287,'f-travail'!A:A,'f-travail'!B:B)</f>
        <v>#N/A</v>
      </c>
      <c r="F287" s="650"/>
      <c r="G287" s="650"/>
      <c r="H287" s="653"/>
      <c r="I287" s="653"/>
      <c r="J287" s="654"/>
      <c r="K287" s="650"/>
      <c r="L287" s="650"/>
      <c r="M287" s="650">
        <v>0</v>
      </c>
      <c r="N287" s="654"/>
      <c r="O287" s="654"/>
      <c r="P287" s="654"/>
      <c r="Q287" s="654"/>
      <c r="R287" s="676"/>
      <c r="S287" s="654"/>
      <c r="T287" s="675"/>
      <c r="U287" s="675"/>
      <c r="V287" s="670" t="e">
        <f>LOOKUP(D287,'f-travail'!A:A,'f-travail'!E:E)</f>
        <v>#N/A</v>
      </c>
      <c r="W287" s="670" t="e">
        <f>VLOOKUP(V287,جرقمإستدلالي,'f-travail'!$AD$4+1,FALSE)</f>
        <v>#N/A</v>
      </c>
      <c r="X287" s="671" t="e">
        <f t="shared" si="119"/>
        <v>#N/A</v>
      </c>
      <c r="Y287" s="671">
        <f>IF(G287="مدير ولائي",(HLOOKUP(I287,جدروظعليا,'f-travail'!$AT$3+1,FALSE)-3200),0)</f>
        <v>0</v>
      </c>
      <c r="Z287" s="672" t="str">
        <f t="shared" si="130"/>
        <v/>
      </c>
      <c r="AA287" s="671">
        <f t="shared" si="131"/>
        <v>0</v>
      </c>
      <c r="AB287" s="677" t="b">
        <f t="shared" si="120"/>
        <v>0</v>
      </c>
      <c r="AC287" s="678">
        <f t="shared" si="132"/>
        <v>0</v>
      </c>
      <c r="AD287" s="673"/>
      <c r="AE287" s="678">
        <f t="shared" si="121"/>
        <v>0</v>
      </c>
      <c r="AF287" s="678" t="e">
        <f t="shared" si="122"/>
        <v>#N/A</v>
      </c>
      <c r="AG287" s="678" t="e">
        <f t="shared" si="123"/>
        <v>#N/A</v>
      </c>
      <c r="AH287" s="673">
        <f t="shared" si="133"/>
        <v>0</v>
      </c>
      <c r="AI287" s="674" t="e">
        <f>IF(G287="مدير ولائي",(11000*35%),LOOKUP(D287,'f-travail'!A:A,'f-travail'!I:I))</f>
        <v>#N/A</v>
      </c>
      <c r="AJ287" s="673" t="e">
        <f>IF(G287="مدير ولائي",((W287+X287)*45)*80%,IF(V287&lt;8,0,IF(F287="إليزي",(LOOKUP(D287,'f-travail'!A:A,'f-travail'!O:O))*(AF287+AG287),LOOKUP(D287,'f-travail'!A:A,'f-travail'!P:P)*(AF287+AG287))))</f>
        <v>#N/A</v>
      </c>
      <c r="AK287" s="673" t="e">
        <f>IF(G287="مدير ولائي",0,LOOKUP(D287,'f-travail'!A:A,'f-travail'!Q:Q))</f>
        <v>#N/A</v>
      </c>
      <c r="AL287" s="673" t="e">
        <f>IF(G287="مدير ولائي",0,LOOKUP(D287,'f-travail'!A:A,'f-travail'!R:R)*(AF287+AG287))</f>
        <v>#N/A</v>
      </c>
      <c r="AM287" s="673" t="e">
        <f>IF(G287="مدير ولائي",0,LOOKUP(D287,'f-travail'!A:A,'f-travail'!S:S)*(AF287+AG287))</f>
        <v>#N/A</v>
      </c>
      <c r="AN287" s="673" t="e">
        <f>IF(G287="مدير ولائي",0,LOOKUP(D287,'f-travail'!A:A,'f-travail'!T:T)*(AF287+AG287))</f>
        <v>#N/A</v>
      </c>
      <c r="AO287" s="673" t="e">
        <f>IF(G287="مدير ولائي",0,LOOKUP(D287,'f-travail'!A:A,'f-travail'!U:U)*(AF287+AG287))</f>
        <v>#N/A</v>
      </c>
      <c r="AP287" s="673" t="e">
        <f>IF(G287="مدير ولائي",0,LOOKUP(D287,'f-travail'!A:A,'f-travail'!V:V)*(AF287+AG287))</f>
        <v>#N/A</v>
      </c>
      <c r="AQ287" s="673" t="e">
        <f>IF(G287="مدير ولائي",0,LOOKUP(D287,'f-travail'!A:A,'f-travail'!W:W)*(AF287+AG287))</f>
        <v>#N/A</v>
      </c>
      <c r="AR287" s="673">
        <f t="shared" si="134"/>
        <v>0</v>
      </c>
      <c r="AS287" s="673" t="e">
        <f>IF(G287="مدير ولائي",0,LOOKUP(D287,'f-travail'!A:A,'f-travail'!X:X)*(AF287+AG287))</f>
        <v>#N/A</v>
      </c>
      <c r="AT287" s="673" t="e">
        <f>IF(G287="مدير ولائي",0,LOOKUP(D287,'f-travail'!Y:Y,'f-travail'!R:R)*(AF287+AG287))</f>
        <v>#N/A</v>
      </c>
      <c r="AU287" s="673">
        <f t="shared" si="124"/>
        <v>0</v>
      </c>
      <c r="AV287" s="673">
        <f t="shared" si="125"/>
        <v>0</v>
      </c>
      <c r="AW287" s="673">
        <f t="shared" si="126"/>
        <v>0</v>
      </c>
      <c r="AY287" s="640" t="e">
        <f t="shared" si="135"/>
        <v>#N/A</v>
      </c>
      <c r="AZ287" s="673" t="e">
        <f t="shared" si="127"/>
        <v>#N/A</v>
      </c>
      <c r="BA287" s="639" t="e">
        <f t="shared" si="128"/>
        <v>#N/A</v>
      </c>
      <c r="BG287" s="639">
        <f t="shared" si="136"/>
        <v>0</v>
      </c>
      <c r="BH287" s="683">
        <f t="shared" si="137"/>
        <v>0</v>
      </c>
      <c r="BI287" s="683">
        <f t="shared" si="138"/>
        <v>0</v>
      </c>
      <c r="BJ287" s="641" t="e">
        <f t="shared" si="139"/>
        <v>#N/A</v>
      </c>
      <c r="BK287" s="641" t="e">
        <f t="shared" si="140"/>
        <v>#N/A</v>
      </c>
      <c r="BL287" s="641" t="e">
        <f t="shared" si="141"/>
        <v>#N/A</v>
      </c>
      <c r="BM287" s="684" t="e">
        <f t="shared" si="142"/>
        <v>#N/A</v>
      </c>
      <c r="BO287" s="682" t="e">
        <f>CONCATENATE(Z287," ",LOOKUP(D287,'f-travail'!A:A,'f-travail'!F:F))</f>
        <v>#N/A</v>
      </c>
      <c r="BP287" s="669" t="e">
        <f t="shared" si="129"/>
        <v>#N/A</v>
      </c>
    </row>
    <row r="288" spans="1:68">
      <c r="A288" s="636">
        <f t="shared" si="143"/>
        <v>287</v>
      </c>
      <c r="B288" s="637"/>
      <c r="C288" s="637"/>
      <c r="D288" s="652"/>
      <c r="E288" s="679" t="e">
        <f>LOOKUP(D288,'f-travail'!A:A,'f-travail'!B:B)</f>
        <v>#N/A</v>
      </c>
      <c r="F288" s="650"/>
      <c r="G288" s="650"/>
      <c r="H288" s="653"/>
      <c r="I288" s="653"/>
      <c r="J288" s="654"/>
      <c r="K288" s="650"/>
      <c r="L288" s="650"/>
      <c r="M288" s="650">
        <v>0</v>
      </c>
      <c r="N288" s="654"/>
      <c r="O288" s="654"/>
      <c r="P288" s="654"/>
      <c r="Q288" s="654"/>
      <c r="R288" s="676"/>
      <c r="S288" s="654"/>
      <c r="T288" s="675"/>
      <c r="U288" s="675"/>
      <c r="V288" s="670" t="e">
        <f>LOOKUP(D288,'f-travail'!A:A,'f-travail'!E:E)</f>
        <v>#N/A</v>
      </c>
      <c r="W288" s="670" t="e">
        <f>VLOOKUP(V288,جرقمإستدلالي,'f-travail'!$AD$4+1,FALSE)</f>
        <v>#N/A</v>
      </c>
      <c r="X288" s="671" t="e">
        <f t="shared" si="119"/>
        <v>#N/A</v>
      </c>
      <c r="Y288" s="671">
        <f>IF(G288="مدير ولائي",(HLOOKUP(I288,جدروظعليا,'f-travail'!$AT$3+1,FALSE)-3200),0)</f>
        <v>0</v>
      </c>
      <c r="Z288" s="672" t="str">
        <f t="shared" si="130"/>
        <v/>
      </c>
      <c r="AA288" s="671">
        <f t="shared" si="131"/>
        <v>0</v>
      </c>
      <c r="AB288" s="677" t="b">
        <f t="shared" si="120"/>
        <v>0</v>
      </c>
      <c r="AC288" s="678">
        <f t="shared" si="132"/>
        <v>0</v>
      </c>
      <c r="AD288" s="673"/>
      <c r="AE288" s="678">
        <f t="shared" si="121"/>
        <v>0</v>
      </c>
      <c r="AF288" s="678" t="e">
        <f t="shared" si="122"/>
        <v>#N/A</v>
      </c>
      <c r="AG288" s="678" t="e">
        <f t="shared" si="123"/>
        <v>#N/A</v>
      </c>
      <c r="AH288" s="673">
        <f t="shared" si="133"/>
        <v>0</v>
      </c>
      <c r="AI288" s="674" t="e">
        <f>IF(G288="مدير ولائي",(11000*35%),LOOKUP(D288,'f-travail'!A:A,'f-travail'!I:I))</f>
        <v>#N/A</v>
      </c>
      <c r="AJ288" s="673" t="e">
        <f>IF(G288="مدير ولائي",((W288+X288)*45)*80%,IF(V288&lt;8,0,IF(F288="إليزي",(LOOKUP(D288,'f-travail'!A:A,'f-travail'!O:O))*(AF288+AG288),LOOKUP(D288,'f-travail'!A:A,'f-travail'!P:P)*(AF288+AG288))))</f>
        <v>#N/A</v>
      </c>
      <c r="AK288" s="673" t="e">
        <f>IF(G288="مدير ولائي",0,LOOKUP(D288,'f-travail'!A:A,'f-travail'!Q:Q))</f>
        <v>#N/A</v>
      </c>
      <c r="AL288" s="673" t="e">
        <f>IF(G288="مدير ولائي",0,LOOKUP(D288,'f-travail'!A:A,'f-travail'!R:R)*(AF288+AG288))</f>
        <v>#N/A</v>
      </c>
      <c r="AM288" s="673" t="e">
        <f>IF(G288="مدير ولائي",0,LOOKUP(D288,'f-travail'!A:A,'f-travail'!S:S)*(AF288+AG288))</f>
        <v>#N/A</v>
      </c>
      <c r="AN288" s="673" t="e">
        <f>IF(G288="مدير ولائي",0,LOOKUP(D288,'f-travail'!A:A,'f-travail'!T:T)*(AF288+AG288))</f>
        <v>#N/A</v>
      </c>
      <c r="AO288" s="673" t="e">
        <f>IF(G288="مدير ولائي",0,LOOKUP(D288,'f-travail'!A:A,'f-travail'!U:U)*(AF288+AG288))</f>
        <v>#N/A</v>
      </c>
      <c r="AP288" s="673" t="e">
        <f>IF(G288="مدير ولائي",0,LOOKUP(D288,'f-travail'!A:A,'f-travail'!V:V)*(AF288+AG288))</f>
        <v>#N/A</v>
      </c>
      <c r="AQ288" s="673" t="e">
        <f>IF(G288="مدير ولائي",0,LOOKUP(D288,'f-travail'!A:A,'f-travail'!W:W)*(AF288+AG288))</f>
        <v>#N/A</v>
      </c>
      <c r="AR288" s="673">
        <f t="shared" si="134"/>
        <v>0</v>
      </c>
      <c r="AS288" s="673" t="e">
        <f>IF(G288="مدير ولائي",0,LOOKUP(D288,'f-travail'!A:A,'f-travail'!X:X)*(AF288+AG288))</f>
        <v>#N/A</v>
      </c>
      <c r="AT288" s="673" t="e">
        <f>IF(G288="مدير ولائي",0,LOOKUP(D288,'f-travail'!Y:Y,'f-travail'!R:R)*(AF288+AG288))</f>
        <v>#N/A</v>
      </c>
      <c r="AU288" s="673">
        <f t="shared" si="124"/>
        <v>0</v>
      </c>
      <c r="AV288" s="673">
        <f t="shared" si="125"/>
        <v>0</v>
      </c>
      <c r="AW288" s="673">
        <f t="shared" si="126"/>
        <v>0</v>
      </c>
      <c r="AY288" s="640" t="e">
        <f t="shared" si="135"/>
        <v>#N/A</v>
      </c>
      <c r="AZ288" s="673" t="e">
        <f t="shared" si="127"/>
        <v>#N/A</v>
      </c>
      <c r="BA288" s="639" t="e">
        <f t="shared" si="128"/>
        <v>#N/A</v>
      </c>
      <c r="BG288" s="639">
        <f t="shared" si="136"/>
        <v>0</v>
      </c>
      <c r="BH288" s="683">
        <f t="shared" si="137"/>
        <v>0</v>
      </c>
      <c r="BI288" s="683">
        <f t="shared" si="138"/>
        <v>0</v>
      </c>
      <c r="BJ288" s="641" t="e">
        <f t="shared" si="139"/>
        <v>#N/A</v>
      </c>
      <c r="BK288" s="641" t="e">
        <f t="shared" si="140"/>
        <v>#N/A</v>
      </c>
      <c r="BL288" s="641" t="e">
        <f t="shared" si="141"/>
        <v>#N/A</v>
      </c>
      <c r="BM288" s="684" t="e">
        <f t="shared" si="142"/>
        <v>#N/A</v>
      </c>
      <c r="BO288" s="682" t="e">
        <f>CONCATENATE(Z288," ",LOOKUP(D288,'f-travail'!A:A,'f-travail'!F:F))</f>
        <v>#N/A</v>
      </c>
      <c r="BP288" s="669" t="e">
        <f t="shared" si="129"/>
        <v>#N/A</v>
      </c>
    </row>
    <row r="289" spans="1:68">
      <c r="A289" s="636">
        <f t="shared" si="143"/>
        <v>288</v>
      </c>
      <c r="B289" s="637"/>
      <c r="C289" s="637"/>
      <c r="D289" s="652"/>
      <c r="E289" s="679" t="e">
        <f>LOOKUP(D289,'f-travail'!A:A,'f-travail'!B:B)</f>
        <v>#N/A</v>
      </c>
      <c r="F289" s="650"/>
      <c r="G289" s="650"/>
      <c r="H289" s="653"/>
      <c r="I289" s="653"/>
      <c r="J289" s="654"/>
      <c r="K289" s="650"/>
      <c r="L289" s="650"/>
      <c r="M289" s="650">
        <v>0</v>
      </c>
      <c r="N289" s="654"/>
      <c r="O289" s="654"/>
      <c r="P289" s="654"/>
      <c r="Q289" s="654"/>
      <c r="R289" s="676"/>
      <c r="S289" s="654"/>
      <c r="T289" s="675"/>
      <c r="U289" s="675"/>
      <c r="V289" s="670" t="e">
        <f>LOOKUP(D289,'f-travail'!A:A,'f-travail'!E:E)</f>
        <v>#N/A</v>
      </c>
      <c r="W289" s="670" t="e">
        <f>VLOOKUP(V289,جرقمإستدلالي,'f-travail'!$AD$4+1,FALSE)</f>
        <v>#N/A</v>
      </c>
      <c r="X289" s="671" t="e">
        <f t="shared" si="119"/>
        <v>#N/A</v>
      </c>
      <c r="Y289" s="671">
        <f>IF(G289="مدير ولائي",(HLOOKUP(I289,جدروظعليا,'f-travail'!$AT$3+1,FALSE)-3200),0)</f>
        <v>0</v>
      </c>
      <c r="Z289" s="672" t="str">
        <f t="shared" si="130"/>
        <v/>
      </c>
      <c r="AA289" s="671">
        <f t="shared" si="131"/>
        <v>0</v>
      </c>
      <c r="AB289" s="677" t="b">
        <f t="shared" si="120"/>
        <v>0</v>
      </c>
      <c r="AC289" s="678">
        <f t="shared" si="132"/>
        <v>0</v>
      </c>
      <c r="AD289" s="673"/>
      <c r="AE289" s="678">
        <f t="shared" si="121"/>
        <v>0</v>
      </c>
      <c r="AF289" s="678" t="e">
        <f t="shared" si="122"/>
        <v>#N/A</v>
      </c>
      <c r="AG289" s="678" t="e">
        <f t="shared" si="123"/>
        <v>#N/A</v>
      </c>
      <c r="AH289" s="673">
        <f t="shared" si="133"/>
        <v>0</v>
      </c>
      <c r="AI289" s="674" t="e">
        <f>IF(G289="مدير ولائي",(11000*35%),LOOKUP(D289,'f-travail'!A:A,'f-travail'!I:I))</f>
        <v>#N/A</v>
      </c>
      <c r="AJ289" s="673" t="e">
        <f>IF(G289="مدير ولائي",((W289+X289)*45)*80%,IF(V289&lt;8,0,IF(F289="إليزي",(LOOKUP(D289,'f-travail'!A:A,'f-travail'!O:O))*(AF289+AG289),LOOKUP(D289,'f-travail'!A:A,'f-travail'!P:P)*(AF289+AG289))))</f>
        <v>#N/A</v>
      </c>
      <c r="AK289" s="673" t="e">
        <f>IF(G289="مدير ولائي",0,LOOKUP(D289,'f-travail'!A:A,'f-travail'!Q:Q))</f>
        <v>#N/A</v>
      </c>
      <c r="AL289" s="673" t="e">
        <f>IF(G289="مدير ولائي",0,LOOKUP(D289,'f-travail'!A:A,'f-travail'!R:R)*(AF289+AG289))</f>
        <v>#N/A</v>
      </c>
      <c r="AM289" s="673" t="e">
        <f>IF(G289="مدير ولائي",0,LOOKUP(D289,'f-travail'!A:A,'f-travail'!S:S)*(AF289+AG289))</f>
        <v>#N/A</v>
      </c>
      <c r="AN289" s="673" t="e">
        <f>IF(G289="مدير ولائي",0,LOOKUP(D289,'f-travail'!A:A,'f-travail'!T:T)*(AF289+AG289))</f>
        <v>#N/A</v>
      </c>
      <c r="AO289" s="673" t="e">
        <f>IF(G289="مدير ولائي",0,LOOKUP(D289,'f-travail'!A:A,'f-travail'!U:U)*(AF289+AG289))</f>
        <v>#N/A</v>
      </c>
      <c r="AP289" s="673" t="e">
        <f>IF(G289="مدير ولائي",0,LOOKUP(D289,'f-travail'!A:A,'f-travail'!V:V)*(AF289+AG289))</f>
        <v>#N/A</v>
      </c>
      <c r="AQ289" s="673" t="e">
        <f>IF(G289="مدير ولائي",0,LOOKUP(D289,'f-travail'!A:A,'f-travail'!W:W)*(AF289+AG289))</f>
        <v>#N/A</v>
      </c>
      <c r="AR289" s="673">
        <f t="shared" si="134"/>
        <v>0</v>
      </c>
      <c r="AS289" s="673" t="e">
        <f>IF(G289="مدير ولائي",0,LOOKUP(D289,'f-travail'!A:A,'f-travail'!X:X)*(AF289+AG289))</f>
        <v>#N/A</v>
      </c>
      <c r="AT289" s="673" t="e">
        <f>IF(G289="مدير ولائي",0,LOOKUP(D289,'f-travail'!Y:Y,'f-travail'!R:R)*(AF289+AG289))</f>
        <v>#N/A</v>
      </c>
      <c r="AU289" s="673">
        <f t="shared" si="124"/>
        <v>0</v>
      </c>
      <c r="AV289" s="673">
        <f t="shared" si="125"/>
        <v>0</v>
      </c>
      <c r="AW289" s="673">
        <f t="shared" si="126"/>
        <v>0</v>
      </c>
      <c r="AY289" s="640" t="e">
        <f t="shared" si="135"/>
        <v>#N/A</v>
      </c>
      <c r="AZ289" s="673" t="e">
        <f t="shared" si="127"/>
        <v>#N/A</v>
      </c>
      <c r="BA289" s="639" t="e">
        <f t="shared" si="128"/>
        <v>#N/A</v>
      </c>
      <c r="BG289" s="639">
        <f t="shared" si="136"/>
        <v>0</v>
      </c>
      <c r="BH289" s="683">
        <f t="shared" si="137"/>
        <v>0</v>
      </c>
      <c r="BI289" s="683">
        <f t="shared" si="138"/>
        <v>0</v>
      </c>
      <c r="BJ289" s="641" t="e">
        <f t="shared" si="139"/>
        <v>#N/A</v>
      </c>
      <c r="BK289" s="641" t="e">
        <f t="shared" si="140"/>
        <v>#N/A</v>
      </c>
      <c r="BL289" s="641" t="e">
        <f t="shared" si="141"/>
        <v>#N/A</v>
      </c>
      <c r="BM289" s="684" t="e">
        <f t="shared" si="142"/>
        <v>#N/A</v>
      </c>
      <c r="BO289" s="682" t="e">
        <f>CONCATENATE(Z289," ",LOOKUP(D289,'f-travail'!A:A,'f-travail'!F:F))</f>
        <v>#N/A</v>
      </c>
      <c r="BP289" s="669" t="e">
        <f t="shared" si="129"/>
        <v>#N/A</v>
      </c>
    </row>
    <row r="290" spans="1:68">
      <c r="A290" s="636">
        <f t="shared" si="143"/>
        <v>289</v>
      </c>
      <c r="B290" s="637"/>
      <c r="C290" s="637"/>
      <c r="D290" s="652"/>
      <c r="E290" s="679" t="e">
        <f>LOOKUP(D290,'f-travail'!A:A,'f-travail'!B:B)</f>
        <v>#N/A</v>
      </c>
      <c r="F290" s="650"/>
      <c r="G290" s="650"/>
      <c r="H290" s="653"/>
      <c r="I290" s="653"/>
      <c r="J290" s="654"/>
      <c r="K290" s="650"/>
      <c r="L290" s="650"/>
      <c r="M290" s="650">
        <v>0</v>
      </c>
      <c r="N290" s="654"/>
      <c r="O290" s="654"/>
      <c r="P290" s="654"/>
      <c r="Q290" s="654"/>
      <c r="R290" s="676"/>
      <c r="S290" s="654"/>
      <c r="T290" s="675"/>
      <c r="U290" s="675"/>
      <c r="V290" s="670" t="e">
        <f>LOOKUP(D290,'f-travail'!A:A,'f-travail'!E:E)</f>
        <v>#N/A</v>
      </c>
      <c r="W290" s="670" t="e">
        <f>VLOOKUP(V290,جرقمإستدلالي,'f-travail'!$AD$4+1,FALSE)</f>
        <v>#N/A</v>
      </c>
      <c r="X290" s="671" t="e">
        <f t="shared" si="119"/>
        <v>#N/A</v>
      </c>
      <c r="Y290" s="671">
        <f>IF(G290="مدير ولائي",(HLOOKUP(I290,جدروظعليا,'f-travail'!$AT$3+1,FALSE)-3200),0)</f>
        <v>0</v>
      </c>
      <c r="Z290" s="672" t="str">
        <f t="shared" si="130"/>
        <v/>
      </c>
      <c r="AA290" s="671">
        <f t="shared" si="131"/>
        <v>0</v>
      </c>
      <c r="AB290" s="677" t="b">
        <f t="shared" si="120"/>
        <v>0</v>
      </c>
      <c r="AC290" s="678">
        <f t="shared" si="132"/>
        <v>0</v>
      </c>
      <c r="AD290" s="673"/>
      <c r="AE290" s="678">
        <f t="shared" si="121"/>
        <v>0</v>
      </c>
      <c r="AF290" s="678" t="e">
        <f t="shared" si="122"/>
        <v>#N/A</v>
      </c>
      <c r="AG290" s="678" t="e">
        <f t="shared" si="123"/>
        <v>#N/A</v>
      </c>
      <c r="AH290" s="673">
        <f t="shared" si="133"/>
        <v>0</v>
      </c>
      <c r="AI290" s="674" t="e">
        <f>IF(G290="مدير ولائي",(11000*35%),LOOKUP(D290,'f-travail'!A:A,'f-travail'!I:I))</f>
        <v>#N/A</v>
      </c>
      <c r="AJ290" s="673" t="e">
        <f>IF(G290="مدير ولائي",((W290+X290)*45)*80%,IF(V290&lt;8,0,IF(F290="إليزي",(LOOKUP(D290,'f-travail'!A:A,'f-travail'!O:O))*(AF290+AG290),LOOKUP(D290,'f-travail'!A:A,'f-travail'!P:P)*(AF290+AG290))))</f>
        <v>#N/A</v>
      </c>
      <c r="AK290" s="673" t="e">
        <f>IF(G290="مدير ولائي",0,LOOKUP(D290,'f-travail'!A:A,'f-travail'!Q:Q))</f>
        <v>#N/A</v>
      </c>
      <c r="AL290" s="673" t="e">
        <f>IF(G290="مدير ولائي",0,LOOKUP(D290,'f-travail'!A:A,'f-travail'!R:R)*(AF290+AG290))</f>
        <v>#N/A</v>
      </c>
      <c r="AM290" s="673" t="e">
        <f>IF(G290="مدير ولائي",0,LOOKUP(D290,'f-travail'!A:A,'f-travail'!S:S)*(AF290+AG290))</f>
        <v>#N/A</v>
      </c>
      <c r="AN290" s="673" t="e">
        <f>IF(G290="مدير ولائي",0,LOOKUP(D290,'f-travail'!A:A,'f-travail'!T:T)*(AF290+AG290))</f>
        <v>#N/A</v>
      </c>
      <c r="AO290" s="673" t="e">
        <f>IF(G290="مدير ولائي",0,LOOKUP(D290,'f-travail'!A:A,'f-travail'!U:U)*(AF290+AG290))</f>
        <v>#N/A</v>
      </c>
      <c r="AP290" s="673" t="e">
        <f>IF(G290="مدير ولائي",0,LOOKUP(D290,'f-travail'!A:A,'f-travail'!V:V)*(AF290+AG290))</f>
        <v>#N/A</v>
      </c>
      <c r="AQ290" s="673" t="e">
        <f>IF(G290="مدير ولائي",0,LOOKUP(D290,'f-travail'!A:A,'f-travail'!W:W)*(AF290+AG290))</f>
        <v>#N/A</v>
      </c>
      <c r="AR290" s="673">
        <f t="shared" si="134"/>
        <v>0</v>
      </c>
      <c r="AS290" s="673" t="e">
        <f>IF(G290="مدير ولائي",0,LOOKUP(D290,'f-travail'!A:A,'f-travail'!X:X)*(AF290+AG290))</f>
        <v>#N/A</v>
      </c>
      <c r="AT290" s="673" t="e">
        <f>IF(G290="مدير ولائي",0,LOOKUP(D290,'f-travail'!Y:Y,'f-travail'!R:R)*(AF290+AG290))</f>
        <v>#N/A</v>
      </c>
      <c r="AU290" s="673">
        <f t="shared" si="124"/>
        <v>0</v>
      </c>
      <c r="AV290" s="673">
        <f t="shared" si="125"/>
        <v>0</v>
      </c>
      <c r="AW290" s="673">
        <f t="shared" si="126"/>
        <v>0</v>
      </c>
      <c r="AY290" s="640" t="e">
        <f t="shared" si="135"/>
        <v>#N/A</v>
      </c>
      <c r="AZ290" s="673" t="e">
        <f t="shared" si="127"/>
        <v>#N/A</v>
      </c>
      <c r="BA290" s="639" t="e">
        <f t="shared" si="128"/>
        <v>#N/A</v>
      </c>
      <c r="BG290" s="639">
        <f t="shared" si="136"/>
        <v>0</v>
      </c>
      <c r="BH290" s="683">
        <f t="shared" si="137"/>
        <v>0</v>
      </c>
      <c r="BI290" s="683">
        <f t="shared" si="138"/>
        <v>0</v>
      </c>
      <c r="BJ290" s="641" t="e">
        <f t="shared" si="139"/>
        <v>#N/A</v>
      </c>
      <c r="BK290" s="641" t="e">
        <f t="shared" si="140"/>
        <v>#N/A</v>
      </c>
      <c r="BL290" s="641" t="e">
        <f t="shared" si="141"/>
        <v>#N/A</v>
      </c>
      <c r="BM290" s="684" t="e">
        <f t="shared" si="142"/>
        <v>#N/A</v>
      </c>
      <c r="BO290" s="682" t="e">
        <f>CONCATENATE(Z290," ",LOOKUP(D290,'f-travail'!A:A,'f-travail'!F:F))</f>
        <v>#N/A</v>
      </c>
      <c r="BP290" s="669" t="e">
        <f t="shared" si="129"/>
        <v>#N/A</v>
      </c>
    </row>
    <row r="291" spans="1:68">
      <c r="A291" s="636">
        <f t="shared" si="143"/>
        <v>290</v>
      </c>
      <c r="B291" s="637"/>
      <c r="C291" s="637"/>
      <c r="D291" s="652"/>
      <c r="E291" s="679" t="e">
        <f>LOOKUP(D291,'f-travail'!A:A,'f-travail'!B:B)</f>
        <v>#N/A</v>
      </c>
      <c r="F291" s="650"/>
      <c r="G291" s="650"/>
      <c r="H291" s="653"/>
      <c r="I291" s="653"/>
      <c r="J291" s="654"/>
      <c r="K291" s="650"/>
      <c r="L291" s="650"/>
      <c r="M291" s="650">
        <v>0</v>
      </c>
      <c r="N291" s="654"/>
      <c r="O291" s="654"/>
      <c r="P291" s="654"/>
      <c r="Q291" s="654"/>
      <c r="R291" s="676"/>
      <c r="S291" s="654"/>
      <c r="T291" s="675"/>
      <c r="U291" s="675"/>
      <c r="V291" s="670" t="e">
        <f>LOOKUP(D291,'f-travail'!A:A,'f-travail'!E:E)</f>
        <v>#N/A</v>
      </c>
      <c r="W291" s="670" t="e">
        <f>VLOOKUP(V291,جرقمإستدلالي,'f-travail'!$AD$4+1,FALSE)</f>
        <v>#N/A</v>
      </c>
      <c r="X291" s="671" t="e">
        <f t="shared" si="119"/>
        <v>#N/A</v>
      </c>
      <c r="Y291" s="671">
        <f>IF(G291="مدير ولائي",(HLOOKUP(I291,جدروظعليا,'f-travail'!$AT$3+1,FALSE)-3200),0)</f>
        <v>0</v>
      </c>
      <c r="Z291" s="672" t="str">
        <f t="shared" si="130"/>
        <v/>
      </c>
      <c r="AA291" s="671">
        <f t="shared" si="131"/>
        <v>0</v>
      </c>
      <c r="AB291" s="677" t="b">
        <f t="shared" si="120"/>
        <v>0</v>
      </c>
      <c r="AC291" s="678">
        <f t="shared" si="132"/>
        <v>0</v>
      </c>
      <c r="AD291" s="673"/>
      <c r="AE291" s="678">
        <f t="shared" si="121"/>
        <v>0</v>
      </c>
      <c r="AF291" s="678" t="e">
        <f t="shared" si="122"/>
        <v>#N/A</v>
      </c>
      <c r="AG291" s="678" t="e">
        <f t="shared" si="123"/>
        <v>#N/A</v>
      </c>
      <c r="AH291" s="673">
        <f t="shared" si="133"/>
        <v>0</v>
      </c>
      <c r="AI291" s="674" t="e">
        <f>IF(G291="مدير ولائي",(11000*35%),LOOKUP(D291,'f-travail'!A:A,'f-travail'!I:I))</f>
        <v>#N/A</v>
      </c>
      <c r="AJ291" s="673" t="e">
        <f>IF(G291="مدير ولائي",((W291+X291)*45)*80%,IF(V291&lt;8,0,IF(F291="إليزي",(LOOKUP(D291,'f-travail'!A:A,'f-travail'!O:O))*(AF291+AG291),LOOKUP(D291,'f-travail'!A:A,'f-travail'!P:P)*(AF291+AG291))))</f>
        <v>#N/A</v>
      </c>
      <c r="AK291" s="673" t="e">
        <f>IF(G291="مدير ولائي",0,LOOKUP(D291,'f-travail'!A:A,'f-travail'!Q:Q))</f>
        <v>#N/A</v>
      </c>
      <c r="AL291" s="673" t="e">
        <f>IF(G291="مدير ولائي",0,LOOKUP(D291,'f-travail'!A:A,'f-travail'!R:R)*(AF291+AG291))</f>
        <v>#N/A</v>
      </c>
      <c r="AM291" s="673" t="e">
        <f>IF(G291="مدير ولائي",0,LOOKUP(D291,'f-travail'!A:A,'f-travail'!S:S)*(AF291+AG291))</f>
        <v>#N/A</v>
      </c>
      <c r="AN291" s="673" t="e">
        <f>IF(G291="مدير ولائي",0,LOOKUP(D291,'f-travail'!A:A,'f-travail'!T:T)*(AF291+AG291))</f>
        <v>#N/A</v>
      </c>
      <c r="AO291" s="673" t="e">
        <f>IF(G291="مدير ولائي",0,LOOKUP(D291,'f-travail'!A:A,'f-travail'!U:U)*(AF291+AG291))</f>
        <v>#N/A</v>
      </c>
      <c r="AP291" s="673" t="e">
        <f>IF(G291="مدير ولائي",0,LOOKUP(D291,'f-travail'!A:A,'f-travail'!V:V)*(AF291+AG291))</f>
        <v>#N/A</v>
      </c>
      <c r="AQ291" s="673" t="e">
        <f>IF(G291="مدير ولائي",0,LOOKUP(D291,'f-travail'!A:A,'f-travail'!W:W)*(AF291+AG291))</f>
        <v>#N/A</v>
      </c>
      <c r="AR291" s="673">
        <f t="shared" si="134"/>
        <v>0</v>
      </c>
      <c r="AS291" s="673" t="e">
        <f>IF(G291="مدير ولائي",0,LOOKUP(D291,'f-travail'!A:A,'f-travail'!X:X)*(AF291+AG291))</f>
        <v>#N/A</v>
      </c>
      <c r="AT291" s="673" t="e">
        <f>IF(G291="مدير ولائي",0,LOOKUP(D291,'f-travail'!Y:Y,'f-travail'!R:R)*(AF291+AG291))</f>
        <v>#N/A</v>
      </c>
      <c r="AU291" s="673">
        <f t="shared" si="124"/>
        <v>0</v>
      </c>
      <c r="AV291" s="673">
        <f t="shared" si="125"/>
        <v>0</v>
      </c>
      <c r="AW291" s="673">
        <f t="shared" si="126"/>
        <v>0</v>
      </c>
      <c r="AY291" s="640" t="e">
        <f t="shared" si="135"/>
        <v>#N/A</v>
      </c>
      <c r="AZ291" s="673" t="e">
        <f t="shared" si="127"/>
        <v>#N/A</v>
      </c>
      <c r="BA291" s="639" t="e">
        <f t="shared" si="128"/>
        <v>#N/A</v>
      </c>
      <c r="BG291" s="639">
        <f t="shared" si="136"/>
        <v>0</v>
      </c>
      <c r="BH291" s="683">
        <f t="shared" si="137"/>
        <v>0</v>
      </c>
      <c r="BI291" s="683">
        <f t="shared" si="138"/>
        <v>0</v>
      </c>
      <c r="BJ291" s="641" t="e">
        <f t="shared" si="139"/>
        <v>#N/A</v>
      </c>
      <c r="BK291" s="641" t="e">
        <f t="shared" si="140"/>
        <v>#N/A</v>
      </c>
      <c r="BL291" s="641" t="e">
        <f t="shared" si="141"/>
        <v>#N/A</v>
      </c>
      <c r="BM291" s="684" t="e">
        <f t="shared" si="142"/>
        <v>#N/A</v>
      </c>
      <c r="BO291" s="682" t="e">
        <f>CONCATENATE(Z291," ",LOOKUP(D291,'f-travail'!A:A,'f-travail'!F:F))</f>
        <v>#N/A</v>
      </c>
      <c r="BP291" s="669" t="e">
        <f t="shared" si="129"/>
        <v>#N/A</v>
      </c>
    </row>
    <row r="292" spans="1:68">
      <c r="A292" s="636">
        <f t="shared" si="143"/>
        <v>291</v>
      </c>
      <c r="B292" s="637"/>
      <c r="C292" s="637"/>
      <c r="D292" s="652"/>
      <c r="E292" s="679" t="e">
        <f>LOOKUP(D292,'f-travail'!A:A,'f-travail'!B:B)</f>
        <v>#N/A</v>
      </c>
      <c r="F292" s="650"/>
      <c r="G292" s="650"/>
      <c r="H292" s="653"/>
      <c r="I292" s="653"/>
      <c r="J292" s="654"/>
      <c r="K292" s="650"/>
      <c r="L292" s="650"/>
      <c r="M292" s="650">
        <v>0</v>
      </c>
      <c r="N292" s="654"/>
      <c r="O292" s="654"/>
      <c r="P292" s="654"/>
      <c r="Q292" s="654"/>
      <c r="R292" s="676"/>
      <c r="S292" s="654"/>
      <c r="T292" s="675"/>
      <c r="U292" s="675"/>
      <c r="V292" s="670" t="e">
        <f>LOOKUP(D292,'f-travail'!A:A,'f-travail'!E:E)</f>
        <v>#N/A</v>
      </c>
      <c r="W292" s="670" t="e">
        <f>VLOOKUP(V292,جرقمإستدلالي,'f-travail'!$AD$4+1,FALSE)</f>
        <v>#N/A</v>
      </c>
      <c r="X292" s="671" t="e">
        <f t="shared" si="119"/>
        <v>#N/A</v>
      </c>
      <c r="Y292" s="671">
        <f>IF(G292="مدير ولائي",(HLOOKUP(I292,جدروظعليا,'f-travail'!$AT$3+1,FALSE)-3200),0)</f>
        <v>0</v>
      </c>
      <c r="Z292" s="672" t="str">
        <f t="shared" si="130"/>
        <v/>
      </c>
      <c r="AA292" s="671">
        <f t="shared" si="131"/>
        <v>0</v>
      </c>
      <c r="AB292" s="677" t="b">
        <f t="shared" si="120"/>
        <v>0</v>
      </c>
      <c r="AC292" s="678">
        <f t="shared" si="132"/>
        <v>0</v>
      </c>
      <c r="AD292" s="673"/>
      <c r="AE292" s="678">
        <f t="shared" si="121"/>
        <v>0</v>
      </c>
      <c r="AF292" s="678" t="e">
        <f t="shared" si="122"/>
        <v>#N/A</v>
      </c>
      <c r="AG292" s="678" t="e">
        <f t="shared" si="123"/>
        <v>#N/A</v>
      </c>
      <c r="AH292" s="673">
        <f t="shared" si="133"/>
        <v>0</v>
      </c>
      <c r="AI292" s="674" t="e">
        <f>IF(G292="مدير ولائي",(11000*35%),LOOKUP(D292,'f-travail'!A:A,'f-travail'!I:I))</f>
        <v>#N/A</v>
      </c>
      <c r="AJ292" s="673" t="e">
        <f>IF(G292="مدير ولائي",((W292+X292)*45)*80%,IF(V292&lt;8,0,IF(F292="إليزي",(LOOKUP(D292,'f-travail'!A:A,'f-travail'!O:O))*(AF292+AG292),LOOKUP(D292,'f-travail'!A:A,'f-travail'!P:P)*(AF292+AG292))))</f>
        <v>#N/A</v>
      </c>
      <c r="AK292" s="673" t="e">
        <f>IF(G292="مدير ولائي",0,LOOKUP(D292,'f-travail'!A:A,'f-travail'!Q:Q))</f>
        <v>#N/A</v>
      </c>
      <c r="AL292" s="673" t="e">
        <f>IF(G292="مدير ولائي",0,LOOKUP(D292,'f-travail'!A:A,'f-travail'!R:R)*(AF292+AG292))</f>
        <v>#N/A</v>
      </c>
      <c r="AM292" s="673" t="e">
        <f>IF(G292="مدير ولائي",0,LOOKUP(D292,'f-travail'!A:A,'f-travail'!S:S)*(AF292+AG292))</f>
        <v>#N/A</v>
      </c>
      <c r="AN292" s="673" t="e">
        <f>IF(G292="مدير ولائي",0,LOOKUP(D292,'f-travail'!A:A,'f-travail'!T:T)*(AF292+AG292))</f>
        <v>#N/A</v>
      </c>
      <c r="AO292" s="673" t="e">
        <f>IF(G292="مدير ولائي",0,LOOKUP(D292,'f-travail'!A:A,'f-travail'!U:U)*(AF292+AG292))</f>
        <v>#N/A</v>
      </c>
      <c r="AP292" s="673" t="e">
        <f>IF(G292="مدير ولائي",0,LOOKUP(D292,'f-travail'!A:A,'f-travail'!V:V)*(AF292+AG292))</f>
        <v>#N/A</v>
      </c>
      <c r="AQ292" s="673" t="e">
        <f>IF(G292="مدير ولائي",0,LOOKUP(D292,'f-travail'!A:A,'f-travail'!W:W)*(AF292+AG292))</f>
        <v>#N/A</v>
      </c>
      <c r="AR292" s="673">
        <f t="shared" si="134"/>
        <v>0</v>
      </c>
      <c r="AS292" s="673" t="e">
        <f>IF(G292="مدير ولائي",0,LOOKUP(D292,'f-travail'!A:A,'f-travail'!X:X)*(AF292+AG292))</f>
        <v>#N/A</v>
      </c>
      <c r="AT292" s="673" t="e">
        <f>IF(G292="مدير ولائي",0,LOOKUP(D292,'f-travail'!Y:Y,'f-travail'!R:R)*(AF292+AG292))</f>
        <v>#N/A</v>
      </c>
      <c r="AU292" s="673">
        <f t="shared" si="124"/>
        <v>0</v>
      </c>
      <c r="AV292" s="673">
        <f t="shared" si="125"/>
        <v>0</v>
      </c>
      <c r="AW292" s="673">
        <f t="shared" si="126"/>
        <v>0</v>
      </c>
      <c r="AY292" s="640" t="e">
        <f t="shared" si="135"/>
        <v>#N/A</v>
      </c>
      <c r="AZ292" s="673" t="e">
        <f t="shared" si="127"/>
        <v>#N/A</v>
      </c>
      <c r="BA292" s="639" t="e">
        <f t="shared" si="128"/>
        <v>#N/A</v>
      </c>
      <c r="BG292" s="639">
        <f t="shared" si="136"/>
        <v>0</v>
      </c>
      <c r="BH292" s="683">
        <f t="shared" si="137"/>
        <v>0</v>
      </c>
      <c r="BI292" s="683">
        <f t="shared" si="138"/>
        <v>0</v>
      </c>
      <c r="BJ292" s="641" t="e">
        <f t="shared" si="139"/>
        <v>#N/A</v>
      </c>
      <c r="BK292" s="641" t="e">
        <f t="shared" si="140"/>
        <v>#N/A</v>
      </c>
      <c r="BL292" s="641" t="e">
        <f t="shared" si="141"/>
        <v>#N/A</v>
      </c>
      <c r="BM292" s="684" t="e">
        <f t="shared" si="142"/>
        <v>#N/A</v>
      </c>
      <c r="BO292" s="682" t="e">
        <f>CONCATENATE(Z292," ",LOOKUP(D292,'f-travail'!A:A,'f-travail'!F:F))</f>
        <v>#N/A</v>
      </c>
      <c r="BP292" s="669" t="e">
        <f t="shared" si="129"/>
        <v>#N/A</v>
      </c>
    </row>
    <row r="293" spans="1:68">
      <c r="A293" s="636">
        <f t="shared" si="143"/>
        <v>292</v>
      </c>
      <c r="B293" s="637"/>
      <c r="C293" s="637"/>
      <c r="D293" s="652"/>
      <c r="E293" s="679" t="e">
        <f>LOOKUP(D293,'f-travail'!A:A,'f-travail'!B:B)</f>
        <v>#N/A</v>
      </c>
      <c r="F293" s="650"/>
      <c r="G293" s="650"/>
      <c r="H293" s="653"/>
      <c r="I293" s="653"/>
      <c r="J293" s="654"/>
      <c r="K293" s="650"/>
      <c r="L293" s="650"/>
      <c r="M293" s="650">
        <v>0</v>
      </c>
      <c r="N293" s="654"/>
      <c r="O293" s="654"/>
      <c r="P293" s="654"/>
      <c r="Q293" s="654"/>
      <c r="R293" s="676"/>
      <c r="S293" s="654"/>
      <c r="T293" s="675"/>
      <c r="U293" s="675"/>
      <c r="V293" s="670" t="e">
        <f>LOOKUP(D293,'f-travail'!A:A,'f-travail'!E:E)</f>
        <v>#N/A</v>
      </c>
      <c r="W293" s="670" t="e">
        <f>VLOOKUP(V293,جرقمإستدلالي,'f-travail'!$AD$4+1,FALSE)</f>
        <v>#N/A</v>
      </c>
      <c r="X293" s="671" t="e">
        <f t="shared" si="119"/>
        <v>#N/A</v>
      </c>
      <c r="Y293" s="671">
        <f>IF(G293="مدير ولائي",(HLOOKUP(I293,جدروظعليا,'f-travail'!$AT$3+1,FALSE)-3200),0)</f>
        <v>0</v>
      </c>
      <c r="Z293" s="672" t="str">
        <f t="shared" si="130"/>
        <v/>
      </c>
      <c r="AA293" s="671">
        <f t="shared" si="131"/>
        <v>0</v>
      </c>
      <c r="AB293" s="677" t="b">
        <f t="shared" si="120"/>
        <v>0</v>
      </c>
      <c r="AC293" s="678">
        <f t="shared" si="132"/>
        <v>0</v>
      </c>
      <c r="AD293" s="673"/>
      <c r="AE293" s="678">
        <f t="shared" si="121"/>
        <v>0</v>
      </c>
      <c r="AF293" s="678" t="e">
        <f t="shared" si="122"/>
        <v>#N/A</v>
      </c>
      <c r="AG293" s="678" t="e">
        <f t="shared" si="123"/>
        <v>#N/A</v>
      </c>
      <c r="AH293" s="673">
        <f t="shared" si="133"/>
        <v>0</v>
      </c>
      <c r="AI293" s="674" t="e">
        <f>IF(G293="مدير ولائي",(11000*35%),LOOKUP(D293,'f-travail'!A:A,'f-travail'!I:I))</f>
        <v>#N/A</v>
      </c>
      <c r="AJ293" s="673" t="e">
        <f>IF(G293="مدير ولائي",((W293+X293)*45)*80%,IF(V293&lt;8,0,IF(F293="إليزي",(LOOKUP(D293,'f-travail'!A:A,'f-travail'!O:O))*(AF293+AG293),LOOKUP(D293,'f-travail'!A:A,'f-travail'!P:P)*(AF293+AG293))))</f>
        <v>#N/A</v>
      </c>
      <c r="AK293" s="673" t="e">
        <f>IF(G293="مدير ولائي",0,LOOKUP(D293,'f-travail'!A:A,'f-travail'!Q:Q))</f>
        <v>#N/A</v>
      </c>
      <c r="AL293" s="673" t="e">
        <f>IF(G293="مدير ولائي",0,LOOKUP(D293,'f-travail'!A:A,'f-travail'!R:R)*(AF293+AG293))</f>
        <v>#N/A</v>
      </c>
      <c r="AM293" s="673" t="e">
        <f>IF(G293="مدير ولائي",0,LOOKUP(D293,'f-travail'!A:A,'f-travail'!S:S)*(AF293+AG293))</f>
        <v>#N/A</v>
      </c>
      <c r="AN293" s="673" t="e">
        <f>IF(G293="مدير ولائي",0,LOOKUP(D293,'f-travail'!A:A,'f-travail'!T:T)*(AF293+AG293))</f>
        <v>#N/A</v>
      </c>
      <c r="AO293" s="673" t="e">
        <f>IF(G293="مدير ولائي",0,LOOKUP(D293,'f-travail'!A:A,'f-travail'!U:U)*(AF293+AG293))</f>
        <v>#N/A</v>
      </c>
      <c r="AP293" s="673" t="e">
        <f>IF(G293="مدير ولائي",0,LOOKUP(D293,'f-travail'!A:A,'f-travail'!V:V)*(AF293+AG293))</f>
        <v>#N/A</v>
      </c>
      <c r="AQ293" s="673" t="e">
        <f>IF(G293="مدير ولائي",0,LOOKUP(D293,'f-travail'!A:A,'f-travail'!W:W)*(AF293+AG293))</f>
        <v>#N/A</v>
      </c>
      <c r="AR293" s="673">
        <f t="shared" si="134"/>
        <v>0</v>
      </c>
      <c r="AS293" s="673" t="e">
        <f>IF(G293="مدير ولائي",0,LOOKUP(D293,'f-travail'!A:A,'f-travail'!X:X)*(AF293+AG293))</f>
        <v>#N/A</v>
      </c>
      <c r="AT293" s="673" t="e">
        <f>IF(G293="مدير ولائي",0,LOOKUP(D293,'f-travail'!Y:Y,'f-travail'!R:R)*(AF293+AG293))</f>
        <v>#N/A</v>
      </c>
      <c r="AU293" s="673">
        <f t="shared" si="124"/>
        <v>0</v>
      </c>
      <c r="AV293" s="673">
        <f t="shared" si="125"/>
        <v>0</v>
      </c>
      <c r="AW293" s="673">
        <f t="shared" si="126"/>
        <v>0</v>
      </c>
      <c r="AY293" s="640" t="e">
        <f t="shared" si="135"/>
        <v>#N/A</v>
      </c>
      <c r="AZ293" s="673" t="e">
        <f t="shared" si="127"/>
        <v>#N/A</v>
      </c>
      <c r="BA293" s="639" t="e">
        <f t="shared" si="128"/>
        <v>#N/A</v>
      </c>
      <c r="BG293" s="639">
        <f t="shared" si="136"/>
        <v>0</v>
      </c>
      <c r="BH293" s="683">
        <f t="shared" si="137"/>
        <v>0</v>
      </c>
      <c r="BI293" s="683">
        <f t="shared" si="138"/>
        <v>0</v>
      </c>
      <c r="BJ293" s="641" t="e">
        <f t="shared" si="139"/>
        <v>#N/A</v>
      </c>
      <c r="BK293" s="641" t="e">
        <f t="shared" si="140"/>
        <v>#N/A</v>
      </c>
      <c r="BL293" s="641" t="e">
        <f t="shared" si="141"/>
        <v>#N/A</v>
      </c>
      <c r="BM293" s="684" t="e">
        <f t="shared" si="142"/>
        <v>#N/A</v>
      </c>
      <c r="BO293" s="682" t="e">
        <f>CONCATENATE(Z293," ",LOOKUP(D293,'f-travail'!A:A,'f-travail'!F:F))</f>
        <v>#N/A</v>
      </c>
      <c r="BP293" s="669" t="e">
        <f t="shared" si="129"/>
        <v>#N/A</v>
      </c>
    </row>
    <row r="294" spans="1:68">
      <c r="A294" s="636">
        <f t="shared" si="143"/>
        <v>293</v>
      </c>
      <c r="B294" s="637"/>
      <c r="C294" s="637"/>
      <c r="D294" s="652"/>
      <c r="E294" s="679" t="e">
        <f>LOOKUP(D294,'f-travail'!A:A,'f-travail'!B:B)</f>
        <v>#N/A</v>
      </c>
      <c r="F294" s="650"/>
      <c r="G294" s="650"/>
      <c r="H294" s="653"/>
      <c r="I294" s="653"/>
      <c r="J294" s="654"/>
      <c r="K294" s="650"/>
      <c r="L294" s="650"/>
      <c r="M294" s="650">
        <v>0</v>
      </c>
      <c r="N294" s="654"/>
      <c r="O294" s="654"/>
      <c r="P294" s="654"/>
      <c r="Q294" s="654"/>
      <c r="R294" s="676"/>
      <c r="S294" s="654"/>
      <c r="T294" s="675"/>
      <c r="U294" s="675"/>
      <c r="V294" s="670" t="e">
        <f>LOOKUP(D294,'f-travail'!A:A,'f-travail'!E:E)</f>
        <v>#N/A</v>
      </c>
      <c r="W294" s="670" t="e">
        <f>VLOOKUP(V294,جرقمإستدلالي,'f-travail'!$AD$4+1,FALSE)</f>
        <v>#N/A</v>
      </c>
      <c r="X294" s="671" t="e">
        <f t="shared" si="119"/>
        <v>#N/A</v>
      </c>
      <c r="Y294" s="671">
        <f>IF(G294="مدير ولائي",(HLOOKUP(I294,جدروظعليا,'f-travail'!$AT$3+1,FALSE)-3200),0)</f>
        <v>0</v>
      </c>
      <c r="Z294" s="672" t="str">
        <f t="shared" si="130"/>
        <v/>
      </c>
      <c r="AA294" s="671">
        <f t="shared" si="131"/>
        <v>0</v>
      </c>
      <c r="AB294" s="677" t="b">
        <f t="shared" si="120"/>
        <v>0</v>
      </c>
      <c r="AC294" s="678">
        <f t="shared" si="132"/>
        <v>0</v>
      </c>
      <c r="AD294" s="673"/>
      <c r="AE294" s="678">
        <f t="shared" si="121"/>
        <v>0</v>
      </c>
      <c r="AF294" s="678" t="e">
        <f t="shared" si="122"/>
        <v>#N/A</v>
      </c>
      <c r="AG294" s="678" t="e">
        <f t="shared" si="123"/>
        <v>#N/A</v>
      </c>
      <c r="AH294" s="673">
        <f t="shared" si="133"/>
        <v>0</v>
      </c>
      <c r="AI294" s="674" t="e">
        <f>IF(G294="مدير ولائي",(11000*35%),LOOKUP(D294,'f-travail'!A:A,'f-travail'!I:I))</f>
        <v>#N/A</v>
      </c>
      <c r="AJ294" s="673" t="e">
        <f>IF(G294="مدير ولائي",((W294+X294)*45)*80%,IF(V294&lt;8,0,IF(F294="إليزي",(LOOKUP(D294,'f-travail'!A:A,'f-travail'!O:O))*(AF294+AG294),LOOKUP(D294,'f-travail'!A:A,'f-travail'!P:P)*(AF294+AG294))))</f>
        <v>#N/A</v>
      </c>
      <c r="AK294" s="673" t="e">
        <f>IF(G294="مدير ولائي",0,LOOKUP(D294,'f-travail'!A:A,'f-travail'!Q:Q))</f>
        <v>#N/A</v>
      </c>
      <c r="AL294" s="673" t="e">
        <f>IF(G294="مدير ولائي",0,LOOKUP(D294,'f-travail'!A:A,'f-travail'!R:R)*(AF294+AG294))</f>
        <v>#N/A</v>
      </c>
      <c r="AM294" s="673" t="e">
        <f>IF(G294="مدير ولائي",0,LOOKUP(D294,'f-travail'!A:A,'f-travail'!S:S)*(AF294+AG294))</f>
        <v>#N/A</v>
      </c>
      <c r="AN294" s="673" t="e">
        <f>IF(G294="مدير ولائي",0,LOOKUP(D294,'f-travail'!A:A,'f-travail'!T:T)*(AF294+AG294))</f>
        <v>#N/A</v>
      </c>
      <c r="AO294" s="673" t="e">
        <f>IF(G294="مدير ولائي",0,LOOKUP(D294,'f-travail'!A:A,'f-travail'!U:U)*(AF294+AG294))</f>
        <v>#N/A</v>
      </c>
      <c r="AP294" s="673" t="e">
        <f>IF(G294="مدير ولائي",0,LOOKUP(D294,'f-travail'!A:A,'f-travail'!V:V)*(AF294+AG294))</f>
        <v>#N/A</v>
      </c>
      <c r="AQ294" s="673" t="e">
        <f>IF(G294="مدير ولائي",0,LOOKUP(D294,'f-travail'!A:A,'f-travail'!W:W)*(AF294+AG294))</f>
        <v>#N/A</v>
      </c>
      <c r="AR294" s="673">
        <f t="shared" si="134"/>
        <v>0</v>
      </c>
      <c r="AS294" s="673" t="e">
        <f>IF(G294="مدير ولائي",0,LOOKUP(D294,'f-travail'!A:A,'f-travail'!X:X)*(AF294+AG294))</f>
        <v>#N/A</v>
      </c>
      <c r="AT294" s="673" t="e">
        <f>IF(G294="مدير ولائي",0,LOOKUP(D294,'f-travail'!Y:Y,'f-travail'!R:R)*(AF294+AG294))</f>
        <v>#N/A</v>
      </c>
      <c r="AU294" s="673">
        <f t="shared" si="124"/>
        <v>0</v>
      </c>
      <c r="AV294" s="673">
        <f t="shared" si="125"/>
        <v>0</v>
      </c>
      <c r="AW294" s="673">
        <f t="shared" si="126"/>
        <v>0</v>
      </c>
      <c r="AY294" s="640" t="e">
        <f t="shared" si="135"/>
        <v>#N/A</v>
      </c>
      <c r="AZ294" s="673" t="e">
        <f t="shared" si="127"/>
        <v>#N/A</v>
      </c>
      <c r="BA294" s="639" t="e">
        <f t="shared" si="128"/>
        <v>#N/A</v>
      </c>
      <c r="BG294" s="639">
        <f t="shared" si="136"/>
        <v>0</v>
      </c>
      <c r="BH294" s="683">
        <f t="shared" si="137"/>
        <v>0</v>
      </c>
      <c r="BI294" s="683">
        <f t="shared" si="138"/>
        <v>0</v>
      </c>
      <c r="BJ294" s="641" t="e">
        <f t="shared" si="139"/>
        <v>#N/A</v>
      </c>
      <c r="BK294" s="641" t="e">
        <f t="shared" si="140"/>
        <v>#N/A</v>
      </c>
      <c r="BL294" s="641" t="e">
        <f t="shared" si="141"/>
        <v>#N/A</v>
      </c>
      <c r="BM294" s="684" t="e">
        <f t="shared" si="142"/>
        <v>#N/A</v>
      </c>
      <c r="BO294" s="682" t="e">
        <f>CONCATENATE(Z294," ",LOOKUP(D294,'f-travail'!A:A,'f-travail'!F:F))</f>
        <v>#N/A</v>
      </c>
      <c r="BP294" s="669" t="e">
        <f t="shared" si="129"/>
        <v>#N/A</v>
      </c>
    </row>
    <row r="295" spans="1:68">
      <c r="A295" s="636">
        <f t="shared" si="143"/>
        <v>294</v>
      </c>
      <c r="B295" s="637"/>
      <c r="C295" s="637"/>
      <c r="D295" s="652"/>
      <c r="E295" s="679" t="e">
        <f>LOOKUP(D295,'f-travail'!A:A,'f-travail'!B:B)</f>
        <v>#N/A</v>
      </c>
      <c r="F295" s="650"/>
      <c r="G295" s="650"/>
      <c r="H295" s="653"/>
      <c r="I295" s="653"/>
      <c r="J295" s="654"/>
      <c r="K295" s="650"/>
      <c r="L295" s="650"/>
      <c r="M295" s="650">
        <v>0</v>
      </c>
      <c r="N295" s="654"/>
      <c r="O295" s="654"/>
      <c r="P295" s="654"/>
      <c r="Q295" s="654"/>
      <c r="R295" s="676"/>
      <c r="S295" s="654"/>
      <c r="T295" s="675"/>
      <c r="U295" s="675"/>
      <c r="V295" s="670" t="e">
        <f>LOOKUP(D295,'f-travail'!A:A,'f-travail'!E:E)</f>
        <v>#N/A</v>
      </c>
      <c r="W295" s="670" t="e">
        <f>VLOOKUP(V295,جرقمإستدلالي,'f-travail'!$AD$4+1,FALSE)</f>
        <v>#N/A</v>
      </c>
      <c r="X295" s="671" t="e">
        <f t="shared" si="119"/>
        <v>#N/A</v>
      </c>
      <c r="Y295" s="671">
        <f>IF(G295="مدير ولائي",(HLOOKUP(I295,جدروظعليا,'f-travail'!$AT$3+1,FALSE)-3200),0)</f>
        <v>0</v>
      </c>
      <c r="Z295" s="672" t="str">
        <f t="shared" si="130"/>
        <v/>
      </c>
      <c r="AA295" s="671">
        <f t="shared" si="131"/>
        <v>0</v>
      </c>
      <c r="AB295" s="677" t="b">
        <f t="shared" si="120"/>
        <v>0</v>
      </c>
      <c r="AC295" s="678">
        <f t="shared" si="132"/>
        <v>0</v>
      </c>
      <c r="AD295" s="673"/>
      <c r="AE295" s="678">
        <f t="shared" si="121"/>
        <v>0</v>
      </c>
      <c r="AF295" s="678" t="e">
        <f t="shared" si="122"/>
        <v>#N/A</v>
      </c>
      <c r="AG295" s="678" t="e">
        <f t="shared" si="123"/>
        <v>#N/A</v>
      </c>
      <c r="AH295" s="673">
        <f t="shared" si="133"/>
        <v>0</v>
      </c>
      <c r="AI295" s="674" t="e">
        <f>IF(G295="مدير ولائي",(11000*35%),LOOKUP(D295,'f-travail'!A:A,'f-travail'!I:I))</f>
        <v>#N/A</v>
      </c>
      <c r="AJ295" s="673" t="e">
        <f>IF(G295="مدير ولائي",((W295+X295)*45)*80%,IF(V295&lt;8,0,IF(F295="إليزي",(LOOKUP(D295,'f-travail'!A:A,'f-travail'!O:O))*(AF295+AG295),LOOKUP(D295,'f-travail'!A:A,'f-travail'!P:P)*(AF295+AG295))))</f>
        <v>#N/A</v>
      </c>
      <c r="AK295" s="673" t="e">
        <f>IF(G295="مدير ولائي",0,LOOKUP(D295,'f-travail'!A:A,'f-travail'!Q:Q))</f>
        <v>#N/A</v>
      </c>
      <c r="AL295" s="673" t="e">
        <f>IF(G295="مدير ولائي",0,LOOKUP(D295,'f-travail'!A:A,'f-travail'!R:R)*(AF295+AG295))</f>
        <v>#N/A</v>
      </c>
      <c r="AM295" s="673" t="e">
        <f>IF(G295="مدير ولائي",0,LOOKUP(D295,'f-travail'!A:A,'f-travail'!S:S)*(AF295+AG295))</f>
        <v>#N/A</v>
      </c>
      <c r="AN295" s="673" t="e">
        <f>IF(G295="مدير ولائي",0,LOOKUP(D295,'f-travail'!A:A,'f-travail'!T:T)*(AF295+AG295))</f>
        <v>#N/A</v>
      </c>
      <c r="AO295" s="673" t="e">
        <f>IF(G295="مدير ولائي",0,LOOKUP(D295,'f-travail'!A:A,'f-travail'!U:U)*(AF295+AG295))</f>
        <v>#N/A</v>
      </c>
      <c r="AP295" s="673" t="e">
        <f>IF(G295="مدير ولائي",0,LOOKUP(D295,'f-travail'!A:A,'f-travail'!V:V)*(AF295+AG295))</f>
        <v>#N/A</v>
      </c>
      <c r="AQ295" s="673" t="e">
        <f>IF(G295="مدير ولائي",0,LOOKUP(D295,'f-travail'!A:A,'f-travail'!W:W)*(AF295+AG295))</f>
        <v>#N/A</v>
      </c>
      <c r="AR295" s="673">
        <f t="shared" si="134"/>
        <v>0</v>
      </c>
      <c r="AS295" s="673" t="e">
        <f>IF(G295="مدير ولائي",0,LOOKUP(D295,'f-travail'!A:A,'f-travail'!X:X)*(AF295+AG295))</f>
        <v>#N/A</v>
      </c>
      <c r="AT295" s="673" t="e">
        <f>IF(G295="مدير ولائي",0,LOOKUP(D295,'f-travail'!Y:Y,'f-travail'!R:R)*(AF295+AG295))</f>
        <v>#N/A</v>
      </c>
      <c r="AU295" s="673">
        <f t="shared" si="124"/>
        <v>0</v>
      </c>
      <c r="AV295" s="673">
        <f t="shared" si="125"/>
        <v>0</v>
      </c>
      <c r="AW295" s="673">
        <f t="shared" si="126"/>
        <v>0</v>
      </c>
      <c r="AY295" s="640" t="e">
        <f t="shared" si="135"/>
        <v>#N/A</v>
      </c>
      <c r="AZ295" s="673" t="e">
        <f t="shared" si="127"/>
        <v>#N/A</v>
      </c>
      <c r="BA295" s="639" t="e">
        <f t="shared" si="128"/>
        <v>#N/A</v>
      </c>
      <c r="BG295" s="639">
        <f t="shared" si="136"/>
        <v>0</v>
      </c>
      <c r="BH295" s="683">
        <f t="shared" si="137"/>
        <v>0</v>
      </c>
      <c r="BI295" s="683">
        <f t="shared" si="138"/>
        <v>0</v>
      </c>
      <c r="BJ295" s="641" t="e">
        <f t="shared" si="139"/>
        <v>#N/A</v>
      </c>
      <c r="BK295" s="641" t="e">
        <f t="shared" si="140"/>
        <v>#N/A</v>
      </c>
      <c r="BL295" s="641" t="e">
        <f t="shared" si="141"/>
        <v>#N/A</v>
      </c>
      <c r="BM295" s="684" t="e">
        <f t="shared" si="142"/>
        <v>#N/A</v>
      </c>
      <c r="BO295" s="682" t="e">
        <f>CONCATENATE(Z295," ",LOOKUP(D295,'f-travail'!A:A,'f-travail'!F:F))</f>
        <v>#N/A</v>
      </c>
      <c r="BP295" s="669" t="e">
        <f t="shared" si="129"/>
        <v>#N/A</v>
      </c>
    </row>
    <row r="296" spans="1:68">
      <c r="A296" s="636">
        <f t="shared" si="143"/>
        <v>295</v>
      </c>
      <c r="B296" s="637"/>
      <c r="C296" s="637"/>
      <c r="D296" s="652"/>
      <c r="E296" s="679" t="e">
        <f>LOOKUP(D296,'f-travail'!A:A,'f-travail'!B:B)</f>
        <v>#N/A</v>
      </c>
      <c r="F296" s="650"/>
      <c r="G296" s="650"/>
      <c r="H296" s="653"/>
      <c r="I296" s="653"/>
      <c r="J296" s="654"/>
      <c r="K296" s="650"/>
      <c r="L296" s="650"/>
      <c r="M296" s="650">
        <v>0</v>
      </c>
      <c r="N296" s="654"/>
      <c r="O296" s="654"/>
      <c r="P296" s="654"/>
      <c r="Q296" s="654"/>
      <c r="R296" s="676"/>
      <c r="S296" s="654"/>
      <c r="T296" s="675"/>
      <c r="U296" s="675"/>
      <c r="V296" s="670" t="e">
        <f>LOOKUP(D296,'f-travail'!A:A,'f-travail'!E:E)</f>
        <v>#N/A</v>
      </c>
      <c r="W296" s="670" t="e">
        <f>VLOOKUP(V296,جرقمإستدلالي,'f-travail'!$AD$4+1,FALSE)</f>
        <v>#N/A</v>
      </c>
      <c r="X296" s="671" t="e">
        <f t="shared" si="119"/>
        <v>#N/A</v>
      </c>
      <c r="Y296" s="671">
        <f>IF(G296="مدير ولائي",(HLOOKUP(I296,جدروظعليا,'f-travail'!$AT$3+1,FALSE)-3200),0)</f>
        <v>0</v>
      </c>
      <c r="Z296" s="672" t="str">
        <f t="shared" si="130"/>
        <v/>
      </c>
      <c r="AA296" s="671">
        <f t="shared" si="131"/>
        <v>0</v>
      </c>
      <c r="AB296" s="677" t="b">
        <f t="shared" si="120"/>
        <v>0</v>
      </c>
      <c r="AC296" s="678">
        <f t="shared" si="132"/>
        <v>0</v>
      </c>
      <c r="AD296" s="673"/>
      <c r="AE296" s="678">
        <f t="shared" si="121"/>
        <v>0</v>
      </c>
      <c r="AF296" s="678" t="e">
        <f t="shared" si="122"/>
        <v>#N/A</v>
      </c>
      <c r="AG296" s="678" t="e">
        <f t="shared" si="123"/>
        <v>#N/A</v>
      </c>
      <c r="AH296" s="673">
        <f t="shared" si="133"/>
        <v>0</v>
      </c>
      <c r="AI296" s="674" t="e">
        <f>IF(G296="مدير ولائي",(11000*35%),LOOKUP(D296,'f-travail'!A:A,'f-travail'!I:I))</f>
        <v>#N/A</v>
      </c>
      <c r="AJ296" s="673" t="e">
        <f>IF(G296="مدير ولائي",((W296+X296)*45)*80%,IF(V296&lt;8,0,IF(F296="إليزي",(LOOKUP(D296,'f-travail'!A:A,'f-travail'!O:O))*(AF296+AG296),LOOKUP(D296,'f-travail'!A:A,'f-travail'!P:P)*(AF296+AG296))))</f>
        <v>#N/A</v>
      </c>
      <c r="AK296" s="673" t="e">
        <f>IF(G296="مدير ولائي",0,LOOKUP(D296,'f-travail'!A:A,'f-travail'!Q:Q))</f>
        <v>#N/A</v>
      </c>
      <c r="AL296" s="673" t="e">
        <f>IF(G296="مدير ولائي",0,LOOKUP(D296,'f-travail'!A:A,'f-travail'!R:R)*(AF296+AG296))</f>
        <v>#N/A</v>
      </c>
      <c r="AM296" s="673" t="e">
        <f>IF(G296="مدير ولائي",0,LOOKUP(D296,'f-travail'!A:A,'f-travail'!S:S)*(AF296+AG296))</f>
        <v>#N/A</v>
      </c>
      <c r="AN296" s="673" t="e">
        <f>IF(G296="مدير ولائي",0,LOOKUP(D296,'f-travail'!A:A,'f-travail'!T:T)*(AF296+AG296))</f>
        <v>#N/A</v>
      </c>
      <c r="AO296" s="673" t="e">
        <f>IF(G296="مدير ولائي",0,LOOKUP(D296,'f-travail'!A:A,'f-travail'!U:U)*(AF296+AG296))</f>
        <v>#N/A</v>
      </c>
      <c r="AP296" s="673" t="e">
        <f>IF(G296="مدير ولائي",0,LOOKUP(D296,'f-travail'!A:A,'f-travail'!V:V)*(AF296+AG296))</f>
        <v>#N/A</v>
      </c>
      <c r="AQ296" s="673" t="e">
        <f>IF(G296="مدير ولائي",0,LOOKUP(D296,'f-travail'!A:A,'f-travail'!W:W)*(AF296+AG296))</f>
        <v>#N/A</v>
      </c>
      <c r="AR296" s="673">
        <f t="shared" si="134"/>
        <v>0</v>
      </c>
      <c r="AS296" s="673" t="e">
        <f>IF(G296="مدير ولائي",0,LOOKUP(D296,'f-travail'!A:A,'f-travail'!X:X)*(AF296+AG296))</f>
        <v>#N/A</v>
      </c>
      <c r="AT296" s="673" t="e">
        <f>IF(G296="مدير ولائي",0,LOOKUP(D296,'f-travail'!Y:Y,'f-travail'!R:R)*(AF296+AG296))</f>
        <v>#N/A</v>
      </c>
      <c r="AU296" s="673">
        <f t="shared" si="124"/>
        <v>0</v>
      </c>
      <c r="AV296" s="673">
        <f t="shared" si="125"/>
        <v>0</v>
      </c>
      <c r="AW296" s="673">
        <f t="shared" si="126"/>
        <v>0</v>
      </c>
      <c r="AY296" s="640" t="e">
        <f t="shared" si="135"/>
        <v>#N/A</v>
      </c>
      <c r="AZ296" s="673" t="e">
        <f t="shared" si="127"/>
        <v>#N/A</v>
      </c>
      <c r="BA296" s="639" t="e">
        <f t="shared" si="128"/>
        <v>#N/A</v>
      </c>
      <c r="BG296" s="639">
        <f t="shared" si="136"/>
        <v>0</v>
      </c>
      <c r="BH296" s="683">
        <f t="shared" si="137"/>
        <v>0</v>
      </c>
      <c r="BI296" s="683">
        <f t="shared" si="138"/>
        <v>0</v>
      </c>
      <c r="BJ296" s="641" t="e">
        <f t="shared" si="139"/>
        <v>#N/A</v>
      </c>
      <c r="BK296" s="641" t="e">
        <f t="shared" si="140"/>
        <v>#N/A</v>
      </c>
      <c r="BL296" s="641" t="e">
        <f t="shared" si="141"/>
        <v>#N/A</v>
      </c>
      <c r="BM296" s="684" t="e">
        <f t="shared" si="142"/>
        <v>#N/A</v>
      </c>
      <c r="BO296" s="682" t="e">
        <f>CONCATENATE(Z296," ",LOOKUP(D296,'f-travail'!A:A,'f-travail'!F:F))</f>
        <v>#N/A</v>
      </c>
      <c r="BP296" s="669" t="e">
        <f t="shared" si="129"/>
        <v>#N/A</v>
      </c>
    </row>
    <row r="297" spans="1:68">
      <c r="A297" s="636">
        <f t="shared" si="143"/>
        <v>296</v>
      </c>
      <c r="B297" s="637"/>
      <c r="C297" s="637"/>
      <c r="D297" s="652"/>
      <c r="E297" s="679" t="e">
        <f>LOOKUP(D297,'f-travail'!A:A,'f-travail'!B:B)</f>
        <v>#N/A</v>
      </c>
      <c r="F297" s="650"/>
      <c r="G297" s="650"/>
      <c r="H297" s="653"/>
      <c r="I297" s="653"/>
      <c r="J297" s="654"/>
      <c r="K297" s="650"/>
      <c r="L297" s="650"/>
      <c r="M297" s="650">
        <v>0</v>
      </c>
      <c r="N297" s="654"/>
      <c r="O297" s="654"/>
      <c r="P297" s="654"/>
      <c r="Q297" s="654"/>
      <c r="R297" s="676"/>
      <c r="S297" s="654"/>
      <c r="T297" s="675"/>
      <c r="U297" s="675"/>
      <c r="V297" s="670" t="e">
        <f>LOOKUP(D297,'f-travail'!A:A,'f-travail'!E:E)</f>
        <v>#N/A</v>
      </c>
      <c r="W297" s="670" t="e">
        <f>VLOOKUP(V297,جرقمإستدلالي,'f-travail'!$AD$4+1,FALSE)</f>
        <v>#N/A</v>
      </c>
      <c r="X297" s="671" t="e">
        <f t="shared" si="119"/>
        <v>#N/A</v>
      </c>
      <c r="Y297" s="671">
        <f>IF(G297="مدير ولائي",(HLOOKUP(I297,جدروظعليا,'f-travail'!$AT$3+1,FALSE)-3200),0)</f>
        <v>0</v>
      </c>
      <c r="Z297" s="672" t="str">
        <f t="shared" si="130"/>
        <v/>
      </c>
      <c r="AA297" s="671">
        <f t="shared" si="131"/>
        <v>0</v>
      </c>
      <c r="AB297" s="677" t="b">
        <f t="shared" si="120"/>
        <v>0</v>
      </c>
      <c r="AC297" s="678">
        <f t="shared" si="132"/>
        <v>0</v>
      </c>
      <c r="AD297" s="673"/>
      <c r="AE297" s="678">
        <f t="shared" si="121"/>
        <v>0</v>
      </c>
      <c r="AF297" s="678" t="e">
        <f t="shared" si="122"/>
        <v>#N/A</v>
      </c>
      <c r="AG297" s="678" t="e">
        <f t="shared" si="123"/>
        <v>#N/A</v>
      </c>
      <c r="AH297" s="673">
        <f t="shared" si="133"/>
        <v>0</v>
      </c>
      <c r="AI297" s="674" t="e">
        <f>IF(G297="مدير ولائي",(11000*35%),LOOKUP(D297,'f-travail'!A:A,'f-travail'!I:I))</f>
        <v>#N/A</v>
      </c>
      <c r="AJ297" s="673" t="e">
        <f>IF(G297="مدير ولائي",((W297+X297)*45)*80%,IF(V297&lt;8,0,IF(F297="إليزي",(LOOKUP(D297,'f-travail'!A:A,'f-travail'!O:O))*(AF297+AG297),LOOKUP(D297,'f-travail'!A:A,'f-travail'!P:P)*(AF297+AG297))))</f>
        <v>#N/A</v>
      </c>
      <c r="AK297" s="673" t="e">
        <f>IF(G297="مدير ولائي",0,LOOKUP(D297,'f-travail'!A:A,'f-travail'!Q:Q))</f>
        <v>#N/A</v>
      </c>
      <c r="AL297" s="673" t="e">
        <f>IF(G297="مدير ولائي",0,LOOKUP(D297,'f-travail'!A:A,'f-travail'!R:R)*(AF297+AG297))</f>
        <v>#N/A</v>
      </c>
      <c r="AM297" s="673" t="e">
        <f>IF(G297="مدير ولائي",0,LOOKUP(D297,'f-travail'!A:A,'f-travail'!S:S)*(AF297+AG297))</f>
        <v>#N/A</v>
      </c>
      <c r="AN297" s="673" t="e">
        <f>IF(G297="مدير ولائي",0,LOOKUP(D297,'f-travail'!A:A,'f-travail'!T:T)*(AF297+AG297))</f>
        <v>#N/A</v>
      </c>
      <c r="AO297" s="673" t="e">
        <f>IF(G297="مدير ولائي",0,LOOKUP(D297,'f-travail'!A:A,'f-travail'!U:U)*(AF297+AG297))</f>
        <v>#N/A</v>
      </c>
      <c r="AP297" s="673" t="e">
        <f>IF(G297="مدير ولائي",0,LOOKUP(D297,'f-travail'!A:A,'f-travail'!V:V)*(AF297+AG297))</f>
        <v>#N/A</v>
      </c>
      <c r="AQ297" s="673" t="e">
        <f>IF(G297="مدير ولائي",0,LOOKUP(D297,'f-travail'!A:A,'f-travail'!W:W)*(AF297+AG297))</f>
        <v>#N/A</v>
      </c>
      <c r="AR297" s="673">
        <f t="shared" si="134"/>
        <v>0</v>
      </c>
      <c r="AS297" s="673" t="e">
        <f>IF(G297="مدير ولائي",0,LOOKUP(D297,'f-travail'!A:A,'f-travail'!X:X)*(AF297+AG297))</f>
        <v>#N/A</v>
      </c>
      <c r="AT297" s="673" t="e">
        <f>IF(G297="مدير ولائي",0,LOOKUP(D297,'f-travail'!Y:Y,'f-travail'!R:R)*(AF297+AG297))</f>
        <v>#N/A</v>
      </c>
      <c r="AU297" s="673">
        <f t="shared" si="124"/>
        <v>0</v>
      </c>
      <c r="AV297" s="673">
        <f t="shared" si="125"/>
        <v>0</v>
      </c>
      <c r="AW297" s="673">
        <f t="shared" si="126"/>
        <v>0</v>
      </c>
      <c r="AY297" s="640" t="e">
        <f t="shared" si="135"/>
        <v>#N/A</v>
      </c>
      <c r="AZ297" s="673" t="e">
        <f t="shared" si="127"/>
        <v>#N/A</v>
      </c>
      <c r="BA297" s="639" t="e">
        <f t="shared" si="128"/>
        <v>#N/A</v>
      </c>
      <c r="BG297" s="639">
        <f t="shared" si="136"/>
        <v>0</v>
      </c>
      <c r="BH297" s="683">
        <f t="shared" si="137"/>
        <v>0</v>
      </c>
      <c r="BI297" s="683">
        <f t="shared" si="138"/>
        <v>0</v>
      </c>
      <c r="BJ297" s="641" t="e">
        <f t="shared" si="139"/>
        <v>#N/A</v>
      </c>
      <c r="BK297" s="641" t="e">
        <f t="shared" si="140"/>
        <v>#N/A</v>
      </c>
      <c r="BL297" s="641" t="e">
        <f t="shared" si="141"/>
        <v>#N/A</v>
      </c>
      <c r="BM297" s="684" t="e">
        <f t="shared" si="142"/>
        <v>#N/A</v>
      </c>
      <c r="BO297" s="682" t="e">
        <f>CONCATENATE(Z297," ",LOOKUP(D297,'f-travail'!A:A,'f-travail'!F:F))</f>
        <v>#N/A</v>
      </c>
      <c r="BP297" s="669" t="e">
        <f t="shared" si="129"/>
        <v>#N/A</v>
      </c>
    </row>
    <row r="298" spans="1:68">
      <c r="A298" s="636">
        <f t="shared" si="143"/>
        <v>297</v>
      </c>
      <c r="B298" s="637"/>
      <c r="C298" s="637"/>
      <c r="D298" s="652"/>
      <c r="E298" s="679" t="e">
        <f>LOOKUP(D298,'f-travail'!A:A,'f-travail'!B:B)</f>
        <v>#N/A</v>
      </c>
      <c r="F298" s="650"/>
      <c r="G298" s="650"/>
      <c r="H298" s="653"/>
      <c r="I298" s="653"/>
      <c r="J298" s="654"/>
      <c r="K298" s="650"/>
      <c r="L298" s="650"/>
      <c r="M298" s="650">
        <v>0</v>
      </c>
      <c r="N298" s="654"/>
      <c r="O298" s="654"/>
      <c r="P298" s="654"/>
      <c r="Q298" s="654"/>
      <c r="R298" s="676"/>
      <c r="S298" s="654"/>
      <c r="T298" s="675"/>
      <c r="U298" s="675"/>
      <c r="V298" s="670" t="e">
        <f>LOOKUP(D298,'f-travail'!A:A,'f-travail'!E:E)</f>
        <v>#N/A</v>
      </c>
      <c r="W298" s="670" t="e">
        <f>VLOOKUP(V298,جرقمإستدلالي,'f-travail'!$AD$4+1,FALSE)</f>
        <v>#N/A</v>
      </c>
      <c r="X298" s="671" t="e">
        <f t="shared" si="119"/>
        <v>#N/A</v>
      </c>
      <c r="Y298" s="671">
        <f>IF(G298="مدير ولائي",(HLOOKUP(I298,جدروظعليا,'f-travail'!$AT$3+1,FALSE)-3200),0)</f>
        <v>0</v>
      </c>
      <c r="Z298" s="672" t="str">
        <f t="shared" si="130"/>
        <v/>
      </c>
      <c r="AA298" s="671">
        <f t="shared" si="131"/>
        <v>0</v>
      </c>
      <c r="AB298" s="677" t="b">
        <f t="shared" si="120"/>
        <v>0</v>
      </c>
      <c r="AC298" s="678">
        <f t="shared" si="132"/>
        <v>0</v>
      </c>
      <c r="AD298" s="673"/>
      <c r="AE298" s="678">
        <f t="shared" si="121"/>
        <v>0</v>
      </c>
      <c r="AF298" s="678" t="e">
        <f t="shared" si="122"/>
        <v>#N/A</v>
      </c>
      <c r="AG298" s="678" t="e">
        <f t="shared" si="123"/>
        <v>#N/A</v>
      </c>
      <c r="AH298" s="673">
        <f t="shared" si="133"/>
        <v>0</v>
      </c>
      <c r="AI298" s="674" t="e">
        <f>IF(G298="مدير ولائي",(11000*35%),LOOKUP(D298,'f-travail'!A:A,'f-travail'!I:I))</f>
        <v>#N/A</v>
      </c>
      <c r="AJ298" s="673" t="e">
        <f>IF(G298="مدير ولائي",((W298+X298)*45)*80%,IF(V298&lt;8,0,IF(F298="إليزي",(LOOKUP(D298,'f-travail'!A:A,'f-travail'!O:O))*(AF298+AG298),LOOKUP(D298,'f-travail'!A:A,'f-travail'!P:P)*(AF298+AG298))))</f>
        <v>#N/A</v>
      </c>
      <c r="AK298" s="673" t="e">
        <f>IF(G298="مدير ولائي",0,LOOKUP(D298,'f-travail'!A:A,'f-travail'!Q:Q))</f>
        <v>#N/A</v>
      </c>
      <c r="AL298" s="673" t="e">
        <f>IF(G298="مدير ولائي",0,LOOKUP(D298,'f-travail'!A:A,'f-travail'!R:R)*(AF298+AG298))</f>
        <v>#N/A</v>
      </c>
      <c r="AM298" s="673" t="e">
        <f>IF(G298="مدير ولائي",0,LOOKUP(D298,'f-travail'!A:A,'f-travail'!S:S)*(AF298+AG298))</f>
        <v>#N/A</v>
      </c>
      <c r="AN298" s="673" t="e">
        <f>IF(G298="مدير ولائي",0,LOOKUP(D298,'f-travail'!A:A,'f-travail'!T:T)*(AF298+AG298))</f>
        <v>#N/A</v>
      </c>
      <c r="AO298" s="673" t="e">
        <f>IF(G298="مدير ولائي",0,LOOKUP(D298,'f-travail'!A:A,'f-travail'!U:U)*(AF298+AG298))</f>
        <v>#N/A</v>
      </c>
      <c r="AP298" s="673" t="e">
        <f>IF(G298="مدير ولائي",0,LOOKUP(D298,'f-travail'!A:A,'f-travail'!V:V)*(AF298+AG298))</f>
        <v>#N/A</v>
      </c>
      <c r="AQ298" s="673" t="e">
        <f>IF(G298="مدير ولائي",0,LOOKUP(D298,'f-travail'!A:A,'f-travail'!W:W)*(AF298+AG298))</f>
        <v>#N/A</v>
      </c>
      <c r="AR298" s="673">
        <f t="shared" si="134"/>
        <v>0</v>
      </c>
      <c r="AS298" s="673" t="e">
        <f>IF(G298="مدير ولائي",0,LOOKUP(D298,'f-travail'!A:A,'f-travail'!X:X)*(AF298+AG298))</f>
        <v>#N/A</v>
      </c>
      <c r="AT298" s="673" t="e">
        <f>IF(G298="مدير ولائي",0,LOOKUP(D298,'f-travail'!Y:Y,'f-travail'!R:R)*(AF298+AG298))</f>
        <v>#N/A</v>
      </c>
      <c r="AU298" s="673">
        <f t="shared" si="124"/>
        <v>0</v>
      </c>
      <c r="AV298" s="673">
        <f t="shared" si="125"/>
        <v>0</v>
      </c>
      <c r="AW298" s="673">
        <f t="shared" si="126"/>
        <v>0</v>
      </c>
      <c r="AY298" s="640" t="e">
        <f t="shared" si="135"/>
        <v>#N/A</v>
      </c>
      <c r="AZ298" s="673" t="e">
        <f t="shared" si="127"/>
        <v>#N/A</v>
      </c>
      <c r="BA298" s="639" t="e">
        <f t="shared" si="128"/>
        <v>#N/A</v>
      </c>
      <c r="BG298" s="639">
        <f t="shared" si="136"/>
        <v>0</v>
      </c>
      <c r="BH298" s="683">
        <f t="shared" si="137"/>
        <v>0</v>
      </c>
      <c r="BI298" s="683">
        <f t="shared" si="138"/>
        <v>0</v>
      </c>
      <c r="BJ298" s="641" t="e">
        <f t="shared" si="139"/>
        <v>#N/A</v>
      </c>
      <c r="BK298" s="641" t="e">
        <f t="shared" si="140"/>
        <v>#N/A</v>
      </c>
      <c r="BL298" s="641" t="e">
        <f t="shared" si="141"/>
        <v>#N/A</v>
      </c>
      <c r="BM298" s="684" t="e">
        <f t="shared" si="142"/>
        <v>#N/A</v>
      </c>
      <c r="BO298" s="682" t="e">
        <f>CONCATENATE(Z298," ",LOOKUP(D298,'f-travail'!A:A,'f-travail'!F:F))</f>
        <v>#N/A</v>
      </c>
      <c r="BP298" s="669" t="e">
        <f t="shared" si="129"/>
        <v>#N/A</v>
      </c>
    </row>
    <row r="299" spans="1:68">
      <c r="A299" s="636">
        <f t="shared" si="143"/>
        <v>298</v>
      </c>
      <c r="B299" s="637"/>
      <c r="C299" s="637"/>
      <c r="D299" s="652"/>
      <c r="E299" s="679" t="e">
        <f>LOOKUP(D299,'f-travail'!A:A,'f-travail'!B:B)</f>
        <v>#N/A</v>
      </c>
      <c r="F299" s="650"/>
      <c r="G299" s="650"/>
      <c r="H299" s="653"/>
      <c r="I299" s="653"/>
      <c r="J299" s="654"/>
      <c r="K299" s="650"/>
      <c r="L299" s="650"/>
      <c r="M299" s="650">
        <v>0</v>
      </c>
      <c r="N299" s="654"/>
      <c r="O299" s="654"/>
      <c r="P299" s="654"/>
      <c r="Q299" s="654"/>
      <c r="R299" s="676"/>
      <c r="S299" s="654"/>
      <c r="T299" s="675"/>
      <c r="U299" s="675"/>
      <c r="V299" s="670" t="e">
        <f>LOOKUP(D299,'f-travail'!A:A,'f-travail'!E:E)</f>
        <v>#N/A</v>
      </c>
      <c r="W299" s="670" t="e">
        <f>VLOOKUP(V299,جرقمإستدلالي,'f-travail'!$AD$4+1,FALSE)</f>
        <v>#N/A</v>
      </c>
      <c r="X299" s="671" t="e">
        <f t="shared" si="119"/>
        <v>#N/A</v>
      </c>
      <c r="Y299" s="671">
        <f>IF(G299="مدير ولائي",(HLOOKUP(I299,جدروظعليا,'f-travail'!$AT$3+1,FALSE)-3200),0)</f>
        <v>0</v>
      </c>
      <c r="Z299" s="672" t="str">
        <f t="shared" si="130"/>
        <v/>
      </c>
      <c r="AA299" s="671">
        <f t="shared" si="131"/>
        <v>0</v>
      </c>
      <c r="AB299" s="677" t="b">
        <f t="shared" si="120"/>
        <v>0</v>
      </c>
      <c r="AC299" s="678">
        <f t="shared" si="132"/>
        <v>0</v>
      </c>
      <c r="AD299" s="673"/>
      <c r="AE299" s="678">
        <f t="shared" si="121"/>
        <v>0</v>
      </c>
      <c r="AF299" s="678" t="e">
        <f t="shared" si="122"/>
        <v>#N/A</v>
      </c>
      <c r="AG299" s="678" t="e">
        <f t="shared" si="123"/>
        <v>#N/A</v>
      </c>
      <c r="AH299" s="673">
        <f t="shared" si="133"/>
        <v>0</v>
      </c>
      <c r="AI299" s="674" t="e">
        <f>IF(G299="مدير ولائي",(11000*35%),LOOKUP(D299,'f-travail'!A:A,'f-travail'!I:I))</f>
        <v>#N/A</v>
      </c>
      <c r="AJ299" s="673" t="e">
        <f>IF(G299="مدير ولائي",((W299+X299)*45)*80%,IF(V299&lt;8,0,IF(F299="إليزي",(LOOKUP(D299,'f-travail'!A:A,'f-travail'!O:O))*(AF299+AG299),LOOKUP(D299,'f-travail'!A:A,'f-travail'!P:P)*(AF299+AG299))))</f>
        <v>#N/A</v>
      </c>
      <c r="AK299" s="673" t="e">
        <f>IF(G299="مدير ولائي",0,LOOKUP(D299,'f-travail'!A:A,'f-travail'!Q:Q))</f>
        <v>#N/A</v>
      </c>
      <c r="AL299" s="673" t="e">
        <f>IF(G299="مدير ولائي",0,LOOKUP(D299,'f-travail'!A:A,'f-travail'!R:R)*(AF299+AG299))</f>
        <v>#N/A</v>
      </c>
      <c r="AM299" s="673" t="e">
        <f>IF(G299="مدير ولائي",0,LOOKUP(D299,'f-travail'!A:A,'f-travail'!S:S)*(AF299+AG299))</f>
        <v>#N/A</v>
      </c>
      <c r="AN299" s="673" t="e">
        <f>IF(G299="مدير ولائي",0,LOOKUP(D299,'f-travail'!A:A,'f-travail'!T:T)*(AF299+AG299))</f>
        <v>#N/A</v>
      </c>
      <c r="AO299" s="673" t="e">
        <f>IF(G299="مدير ولائي",0,LOOKUP(D299,'f-travail'!A:A,'f-travail'!U:U)*(AF299+AG299))</f>
        <v>#N/A</v>
      </c>
      <c r="AP299" s="673" t="e">
        <f>IF(G299="مدير ولائي",0,LOOKUP(D299,'f-travail'!A:A,'f-travail'!V:V)*(AF299+AG299))</f>
        <v>#N/A</v>
      </c>
      <c r="AQ299" s="673" t="e">
        <f>IF(G299="مدير ولائي",0,LOOKUP(D299,'f-travail'!A:A,'f-travail'!W:W)*(AF299+AG299))</f>
        <v>#N/A</v>
      </c>
      <c r="AR299" s="673">
        <f t="shared" si="134"/>
        <v>0</v>
      </c>
      <c r="AS299" s="673" t="e">
        <f>IF(G299="مدير ولائي",0,LOOKUP(D299,'f-travail'!A:A,'f-travail'!X:X)*(AF299+AG299))</f>
        <v>#N/A</v>
      </c>
      <c r="AT299" s="673" t="e">
        <f>IF(G299="مدير ولائي",0,LOOKUP(D299,'f-travail'!Y:Y,'f-travail'!R:R)*(AF299+AG299))</f>
        <v>#N/A</v>
      </c>
      <c r="AU299" s="673">
        <f t="shared" si="124"/>
        <v>0</v>
      </c>
      <c r="AV299" s="673">
        <f t="shared" si="125"/>
        <v>0</v>
      </c>
      <c r="AW299" s="673">
        <f t="shared" si="126"/>
        <v>0</v>
      </c>
      <c r="AY299" s="640" t="e">
        <f t="shared" si="135"/>
        <v>#N/A</v>
      </c>
      <c r="AZ299" s="673" t="e">
        <f t="shared" si="127"/>
        <v>#N/A</v>
      </c>
      <c r="BA299" s="639" t="e">
        <f t="shared" si="128"/>
        <v>#N/A</v>
      </c>
      <c r="BG299" s="639">
        <f t="shared" si="136"/>
        <v>0</v>
      </c>
      <c r="BH299" s="683">
        <f t="shared" si="137"/>
        <v>0</v>
      </c>
      <c r="BI299" s="683">
        <f t="shared" si="138"/>
        <v>0</v>
      </c>
      <c r="BJ299" s="641" t="e">
        <f t="shared" si="139"/>
        <v>#N/A</v>
      </c>
      <c r="BK299" s="641" t="e">
        <f t="shared" si="140"/>
        <v>#N/A</v>
      </c>
      <c r="BL299" s="641" t="e">
        <f t="shared" si="141"/>
        <v>#N/A</v>
      </c>
      <c r="BM299" s="684" t="e">
        <f t="shared" si="142"/>
        <v>#N/A</v>
      </c>
      <c r="BO299" s="682" t="e">
        <f>CONCATENATE(Z299," ",LOOKUP(D299,'f-travail'!A:A,'f-travail'!F:F))</f>
        <v>#N/A</v>
      </c>
      <c r="BP299" s="669" t="e">
        <f t="shared" si="129"/>
        <v>#N/A</v>
      </c>
    </row>
    <row r="300" spans="1:68">
      <c r="A300" s="636">
        <f t="shared" si="143"/>
        <v>299</v>
      </c>
      <c r="B300" s="637"/>
      <c r="C300" s="637"/>
      <c r="D300" s="652"/>
      <c r="E300" s="679" t="e">
        <f>LOOKUP(D300,'f-travail'!A:A,'f-travail'!B:B)</f>
        <v>#N/A</v>
      </c>
      <c r="F300" s="650"/>
      <c r="G300" s="650"/>
      <c r="H300" s="653"/>
      <c r="I300" s="653"/>
      <c r="J300" s="654"/>
      <c r="K300" s="650"/>
      <c r="L300" s="650"/>
      <c r="M300" s="650">
        <v>0</v>
      </c>
      <c r="N300" s="654"/>
      <c r="O300" s="654"/>
      <c r="P300" s="654"/>
      <c r="Q300" s="654"/>
      <c r="R300" s="676"/>
      <c r="S300" s="654"/>
      <c r="T300" s="675"/>
      <c r="U300" s="675"/>
      <c r="V300" s="670" t="e">
        <f>LOOKUP(D300,'f-travail'!A:A,'f-travail'!E:E)</f>
        <v>#N/A</v>
      </c>
      <c r="W300" s="670" t="e">
        <f>VLOOKUP(V300,جرقمإستدلالي,'f-travail'!$AD$4+1,FALSE)</f>
        <v>#N/A</v>
      </c>
      <c r="X300" s="671" t="e">
        <f t="shared" si="119"/>
        <v>#N/A</v>
      </c>
      <c r="Y300" s="671">
        <f>IF(G300="مدير ولائي",(HLOOKUP(I300,جدروظعليا,'f-travail'!$AT$3+1,FALSE)-3200),0)</f>
        <v>0</v>
      </c>
      <c r="Z300" s="672" t="str">
        <f t="shared" si="130"/>
        <v/>
      </c>
      <c r="AA300" s="671">
        <f t="shared" si="131"/>
        <v>0</v>
      </c>
      <c r="AB300" s="677" t="b">
        <f t="shared" si="120"/>
        <v>0</v>
      </c>
      <c r="AC300" s="678">
        <f t="shared" si="132"/>
        <v>0</v>
      </c>
      <c r="AD300" s="673"/>
      <c r="AE300" s="678">
        <f t="shared" si="121"/>
        <v>0</v>
      </c>
      <c r="AF300" s="678" t="e">
        <f t="shared" si="122"/>
        <v>#N/A</v>
      </c>
      <c r="AG300" s="678" t="e">
        <f t="shared" si="123"/>
        <v>#N/A</v>
      </c>
      <c r="AH300" s="673">
        <f t="shared" si="133"/>
        <v>0</v>
      </c>
      <c r="AI300" s="674" t="e">
        <f>IF(G300="مدير ولائي",(11000*35%),LOOKUP(D300,'f-travail'!A:A,'f-travail'!I:I))</f>
        <v>#N/A</v>
      </c>
      <c r="AJ300" s="673" t="e">
        <f>IF(G300="مدير ولائي",((W300+X300)*45)*80%,IF(V300&lt;8,0,IF(F300="إليزي",(LOOKUP(D300,'f-travail'!A:A,'f-travail'!O:O))*(AF300+AG300),LOOKUP(D300,'f-travail'!A:A,'f-travail'!P:P)*(AF300+AG300))))</f>
        <v>#N/A</v>
      </c>
      <c r="AK300" s="673" t="e">
        <f>IF(G300="مدير ولائي",0,LOOKUP(D300,'f-travail'!A:A,'f-travail'!Q:Q))</f>
        <v>#N/A</v>
      </c>
      <c r="AL300" s="673" t="e">
        <f>IF(G300="مدير ولائي",0,LOOKUP(D300,'f-travail'!A:A,'f-travail'!R:R)*(AF300+AG300))</f>
        <v>#N/A</v>
      </c>
      <c r="AM300" s="673" t="e">
        <f>IF(G300="مدير ولائي",0,LOOKUP(D300,'f-travail'!A:A,'f-travail'!S:S)*(AF300+AG300))</f>
        <v>#N/A</v>
      </c>
      <c r="AN300" s="673" t="e">
        <f>IF(G300="مدير ولائي",0,LOOKUP(D300,'f-travail'!A:A,'f-travail'!T:T)*(AF300+AG300))</f>
        <v>#N/A</v>
      </c>
      <c r="AO300" s="673" t="e">
        <f>IF(G300="مدير ولائي",0,LOOKUP(D300,'f-travail'!A:A,'f-travail'!U:U)*(AF300+AG300))</f>
        <v>#N/A</v>
      </c>
      <c r="AP300" s="673" t="e">
        <f>IF(G300="مدير ولائي",0,LOOKUP(D300,'f-travail'!A:A,'f-travail'!V:V)*(AF300+AG300))</f>
        <v>#N/A</v>
      </c>
      <c r="AQ300" s="673" t="e">
        <f>IF(G300="مدير ولائي",0,LOOKUP(D300,'f-travail'!A:A,'f-travail'!W:W)*(AF300+AG300))</f>
        <v>#N/A</v>
      </c>
      <c r="AR300" s="673">
        <f t="shared" si="134"/>
        <v>0</v>
      </c>
      <c r="AS300" s="673" t="e">
        <f>IF(G300="مدير ولائي",0,LOOKUP(D300,'f-travail'!A:A,'f-travail'!X:X)*(AF300+AG300))</f>
        <v>#N/A</v>
      </c>
      <c r="AT300" s="673" t="e">
        <f>IF(G300="مدير ولائي",0,LOOKUP(D300,'f-travail'!Y:Y,'f-travail'!R:R)*(AF300+AG300))</f>
        <v>#N/A</v>
      </c>
      <c r="AU300" s="673">
        <f t="shared" si="124"/>
        <v>0</v>
      </c>
      <c r="AV300" s="673">
        <f t="shared" si="125"/>
        <v>0</v>
      </c>
      <c r="AW300" s="673">
        <f t="shared" si="126"/>
        <v>0</v>
      </c>
      <c r="AY300" s="640" t="e">
        <f t="shared" si="135"/>
        <v>#N/A</v>
      </c>
      <c r="AZ300" s="673" t="e">
        <f t="shared" si="127"/>
        <v>#N/A</v>
      </c>
      <c r="BA300" s="639" t="e">
        <f t="shared" si="128"/>
        <v>#N/A</v>
      </c>
      <c r="BG300" s="639">
        <f t="shared" si="136"/>
        <v>0</v>
      </c>
      <c r="BH300" s="683">
        <f t="shared" si="137"/>
        <v>0</v>
      </c>
      <c r="BI300" s="683">
        <f t="shared" si="138"/>
        <v>0</v>
      </c>
      <c r="BJ300" s="641" t="e">
        <f t="shared" si="139"/>
        <v>#N/A</v>
      </c>
      <c r="BK300" s="641" t="e">
        <f t="shared" si="140"/>
        <v>#N/A</v>
      </c>
      <c r="BL300" s="641" t="e">
        <f t="shared" si="141"/>
        <v>#N/A</v>
      </c>
      <c r="BM300" s="684" t="e">
        <f t="shared" si="142"/>
        <v>#N/A</v>
      </c>
      <c r="BO300" s="682" t="e">
        <f>CONCATENATE(Z300," ",LOOKUP(D300,'f-travail'!A:A,'f-travail'!F:F))</f>
        <v>#N/A</v>
      </c>
      <c r="BP300" s="669" t="e">
        <f t="shared" si="129"/>
        <v>#N/A</v>
      </c>
    </row>
    <row r="301" spans="1:68">
      <c r="A301" s="636">
        <f t="shared" si="143"/>
        <v>300</v>
      </c>
      <c r="B301" s="637"/>
      <c r="C301" s="637"/>
      <c r="D301" s="652"/>
      <c r="E301" s="679" t="e">
        <f>LOOKUP(D301,'f-travail'!A:A,'f-travail'!B:B)</f>
        <v>#N/A</v>
      </c>
      <c r="F301" s="650"/>
      <c r="G301" s="650"/>
      <c r="H301" s="653"/>
      <c r="I301" s="653"/>
      <c r="J301" s="654"/>
      <c r="K301" s="650"/>
      <c r="L301" s="650"/>
      <c r="M301" s="650">
        <v>0</v>
      </c>
      <c r="N301" s="654"/>
      <c r="O301" s="654"/>
      <c r="P301" s="654"/>
      <c r="Q301" s="654"/>
      <c r="R301" s="676"/>
      <c r="S301" s="654"/>
      <c r="T301" s="675"/>
      <c r="U301" s="675"/>
      <c r="V301" s="670" t="e">
        <f>LOOKUP(D301,'f-travail'!A:A,'f-travail'!E:E)</f>
        <v>#N/A</v>
      </c>
      <c r="W301" s="670" t="e">
        <f>VLOOKUP(V301,جرقمإستدلالي,'f-travail'!$AD$4+1,FALSE)</f>
        <v>#N/A</v>
      </c>
      <c r="X301" s="671" t="e">
        <f t="shared" si="119"/>
        <v>#N/A</v>
      </c>
      <c r="Y301" s="671">
        <f>IF(G301="مدير ولائي",(HLOOKUP(I301,جدروظعليا,'f-travail'!$AT$3+1,FALSE)-3200),0)</f>
        <v>0</v>
      </c>
      <c r="Z301" s="672" t="str">
        <f t="shared" si="130"/>
        <v/>
      </c>
      <c r="AA301" s="671">
        <f t="shared" si="131"/>
        <v>0</v>
      </c>
      <c r="AB301" s="677" t="b">
        <f t="shared" si="120"/>
        <v>0</v>
      </c>
      <c r="AC301" s="678">
        <f t="shared" si="132"/>
        <v>0</v>
      </c>
      <c r="AD301" s="673"/>
      <c r="AE301" s="678">
        <f t="shared" si="121"/>
        <v>0</v>
      </c>
      <c r="AF301" s="678" t="e">
        <f t="shared" si="122"/>
        <v>#N/A</v>
      </c>
      <c r="AG301" s="678" t="e">
        <f t="shared" si="123"/>
        <v>#N/A</v>
      </c>
      <c r="AH301" s="673">
        <f t="shared" si="133"/>
        <v>0</v>
      </c>
      <c r="AI301" s="674" t="e">
        <f>IF(G301="مدير ولائي",(11000*35%),LOOKUP(D301,'f-travail'!A:A,'f-travail'!I:I))</f>
        <v>#N/A</v>
      </c>
      <c r="AJ301" s="673" t="e">
        <f>IF(G301="مدير ولائي",((W301+X301)*45)*80%,IF(V301&lt;8,0,IF(F301="إليزي",(LOOKUP(D301,'f-travail'!A:A,'f-travail'!O:O))*(AF301+AG301),LOOKUP(D301,'f-travail'!A:A,'f-travail'!P:P)*(AF301+AG301))))</f>
        <v>#N/A</v>
      </c>
      <c r="AK301" s="673" t="e">
        <f>IF(G301="مدير ولائي",0,LOOKUP(D301,'f-travail'!A:A,'f-travail'!Q:Q))</f>
        <v>#N/A</v>
      </c>
      <c r="AL301" s="673" t="e">
        <f>IF(G301="مدير ولائي",0,LOOKUP(D301,'f-travail'!A:A,'f-travail'!R:R)*(AF301+AG301))</f>
        <v>#N/A</v>
      </c>
      <c r="AM301" s="673" t="e">
        <f>IF(G301="مدير ولائي",0,LOOKUP(D301,'f-travail'!A:A,'f-travail'!S:S)*(AF301+AG301))</f>
        <v>#N/A</v>
      </c>
      <c r="AN301" s="673" t="e">
        <f>IF(G301="مدير ولائي",0,LOOKUP(D301,'f-travail'!A:A,'f-travail'!T:T)*(AF301+AG301))</f>
        <v>#N/A</v>
      </c>
      <c r="AO301" s="673" t="e">
        <f>IF(G301="مدير ولائي",0,LOOKUP(D301,'f-travail'!A:A,'f-travail'!U:U)*(AF301+AG301))</f>
        <v>#N/A</v>
      </c>
      <c r="AP301" s="673" t="e">
        <f>IF(G301="مدير ولائي",0,LOOKUP(D301,'f-travail'!A:A,'f-travail'!V:V)*(AF301+AG301))</f>
        <v>#N/A</v>
      </c>
      <c r="AQ301" s="673" t="e">
        <f>IF(G301="مدير ولائي",0,LOOKUP(D301,'f-travail'!A:A,'f-travail'!W:W)*(AF301+AG301))</f>
        <v>#N/A</v>
      </c>
      <c r="AR301" s="673">
        <f t="shared" si="134"/>
        <v>0</v>
      </c>
      <c r="AS301" s="673" t="e">
        <f>IF(G301="مدير ولائي",0,LOOKUP(D301,'f-travail'!A:A,'f-travail'!X:X)*(AF301+AG301))</f>
        <v>#N/A</v>
      </c>
      <c r="AT301" s="673" t="e">
        <f>IF(G301="مدير ولائي",0,LOOKUP(D301,'f-travail'!Y:Y,'f-travail'!R:R)*(AF301+AG301))</f>
        <v>#N/A</v>
      </c>
      <c r="AU301" s="673">
        <f t="shared" si="124"/>
        <v>0</v>
      </c>
      <c r="AV301" s="673">
        <f t="shared" si="125"/>
        <v>0</v>
      </c>
      <c r="AW301" s="673">
        <f t="shared" si="126"/>
        <v>0</v>
      </c>
      <c r="AY301" s="640" t="e">
        <f t="shared" si="135"/>
        <v>#N/A</v>
      </c>
      <c r="AZ301" s="673" t="e">
        <f t="shared" si="127"/>
        <v>#N/A</v>
      </c>
      <c r="BA301" s="639" t="e">
        <f t="shared" si="128"/>
        <v>#N/A</v>
      </c>
      <c r="BG301" s="639">
        <f t="shared" si="136"/>
        <v>0</v>
      </c>
      <c r="BH301" s="683">
        <f t="shared" si="137"/>
        <v>0</v>
      </c>
      <c r="BI301" s="683">
        <f t="shared" si="138"/>
        <v>0</v>
      </c>
      <c r="BJ301" s="641" t="e">
        <f t="shared" si="139"/>
        <v>#N/A</v>
      </c>
      <c r="BK301" s="641" t="e">
        <f t="shared" si="140"/>
        <v>#N/A</v>
      </c>
      <c r="BL301" s="641" t="e">
        <f t="shared" si="141"/>
        <v>#N/A</v>
      </c>
      <c r="BM301" s="684" t="e">
        <f t="shared" si="142"/>
        <v>#N/A</v>
      </c>
      <c r="BO301" s="682" t="e">
        <f>CONCATENATE(Z301," ",LOOKUP(D301,'f-travail'!A:A,'f-travail'!F:F))</f>
        <v>#N/A</v>
      </c>
      <c r="BP301" s="669" t="e">
        <f t="shared" si="129"/>
        <v>#N/A</v>
      </c>
    </row>
    <row r="302" spans="1:68">
      <c r="A302" s="636">
        <f t="shared" si="143"/>
        <v>301</v>
      </c>
      <c r="B302" s="637"/>
      <c r="C302" s="637"/>
      <c r="D302" s="652"/>
      <c r="E302" s="679" t="e">
        <f>LOOKUP(D302,'f-travail'!A:A,'f-travail'!B:B)</f>
        <v>#N/A</v>
      </c>
      <c r="F302" s="650"/>
      <c r="G302" s="650"/>
      <c r="H302" s="653"/>
      <c r="I302" s="653"/>
      <c r="J302" s="654"/>
      <c r="K302" s="650"/>
      <c r="L302" s="650"/>
      <c r="M302" s="650">
        <v>0</v>
      </c>
      <c r="N302" s="654"/>
      <c r="O302" s="654"/>
      <c r="P302" s="654"/>
      <c r="Q302" s="654"/>
      <c r="R302" s="676"/>
      <c r="S302" s="654"/>
      <c r="T302" s="675"/>
      <c r="U302" s="675"/>
      <c r="V302" s="670" t="e">
        <f>LOOKUP(D302,'f-travail'!A:A,'f-travail'!E:E)</f>
        <v>#N/A</v>
      </c>
      <c r="W302" s="670" t="e">
        <f>VLOOKUP(V302,جرقمإستدلالي,'f-travail'!$AD$4+1,FALSE)</f>
        <v>#N/A</v>
      </c>
      <c r="X302" s="671" t="e">
        <f t="shared" si="119"/>
        <v>#N/A</v>
      </c>
      <c r="Y302" s="671">
        <f>IF(G302="مدير ولائي",(HLOOKUP(I302,جدروظعليا,'f-travail'!$AT$3+1,FALSE)-3200),0)</f>
        <v>0</v>
      </c>
      <c r="Z302" s="672" t="str">
        <f t="shared" si="130"/>
        <v/>
      </c>
      <c r="AA302" s="671">
        <f t="shared" si="131"/>
        <v>0</v>
      </c>
      <c r="AB302" s="677" t="b">
        <f t="shared" si="120"/>
        <v>0</v>
      </c>
      <c r="AC302" s="678">
        <f t="shared" si="132"/>
        <v>0</v>
      </c>
      <c r="AD302" s="673"/>
      <c r="AE302" s="678">
        <f t="shared" si="121"/>
        <v>0</v>
      </c>
      <c r="AF302" s="678" t="e">
        <f t="shared" si="122"/>
        <v>#N/A</v>
      </c>
      <c r="AG302" s="678" t="e">
        <f t="shared" si="123"/>
        <v>#N/A</v>
      </c>
      <c r="AH302" s="673">
        <f t="shared" si="133"/>
        <v>0</v>
      </c>
      <c r="AI302" s="674" t="e">
        <f>IF(G302="مدير ولائي",(11000*35%),LOOKUP(D302,'f-travail'!A:A,'f-travail'!I:I))</f>
        <v>#N/A</v>
      </c>
      <c r="AJ302" s="673" t="e">
        <f>IF(G302="مدير ولائي",((W302+X302)*45)*80%,IF(V302&lt;8,0,IF(F302="إليزي",(LOOKUP(D302,'f-travail'!A:A,'f-travail'!O:O))*(AF302+AG302),LOOKUP(D302,'f-travail'!A:A,'f-travail'!P:P)*(AF302+AG302))))</f>
        <v>#N/A</v>
      </c>
      <c r="AK302" s="673" t="e">
        <f>IF(G302="مدير ولائي",0,LOOKUP(D302,'f-travail'!A:A,'f-travail'!Q:Q))</f>
        <v>#N/A</v>
      </c>
      <c r="AL302" s="673" t="e">
        <f>IF(G302="مدير ولائي",0,LOOKUP(D302,'f-travail'!A:A,'f-travail'!R:R)*(AF302+AG302))</f>
        <v>#N/A</v>
      </c>
      <c r="AM302" s="673" t="e">
        <f>IF(G302="مدير ولائي",0,LOOKUP(D302,'f-travail'!A:A,'f-travail'!S:S)*(AF302+AG302))</f>
        <v>#N/A</v>
      </c>
      <c r="AN302" s="673" t="e">
        <f>IF(G302="مدير ولائي",0,LOOKUP(D302,'f-travail'!A:A,'f-travail'!T:T)*(AF302+AG302))</f>
        <v>#N/A</v>
      </c>
      <c r="AO302" s="673" t="e">
        <f>IF(G302="مدير ولائي",0,LOOKUP(D302,'f-travail'!A:A,'f-travail'!U:U)*(AF302+AG302))</f>
        <v>#N/A</v>
      </c>
      <c r="AP302" s="673" t="e">
        <f>IF(G302="مدير ولائي",0,LOOKUP(D302,'f-travail'!A:A,'f-travail'!V:V)*(AF302+AG302))</f>
        <v>#N/A</v>
      </c>
      <c r="AQ302" s="673" t="e">
        <f>IF(G302="مدير ولائي",0,LOOKUP(D302,'f-travail'!A:A,'f-travail'!W:W)*(AF302+AG302))</f>
        <v>#N/A</v>
      </c>
      <c r="AR302" s="673">
        <f t="shared" si="134"/>
        <v>0</v>
      </c>
      <c r="AS302" s="673" t="e">
        <f>IF(G302="مدير ولائي",0,LOOKUP(D302,'f-travail'!A:A,'f-travail'!X:X)*(AF302+AG302))</f>
        <v>#N/A</v>
      </c>
      <c r="AT302" s="673" t="e">
        <f>IF(G302="مدير ولائي",0,LOOKUP(D302,'f-travail'!Y:Y,'f-travail'!R:R)*(AF302+AG302))</f>
        <v>#N/A</v>
      </c>
      <c r="AU302" s="673">
        <f t="shared" si="124"/>
        <v>0</v>
      </c>
      <c r="AV302" s="673">
        <f t="shared" si="125"/>
        <v>0</v>
      </c>
      <c r="AW302" s="673">
        <f t="shared" si="126"/>
        <v>0</v>
      </c>
      <c r="AY302" s="640" t="e">
        <f t="shared" si="135"/>
        <v>#N/A</v>
      </c>
      <c r="AZ302" s="673" t="e">
        <f t="shared" si="127"/>
        <v>#N/A</v>
      </c>
      <c r="BA302" s="639" t="e">
        <f t="shared" si="128"/>
        <v>#N/A</v>
      </c>
      <c r="BG302" s="639">
        <f t="shared" si="136"/>
        <v>0</v>
      </c>
      <c r="BH302" s="683">
        <f t="shared" si="137"/>
        <v>0</v>
      </c>
      <c r="BI302" s="683">
        <f t="shared" si="138"/>
        <v>0</v>
      </c>
      <c r="BJ302" s="641" t="e">
        <f t="shared" si="139"/>
        <v>#N/A</v>
      </c>
      <c r="BK302" s="641" t="e">
        <f t="shared" si="140"/>
        <v>#N/A</v>
      </c>
      <c r="BL302" s="641" t="e">
        <f t="shared" si="141"/>
        <v>#N/A</v>
      </c>
      <c r="BM302" s="684" t="e">
        <f t="shared" si="142"/>
        <v>#N/A</v>
      </c>
      <c r="BO302" s="682" t="e">
        <f>CONCATENATE(Z302," ",LOOKUP(D302,'f-travail'!A:A,'f-travail'!F:F))</f>
        <v>#N/A</v>
      </c>
      <c r="BP302" s="669" t="e">
        <f t="shared" si="129"/>
        <v>#N/A</v>
      </c>
    </row>
    <row r="303" spans="1:68">
      <c r="A303" s="636">
        <f t="shared" si="143"/>
        <v>302</v>
      </c>
      <c r="B303" s="637"/>
      <c r="C303" s="637"/>
      <c r="D303" s="652"/>
      <c r="E303" s="679" t="e">
        <f>LOOKUP(D303,'f-travail'!A:A,'f-travail'!B:B)</f>
        <v>#N/A</v>
      </c>
      <c r="F303" s="650"/>
      <c r="G303" s="650"/>
      <c r="H303" s="653"/>
      <c r="I303" s="653"/>
      <c r="J303" s="654"/>
      <c r="K303" s="650"/>
      <c r="L303" s="650"/>
      <c r="M303" s="650">
        <v>0</v>
      </c>
      <c r="N303" s="654"/>
      <c r="O303" s="654"/>
      <c r="P303" s="654"/>
      <c r="Q303" s="654"/>
      <c r="R303" s="676"/>
      <c r="S303" s="654"/>
      <c r="T303" s="675"/>
      <c r="U303" s="675"/>
      <c r="V303" s="670" t="e">
        <f>LOOKUP(D303,'f-travail'!A:A,'f-travail'!E:E)</f>
        <v>#N/A</v>
      </c>
      <c r="W303" s="670" t="e">
        <f>VLOOKUP(V303,جرقمإستدلالي,'f-travail'!$AD$4+1,FALSE)</f>
        <v>#N/A</v>
      </c>
      <c r="X303" s="671" t="e">
        <f t="shared" si="119"/>
        <v>#N/A</v>
      </c>
      <c r="Y303" s="671">
        <f>IF(G303="مدير ولائي",(HLOOKUP(I303,جدروظعليا,'f-travail'!$AT$3+1,FALSE)-3200),0)</f>
        <v>0</v>
      </c>
      <c r="Z303" s="672" t="str">
        <f t="shared" si="130"/>
        <v/>
      </c>
      <c r="AA303" s="671">
        <f t="shared" si="131"/>
        <v>0</v>
      </c>
      <c r="AB303" s="677" t="b">
        <f t="shared" si="120"/>
        <v>0</v>
      </c>
      <c r="AC303" s="678">
        <f t="shared" si="132"/>
        <v>0</v>
      </c>
      <c r="AD303" s="673"/>
      <c r="AE303" s="678">
        <f t="shared" si="121"/>
        <v>0</v>
      </c>
      <c r="AF303" s="678" t="e">
        <f t="shared" si="122"/>
        <v>#N/A</v>
      </c>
      <c r="AG303" s="678" t="e">
        <f t="shared" si="123"/>
        <v>#N/A</v>
      </c>
      <c r="AH303" s="673">
        <f t="shared" si="133"/>
        <v>0</v>
      </c>
      <c r="AI303" s="674" t="e">
        <f>IF(G303="مدير ولائي",(11000*35%),LOOKUP(D303,'f-travail'!A:A,'f-travail'!I:I))</f>
        <v>#N/A</v>
      </c>
      <c r="AJ303" s="673" t="e">
        <f>IF(G303="مدير ولائي",((W303+X303)*45)*80%,IF(V303&lt;8,0,IF(F303="إليزي",(LOOKUP(D303,'f-travail'!A:A,'f-travail'!O:O))*(AF303+AG303),LOOKUP(D303,'f-travail'!A:A,'f-travail'!P:P)*(AF303+AG303))))</f>
        <v>#N/A</v>
      </c>
      <c r="AK303" s="673" t="e">
        <f>IF(G303="مدير ولائي",0,LOOKUP(D303,'f-travail'!A:A,'f-travail'!Q:Q))</f>
        <v>#N/A</v>
      </c>
      <c r="AL303" s="673" t="e">
        <f>IF(G303="مدير ولائي",0,LOOKUP(D303,'f-travail'!A:A,'f-travail'!R:R)*(AF303+AG303))</f>
        <v>#N/A</v>
      </c>
      <c r="AM303" s="673" t="e">
        <f>IF(G303="مدير ولائي",0,LOOKUP(D303,'f-travail'!A:A,'f-travail'!S:S)*(AF303+AG303))</f>
        <v>#N/A</v>
      </c>
      <c r="AN303" s="673" t="e">
        <f>IF(G303="مدير ولائي",0,LOOKUP(D303,'f-travail'!A:A,'f-travail'!T:T)*(AF303+AG303))</f>
        <v>#N/A</v>
      </c>
      <c r="AO303" s="673" t="e">
        <f>IF(G303="مدير ولائي",0,LOOKUP(D303,'f-travail'!A:A,'f-travail'!U:U)*(AF303+AG303))</f>
        <v>#N/A</v>
      </c>
      <c r="AP303" s="673" t="e">
        <f>IF(G303="مدير ولائي",0,LOOKUP(D303,'f-travail'!A:A,'f-travail'!V:V)*(AF303+AG303))</f>
        <v>#N/A</v>
      </c>
      <c r="AQ303" s="673" t="e">
        <f>IF(G303="مدير ولائي",0,LOOKUP(D303,'f-travail'!A:A,'f-travail'!W:W)*(AF303+AG303))</f>
        <v>#N/A</v>
      </c>
      <c r="AR303" s="673">
        <f t="shared" si="134"/>
        <v>0</v>
      </c>
      <c r="AS303" s="673" t="e">
        <f>IF(G303="مدير ولائي",0,LOOKUP(D303,'f-travail'!A:A,'f-travail'!X:X)*(AF303+AG303))</f>
        <v>#N/A</v>
      </c>
      <c r="AT303" s="673" t="e">
        <f>IF(G303="مدير ولائي",0,LOOKUP(D303,'f-travail'!Y:Y,'f-travail'!R:R)*(AF303+AG303))</f>
        <v>#N/A</v>
      </c>
      <c r="AU303" s="673">
        <f t="shared" si="124"/>
        <v>0</v>
      </c>
      <c r="AV303" s="673">
        <f t="shared" si="125"/>
        <v>0</v>
      </c>
      <c r="AW303" s="673">
        <f t="shared" si="126"/>
        <v>0</v>
      </c>
      <c r="AY303" s="640" t="e">
        <f t="shared" si="135"/>
        <v>#N/A</v>
      </c>
      <c r="AZ303" s="673" t="e">
        <f t="shared" si="127"/>
        <v>#N/A</v>
      </c>
      <c r="BA303" s="639" t="e">
        <f t="shared" si="128"/>
        <v>#N/A</v>
      </c>
      <c r="BG303" s="639">
        <f t="shared" si="136"/>
        <v>0</v>
      </c>
      <c r="BH303" s="683">
        <f t="shared" si="137"/>
        <v>0</v>
      </c>
      <c r="BI303" s="683">
        <f t="shared" si="138"/>
        <v>0</v>
      </c>
      <c r="BJ303" s="641" t="e">
        <f t="shared" si="139"/>
        <v>#N/A</v>
      </c>
      <c r="BK303" s="641" t="e">
        <f t="shared" si="140"/>
        <v>#N/A</v>
      </c>
      <c r="BL303" s="641" t="e">
        <f t="shared" si="141"/>
        <v>#N/A</v>
      </c>
      <c r="BM303" s="684" t="e">
        <f t="shared" si="142"/>
        <v>#N/A</v>
      </c>
      <c r="BO303" s="682" t="e">
        <f>CONCATENATE(Z303," ",LOOKUP(D303,'f-travail'!A:A,'f-travail'!F:F))</f>
        <v>#N/A</v>
      </c>
      <c r="BP303" s="669" t="e">
        <f t="shared" si="129"/>
        <v>#N/A</v>
      </c>
    </row>
    <row r="304" spans="1:68">
      <c r="A304" s="636">
        <f t="shared" si="143"/>
        <v>303</v>
      </c>
      <c r="B304" s="637"/>
      <c r="C304" s="637"/>
      <c r="D304" s="652"/>
      <c r="E304" s="679" t="e">
        <f>LOOKUP(D304,'f-travail'!A:A,'f-travail'!B:B)</f>
        <v>#N/A</v>
      </c>
      <c r="F304" s="650"/>
      <c r="G304" s="650"/>
      <c r="H304" s="653"/>
      <c r="I304" s="653"/>
      <c r="J304" s="654"/>
      <c r="K304" s="650"/>
      <c r="L304" s="650"/>
      <c r="M304" s="650">
        <v>0</v>
      </c>
      <c r="N304" s="654"/>
      <c r="O304" s="654"/>
      <c r="P304" s="654"/>
      <c r="Q304" s="654"/>
      <c r="R304" s="676"/>
      <c r="S304" s="654"/>
      <c r="T304" s="675"/>
      <c r="U304" s="675"/>
      <c r="V304" s="670" t="e">
        <f>LOOKUP(D304,'f-travail'!A:A,'f-travail'!E:E)</f>
        <v>#N/A</v>
      </c>
      <c r="W304" s="670" t="e">
        <f>VLOOKUP(V304,جرقمإستدلالي,'f-travail'!$AD$4+1,FALSE)</f>
        <v>#N/A</v>
      </c>
      <c r="X304" s="671" t="e">
        <f t="shared" si="119"/>
        <v>#N/A</v>
      </c>
      <c r="Y304" s="671">
        <f>IF(G304="مدير ولائي",(HLOOKUP(I304,جدروظعليا,'f-travail'!$AT$3+1,FALSE)-3200),0)</f>
        <v>0</v>
      </c>
      <c r="Z304" s="672" t="str">
        <f t="shared" si="130"/>
        <v/>
      </c>
      <c r="AA304" s="671">
        <f t="shared" si="131"/>
        <v>0</v>
      </c>
      <c r="AB304" s="677" t="b">
        <f t="shared" si="120"/>
        <v>0</v>
      </c>
      <c r="AC304" s="678">
        <f t="shared" si="132"/>
        <v>0</v>
      </c>
      <c r="AD304" s="673"/>
      <c r="AE304" s="678">
        <f t="shared" si="121"/>
        <v>0</v>
      </c>
      <c r="AF304" s="678" t="e">
        <f t="shared" si="122"/>
        <v>#N/A</v>
      </c>
      <c r="AG304" s="678" t="e">
        <f t="shared" si="123"/>
        <v>#N/A</v>
      </c>
      <c r="AH304" s="673">
        <f t="shared" si="133"/>
        <v>0</v>
      </c>
      <c r="AI304" s="674" t="e">
        <f>IF(G304="مدير ولائي",(11000*35%),LOOKUP(D304,'f-travail'!A:A,'f-travail'!I:I))</f>
        <v>#N/A</v>
      </c>
      <c r="AJ304" s="673" t="e">
        <f>IF(G304="مدير ولائي",((W304+X304)*45)*80%,IF(V304&lt;8,0,IF(F304="إليزي",(LOOKUP(D304,'f-travail'!A:A,'f-travail'!O:O))*(AF304+AG304),LOOKUP(D304,'f-travail'!A:A,'f-travail'!P:P)*(AF304+AG304))))</f>
        <v>#N/A</v>
      </c>
      <c r="AK304" s="673" t="e">
        <f>IF(G304="مدير ولائي",0,LOOKUP(D304,'f-travail'!A:A,'f-travail'!Q:Q))</f>
        <v>#N/A</v>
      </c>
      <c r="AL304" s="673" t="e">
        <f>IF(G304="مدير ولائي",0,LOOKUP(D304,'f-travail'!A:A,'f-travail'!R:R)*(AF304+AG304))</f>
        <v>#N/A</v>
      </c>
      <c r="AM304" s="673" t="e">
        <f>IF(G304="مدير ولائي",0,LOOKUP(D304,'f-travail'!A:A,'f-travail'!S:S)*(AF304+AG304))</f>
        <v>#N/A</v>
      </c>
      <c r="AN304" s="673" t="e">
        <f>IF(G304="مدير ولائي",0,LOOKUP(D304,'f-travail'!A:A,'f-travail'!T:T)*(AF304+AG304))</f>
        <v>#N/A</v>
      </c>
      <c r="AO304" s="673" t="e">
        <f>IF(G304="مدير ولائي",0,LOOKUP(D304,'f-travail'!A:A,'f-travail'!U:U)*(AF304+AG304))</f>
        <v>#N/A</v>
      </c>
      <c r="AP304" s="673" t="e">
        <f>IF(G304="مدير ولائي",0,LOOKUP(D304,'f-travail'!A:A,'f-travail'!V:V)*(AF304+AG304))</f>
        <v>#N/A</v>
      </c>
      <c r="AQ304" s="673" t="e">
        <f>IF(G304="مدير ولائي",0,LOOKUP(D304,'f-travail'!A:A,'f-travail'!W:W)*(AF304+AG304))</f>
        <v>#N/A</v>
      </c>
      <c r="AR304" s="673">
        <f t="shared" si="134"/>
        <v>0</v>
      </c>
      <c r="AS304" s="673" t="e">
        <f>IF(G304="مدير ولائي",0,LOOKUP(D304,'f-travail'!A:A,'f-travail'!X:X)*(AF304+AG304))</f>
        <v>#N/A</v>
      </c>
      <c r="AT304" s="673" t="e">
        <f>IF(G304="مدير ولائي",0,LOOKUP(D304,'f-travail'!Y:Y,'f-travail'!R:R)*(AF304+AG304))</f>
        <v>#N/A</v>
      </c>
      <c r="AU304" s="673">
        <f t="shared" si="124"/>
        <v>0</v>
      </c>
      <c r="AV304" s="673">
        <f t="shared" si="125"/>
        <v>0</v>
      </c>
      <c r="AW304" s="673">
        <f t="shared" si="126"/>
        <v>0</v>
      </c>
      <c r="AY304" s="640" t="e">
        <f t="shared" si="135"/>
        <v>#N/A</v>
      </c>
      <c r="AZ304" s="673" t="e">
        <f t="shared" si="127"/>
        <v>#N/A</v>
      </c>
      <c r="BA304" s="639" t="e">
        <f t="shared" si="128"/>
        <v>#N/A</v>
      </c>
      <c r="BG304" s="639">
        <f t="shared" si="136"/>
        <v>0</v>
      </c>
      <c r="BH304" s="683">
        <f t="shared" si="137"/>
        <v>0</v>
      </c>
      <c r="BI304" s="683">
        <f t="shared" si="138"/>
        <v>0</v>
      </c>
      <c r="BJ304" s="641" t="e">
        <f t="shared" si="139"/>
        <v>#N/A</v>
      </c>
      <c r="BK304" s="641" t="e">
        <f t="shared" si="140"/>
        <v>#N/A</v>
      </c>
      <c r="BL304" s="641" t="e">
        <f t="shared" si="141"/>
        <v>#N/A</v>
      </c>
      <c r="BM304" s="684" t="e">
        <f t="shared" si="142"/>
        <v>#N/A</v>
      </c>
      <c r="BO304" s="682" t="e">
        <f>CONCATENATE(Z304," ",LOOKUP(D304,'f-travail'!A:A,'f-travail'!F:F))</f>
        <v>#N/A</v>
      </c>
      <c r="BP304" s="669" t="e">
        <f t="shared" si="129"/>
        <v>#N/A</v>
      </c>
    </row>
    <row r="305" spans="1:68">
      <c r="A305" s="636">
        <f t="shared" si="143"/>
        <v>304</v>
      </c>
      <c r="B305" s="637"/>
      <c r="C305" s="637"/>
      <c r="D305" s="652"/>
      <c r="E305" s="679" t="e">
        <f>LOOKUP(D305,'f-travail'!A:A,'f-travail'!B:B)</f>
        <v>#N/A</v>
      </c>
      <c r="F305" s="650"/>
      <c r="G305" s="650"/>
      <c r="H305" s="653"/>
      <c r="I305" s="653"/>
      <c r="J305" s="654"/>
      <c r="K305" s="650"/>
      <c r="L305" s="650"/>
      <c r="M305" s="650">
        <v>0</v>
      </c>
      <c r="N305" s="654"/>
      <c r="O305" s="654"/>
      <c r="P305" s="654"/>
      <c r="Q305" s="654"/>
      <c r="R305" s="676"/>
      <c r="S305" s="654"/>
      <c r="T305" s="675"/>
      <c r="U305" s="675"/>
      <c r="V305" s="670" t="e">
        <f>LOOKUP(D305,'f-travail'!A:A,'f-travail'!E:E)</f>
        <v>#N/A</v>
      </c>
      <c r="W305" s="670" t="e">
        <f>VLOOKUP(V305,جرقمإستدلالي,'f-travail'!$AD$4+1,FALSE)</f>
        <v>#N/A</v>
      </c>
      <c r="X305" s="671" t="e">
        <f t="shared" si="119"/>
        <v>#N/A</v>
      </c>
      <c r="Y305" s="671">
        <f>IF(G305="مدير ولائي",(HLOOKUP(I305,جدروظعليا,'f-travail'!$AT$3+1,FALSE)-3200),0)</f>
        <v>0</v>
      </c>
      <c r="Z305" s="672" t="str">
        <f t="shared" si="130"/>
        <v/>
      </c>
      <c r="AA305" s="671">
        <f t="shared" si="131"/>
        <v>0</v>
      </c>
      <c r="AB305" s="677" t="b">
        <f t="shared" si="120"/>
        <v>0</v>
      </c>
      <c r="AC305" s="678">
        <f t="shared" si="132"/>
        <v>0</v>
      </c>
      <c r="AD305" s="673"/>
      <c r="AE305" s="678">
        <f t="shared" si="121"/>
        <v>0</v>
      </c>
      <c r="AF305" s="678" t="e">
        <f t="shared" si="122"/>
        <v>#N/A</v>
      </c>
      <c r="AG305" s="678" t="e">
        <f t="shared" si="123"/>
        <v>#N/A</v>
      </c>
      <c r="AH305" s="673">
        <f t="shared" si="133"/>
        <v>0</v>
      </c>
      <c r="AI305" s="674" t="e">
        <f>IF(G305="مدير ولائي",(11000*35%),LOOKUP(D305,'f-travail'!A:A,'f-travail'!I:I))</f>
        <v>#N/A</v>
      </c>
      <c r="AJ305" s="673" t="e">
        <f>IF(G305="مدير ولائي",((W305+X305)*45)*80%,IF(V305&lt;8,0,IF(F305="إليزي",(LOOKUP(D305,'f-travail'!A:A,'f-travail'!O:O))*(AF305+AG305),LOOKUP(D305,'f-travail'!A:A,'f-travail'!P:P)*(AF305+AG305))))</f>
        <v>#N/A</v>
      </c>
      <c r="AK305" s="673" t="e">
        <f>IF(G305="مدير ولائي",0,LOOKUP(D305,'f-travail'!A:A,'f-travail'!Q:Q))</f>
        <v>#N/A</v>
      </c>
      <c r="AL305" s="673" t="e">
        <f>IF(G305="مدير ولائي",0,LOOKUP(D305,'f-travail'!A:A,'f-travail'!R:R)*(AF305+AG305))</f>
        <v>#N/A</v>
      </c>
      <c r="AM305" s="673" t="e">
        <f>IF(G305="مدير ولائي",0,LOOKUP(D305,'f-travail'!A:A,'f-travail'!S:S)*(AF305+AG305))</f>
        <v>#N/A</v>
      </c>
      <c r="AN305" s="673" t="e">
        <f>IF(G305="مدير ولائي",0,LOOKUP(D305,'f-travail'!A:A,'f-travail'!T:T)*(AF305+AG305))</f>
        <v>#N/A</v>
      </c>
      <c r="AO305" s="673" t="e">
        <f>IF(G305="مدير ولائي",0,LOOKUP(D305,'f-travail'!A:A,'f-travail'!U:U)*(AF305+AG305))</f>
        <v>#N/A</v>
      </c>
      <c r="AP305" s="673" t="e">
        <f>IF(G305="مدير ولائي",0,LOOKUP(D305,'f-travail'!A:A,'f-travail'!V:V)*(AF305+AG305))</f>
        <v>#N/A</v>
      </c>
      <c r="AQ305" s="673" t="e">
        <f>IF(G305="مدير ولائي",0,LOOKUP(D305,'f-travail'!A:A,'f-travail'!W:W)*(AF305+AG305))</f>
        <v>#N/A</v>
      </c>
      <c r="AR305" s="673">
        <f t="shared" si="134"/>
        <v>0</v>
      </c>
      <c r="AS305" s="673" t="e">
        <f>IF(G305="مدير ولائي",0,LOOKUP(D305,'f-travail'!A:A,'f-travail'!X:X)*(AF305+AG305))</f>
        <v>#N/A</v>
      </c>
      <c r="AT305" s="673" t="e">
        <f>IF(G305="مدير ولائي",0,LOOKUP(D305,'f-travail'!Y:Y,'f-travail'!R:R)*(AF305+AG305))</f>
        <v>#N/A</v>
      </c>
      <c r="AU305" s="673">
        <f t="shared" si="124"/>
        <v>0</v>
      </c>
      <c r="AV305" s="673">
        <f t="shared" si="125"/>
        <v>0</v>
      </c>
      <c r="AW305" s="673">
        <f t="shared" si="126"/>
        <v>0</v>
      </c>
      <c r="AY305" s="640" t="e">
        <f t="shared" si="135"/>
        <v>#N/A</v>
      </c>
      <c r="AZ305" s="673" t="e">
        <f t="shared" si="127"/>
        <v>#N/A</v>
      </c>
      <c r="BA305" s="639" t="e">
        <f t="shared" si="128"/>
        <v>#N/A</v>
      </c>
      <c r="BG305" s="639">
        <f t="shared" si="136"/>
        <v>0</v>
      </c>
      <c r="BH305" s="683">
        <f t="shared" si="137"/>
        <v>0</v>
      </c>
      <c r="BI305" s="683">
        <f t="shared" si="138"/>
        <v>0</v>
      </c>
      <c r="BJ305" s="641" t="e">
        <f t="shared" si="139"/>
        <v>#N/A</v>
      </c>
      <c r="BK305" s="641" t="e">
        <f t="shared" si="140"/>
        <v>#N/A</v>
      </c>
      <c r="BL305" s="641" t="e">
        <f t="shared" si="141"/>
        <v>#N/A</v>
      </c>
      <c r="BM305" s="684" t="e">
        <f t="shared" si="142"/>
        <v>#N/A</v>
      </c>
      <c r="BO305" s="682" t="e">
        <f>CONCATENATE(Z305," ",LOOKUP(D305,'f-travail'!A:A,'f-travail'!F:F))</f>
        <v>#N/A</v>
      </c>
      <c r="BP305" s="669" t="e">
        <f t="shared" si="129"/>
        <v>#N/A</v>
      </c>
    </row>
    <row r="306" spans="1:68">
      <c r="A306" s="636">
        <f t="shared" si="143"/>
        <v>305</v>
      </c>
      <c r="B306" s="637"/>
      <c r="C306" s="637"/>
      <c r="D306" s="652"/>
      <c r="E306" s="679" t="e">
        <f>LOOKUP(D306,'f-travail'!A:A,'f-travail'!B:B)</f>
        <v>#N/A</v>
      </c>
      <c r="F306" s="650"/>
      <c r="G306" s="650"/>
      <c r="H306" s="653"/>
      <c r="I306" s="653"/>
      <c r="J306" s="654"/>
      <c r="K306" s="650"/>
      <c r="L306" s="650"/>
      <c r="M306" s="650">
        <v>0</v>
      </c>
      <c r="N306" s="654"/>
      <c r="O306" s="654"/>
      <c r="P306" s="654"/>
      <c r="Q306" s="654"/>
      <c r="R306" s="676"/>
      <c r="S306" s="654"/>
      <c r="T306" s="675"/>
      <c r="U306" s="675"/>
      <c r="V306" s="670" t="e">
        <f>LOOKUP(D306,'f-travail'!A:A,'f-travail'!E:E)</f>
        <v>#N/A</v>
      </c>
      <c r="W306" s="670" t="e">
        <f>VLOOKUP(V306,جرقمإستدلالي,'f-travail'!$AD$4+1,FALSE)</f>
        <v>#N/A</v>
      </c>
      <c r="X306" s="671" t="e">
        <f t="shared" si="119"/>
        <v>#N/A</v>
      </c>
      <c r="Y306" s="671">
        <f>IF(G306="مدير ولائي",(HLOOKUP(I306,جدروظعليا,'f-travail'!$AT$3+1,FALSE)-3200),0)</f>
        <v>0</v>
      </c>
      <c r="Z306" s="672" t="str">
        <f t="shared" si="130"/>
        <v/>
      </c>
      <c r="AA306" s="671">
        <f t="shared" si="131"/>
        <v>0</v>
      </c>
      <c r="AB306" s="677" t="b">
        <f t="shared" si="120"/>
        <v>0</v>
      </c>
      <c r="AC306" s="678">
        <f t="shared" si="132"/>
        <v>0</v>
      </c>
      <c r="AD306" s="673"/>
      <c r="AE306" s="678">
        <f t="shared" si="121"/>
        <v>0</v>
      </c>
      <c r="AF306" s="678" t="e">
        <f t="shared" si="122"/>
        <v>#N/A</v>
      </c>
      <c r="AG306" s="678" t="e">
        <f t="shared" si="123"/>
        <v>#N/A</v>
      </c>
      <c r="AH306" s="673">
        <f t="shared" si="133"/>
        <v>0</v>
      </c>
      <c r="AI306" s="674" t="e">
        <f>IF(G306="مدير ولائي",(11000*35%),LOOKUP(D306,'f-travail'!A:A,'f-travail'!I:I))</f>
        <v>#N/A</v>
      </c>
      <c r="AJ306" s="673" t="e">
        <f>IF(G306="مدير ولائي",((W306+X306)*45)*80%,IF(V306&lt;8,0,IF(F306="إليزي",(LOOKUP(D306,'f-travail'!A:A,'f-travail'!O:O))*(AF306+AG306),LOOKUP(D306,'f-travail'!A:A,'f-travail'!P:P)*(AF306+AG306))))</f>
        <v>#N/A</v>
      </c>
      <c r="AK306" s="673" t="e">
        <f>IF(G306="مدير ولائي",0,LOOKUP(D306,'f-travail'!A:A,'f-travail'!Q:Q))</f>
        <v>#N/A</v>
      </c>
      <c r="AL306" s="673" t="e">
        <f>IF(G306="مدير ولائي",0,LOOKUP(D306,'f-travail'!A:A,'f-travail'!R:R)*(AF306+AG306))</f>
        <v>#N/A</v>
      </c>
      <c r="AM306" s="673" t="e">
        <f>IF(G306="مدير ولائي",0,LOOKUP(D306,'f-travail'!A:A,'f-travail'!S:S)*(AF306+AG306))</f>
        <v>#N/A</v>
      </c>
      <c r="AN306" s="673" t="e">
        <f>IF(G306="مدير ولائي",0,LOOKUP(D306,'f-travail'!A:A,'f-travail'!T:T)*(AF306+AG306))</f>
        <v>#N/A</v>
      </c>
      <c r="AO306" s="673" t="e">
        <f>IF(G306="مدير ولائي",0,LOOKUP(D306,'f-travail'!A:A,'f-travail'!U:U)*(AF306+AG306))</f>
        <v>#N/A</v>
      </c>
      <c r="AP306" s="673" t="e">
        <f>IF(G306="مدير ولائي",0,LOOKUP(D306,'f-travail'!A:A,'f-travail'!V:V)*(AF306+AG306))</f>
        <v>#N/A</v>
      </c>
      <c r="AQ306" s="673" t="e">
        <f>IF(G306="مدير ولائي",0,LOOKUP(D306,'f-travail'!A:A,'f-travail'!W:W)*(AF306+AG306))</f>
        <v>#N/A</v>
      </c>
      <c r="AR306" s="673">
        <f t="shared" si="134"/>
        <v>0</v>
      </c>
      <c r="AS306" s="673" t="e">
        <f>IF(G306="مدير ولائي",0,LOOKUP(D306,'f-travail'!A:A,'f-travail'!X:X)*(AF306+AG306))</f>
        <v>#N/A</v>
      </c>
      <c r="AT306" s="673" t="e">
        <f>IF(G306="مدير ولائي",0,LOOKUP(D306,'f-travail'!Y:Y,'f-travail'!R:R)*(AF306+AG306))</f>
        <v>#N/A</v>
      </c>
      <c r="AU306" s="673">
        <f t="shared" si="124"/>
        <v>0</v>
      </c>
      <c r="AV306" s="673">
        <f t="shared" si="125"/>
        <v>0</v>
      </c>
      <c r="AW306" s="673">
        <f t="shared" si="126"/>
        <v>0</v>
      </c>
      <c r="AY306" s="640" t="e">
        <f t="shared" si="135"/>
        <v>#N/A</v>
      </c>
      <c r="AZ306" s="673" t="e">
        <f t="shared" si="127"/>
        <v>#N/A</v>
      </c>
      <c r="BA306" s="639" t="e">
        <f t="shared" si="128"/>
        <v>#N/A</v>
      </c>
      <c r="BG306" s="639">
        <f t="shared" si="136"/>
        <v>0</v>
      </c>
      <c r="BH306" s="683">
        <f t="shared" si="137"/>
        <v>0</v>
      </c>
      <c r="BI306" s="683">
        <f t="shared" si="138"/>
        <v>0</v>
      </c>
      <c r="BJ306" s="641" t="e">
        <f t="shared" si="139"/>
        <v>#N/A</v>
      </c>
      <c r="BK306" s="641" t="e">
        <f t="shared" si="140"/>
        <v>#N/A</v>
      </c>
      <c r="BL306" s="641" t="e">
        <f t="shared" si="141"/>
        <v>#N/A</v>
      </c>
      <c r="BM306" s="684" t="e">
        <f t="shared" si="142"/>
        <v>#N/A</v>
      </c>
      <c r="BO306" s="682" t="e">
        <f>CONCATENATE(Z306," ",LOOKUP(D306,'f-travail'!A:A,'f-travail'!F:F))</f>
        <v>#N/A</v>
      </c>
      <c r="BP306" s="669" t="e">
        <f t="shared" si="129"/>
        <v>#N/A</v>
      </c>
    </row>
    <row r="307" spans="1:68">
      <c r="A307" s="636">
        <f t="shared" si="143"/>
        <v>306</v>
      </c>
      <c r="B307" s="637"/>
      <c r="C307" s="637"/>
      <c r="D307" s="652"/>
      <c r="E307" s="679" t="e">
        <f>LOOKUP(D307,'f-travail'!A:A,'f-travail'!B:B)</f>
        <v>#N/A</v>
      </c>
      <c r="F307" s="650"/>
      <c r="G307" s="650"/>
      <c r="H307" s="653"/>
      <c r="I307" s="653"/>
      <c r="J307" s="654"/>
      <c r="K307" s="650"/>
      <c r="L307" s="650"/>
      <c r="M307" s="650">
        <v>0</v>
      </c>
      <c r="N307" s="654"/>
      <c r="O307" s="654"/>
      <c r="P307" s="654"/>
      <c r="Q307" s="654"/>
      <c r="R307" s="676"/>
      <c r="S307" s="654"/>
      <c r="T307" s="675"/>
      <c r="U307" s="675"/>
      <c r="V307" s="670" t="e">
        <f>LOOKUP(D307,'f-travail'!A:A,'f-travail'!E:E)</f>
        <v>#N/A</v>
      </c>
      <c r="W307" s="670" t="e">
        <f>VLOOKUP(V307,جرقمإستدلالي,'f-travail'!$AD$4+1,FALSE)</f>
        <v>#N/A</v>
      </c>
      <c r="X307" s="671" t="e">
        <f t="shared" si="119"/>
        <v>#N/A</v>
      </c>
      <c r="Y307" s="671">
        <f>IF(G307="مدير ولائي",(HLOOKUP(I307,جدروظعليا,'f-travail'!$AT$3+1,FALSE)-3200),0)</f>
        <v>0</v>
      </c>
      <c r="Z307" s="672" t="str">
        <f t="shared" si="130"/>
        <v/>
      </c>
      <c r="AA307" s="671">
        <f t="shared" si="131"/>
        <v>0</v>
      </c>
      <c r="AB307" s="677" t="b">
        <f t="shared" si="120"/>
        <v>0</v>
      </c>
      <c r="AC307" s="678">
        <f t="shared" si="132"/>
        <v>0</v>
      </c>
      <c r="AD307" s="673"/>
      <c r="AE307" s="678">
        <f t="shared" si="121"/>
        <v>0</v>
      </c>
      <c r="AF307" s="678" t="e">
        <f t="shared" si="122"/>
        <v>#N/A</v>
      </c>
      <c r="AG307" s="678" t="e">
        <f t="shared" si="123"/>
        <v>#N/A</v>
      </c>
      <c r="AH307" s="673">
        <f t="shared" si="133"/>
        <v>0</v>
      </c>
      <c r="AI307" s="674" t="e">
        <f>IF(G307="مدير ولائي",(11000*35%),LOOKUP(D307,'f-travail'!A:A,'f-travail'!I:I))</f>
        <v>#N/A</v>
      </c>
      <c r="AJ307" s="673" t="e">
        <f>IF(G307="مدير ولائي",((W307+X307)*45)*80%,IF(V307&lt;8,0,IF(F307="إليزي",(LOOKUP(D307,'f-travail'!A:A,'f-travail'!O:O))*(AF307+AG307),LOOKUP(D307,'f-travail'!A:A,'f-travail'!P:P)*(AF307+AG307))))</f>
        <v>#N/A</v>
      </c>
      <c r="AK307" s="673" t="e">
        <f>IF(G307="مدير ولائي",0,LOOKUP(D307,'f-travail'!A:A,'f-travail'!Q:Q))</f>
        <v>#N/A</v>
      </c>
      <c r="AL307" s="673" t="e">
        <f>IF(G307="مدير ولائي",0,LOOKUP(D307,'f-travail'!A:A,'f-travail'!R:R)*(AF307+AG307))</f>
        <v>#N/A</v>
      </c>
      <c r="AM307" s="673" t="e">
        <f>IF(G307="مدير ولائي",0,LOOKUP(D307,'f-travail'!A:A,'f-travail'!S:S)*(AF307+AG307))</f>
        <v>#N/A</v>
      </c>
      <c r="AN307" s="673" t="e">
        <f>IF(G307="مدير ولائي",0,LOOKUP(D307,'f-travail'!A:A,'f-travail'!T:T)*(AF307+AG307))</f>
        <v>#N/A</v>
      </c>
      <c r="AO307" s="673" t="e">
        <f>IF(G307="مدير ولائي",0,LOOKUP(D307,'f-travail'!A:A,'f-travail'!U:U)*(AF307+AG307))</f>
        <v>#N/A</v>
      </c>
      <c r="AP307" s="673" t="e">
        <f>IF(G307="مدير ولائي",0,LOOKUP(D307,'f-travail'!A:A,'f-travail'!V:V)*(AF307+AG307))</f>
        <v>#N/A</v>
      </c>
      <c r="AQ307" s="673" t="e">
        <f>IF(G307="مدير ولائي",0,LOOKUP(D307,'f-travail'!A:A,'f-travail'!W:W)*(AF307+AG307))</f>
        <v>#N/A</v>
      </c>
      <c r="AR307" s="673">
        <f t="shared" si="134"/>
        <v>0</v>
      </c>
      <c r="AS307" s="673" t="e">
        <f>IF(G307="مدير ولائي",0,LOOKUP(D307,'f-travail'!A:A,'f-travail'!X:X)*(AF307+AG307))</f>
        <v>#N/A</v>
      </c>
      <c r="AT307" s="673" t="e">
        <f>IF(G307="مدير ولائي",0,LOOKUP(D307,'f-travail'!Y:Y,'f-travail'!R:R)*(AF307+AG307))</f>
        <v>#N/A</v>
      </c>
      <c r="AU307" s="673">
        <f t="shared" si="124"/>
        <v>0</v>
      </c>
      <c r="AV307" s="673">
        <f t="shared" si="125"/>
        <v>0</v>
      </c>
      <c r="AW307" s="673">
        <f t="shared" si="126"/>
        <v>0</v>
      </c>
      <c r="AY307" s="640" t="e">
        <f t="shared" si="135"/>
        <v>#N/A</v>
      </c>
      <c r="AZ307" s="673" t="e">
        <f t="shared" si="127"/>
        <v>#N/A</v>
      </c>
      <c r="BA307" s="639" t="e">
        <f t="shared" si="128"/>
        <v>#N/A</v>
      </c>
      <c r="BG307" s="639">
        <f t="shared" si="136"/>
        <v>0</v>
      </c>
      <c r="BH307" s="683">
        <f t="shared" si="137"/>
        <v>0</v>
      </c>
      <c r="BI307" s="683">
        <f t="shared" si="138"/>
        <v>0</v>
      </c>
      <c r="BJ307" s="641" t="e">
        <f t="shared" si="139"/>
        <v>#N/A</v>
      </c>
      <c r="BK307" s="641" t="e">
        <f t="shared" si="140"/>
        <v>#N/A</v>
      </c>
      <c r="BL307" s="641" t="e">
        <f t="shared" si="141"/>
        <v>#N/A</v>
      </c>
      <c r="BM307" s="684" t="e">
        <f t="shared" si="142"/>
        <v>#N/A</v>
      </c>
      <c r="BO307" s="682" t="e">
        <f>CONCATENATE(Z307," ",LOOKUP(D307,'f-travail'!A:A,'f-travail'!F:F))</f>
        <v>#N/A</v>
      </c>
      <c r="BP307" s="669" t="e">
        <f t="shared" si="129"/>
        <v>#N/A</v>
      </c>
    </row>
    <row r="308" spans="1:68">
      <c r="A308" s="636">
        <f t="shared" si="143"/>
        <v>307</v>
      </c>
      <c r="B308" s="637"/>
      <c r="C308" s="637"/>
      <c r="D308" s="652"/>
      <c r="E308" s="679" t="e">
        <f>LOOKUP(D308,'f-travail'!A:A,'f-travail'!B:B)</f>
        <v>#N/A</v>
      </c>
      <c r="F308" s="650"/>
      <c r="G308" s="650"/>
      <c r="H308" s="653"/>
      <c r="I308" s="653"/>
      <c r="J308" s="654"/>
      <c r="K308" s="650"/>
      <c r="L308" s="650"/>
      <c r="M308" s="650">
        <v>0</v>
      </c>
      <c r="N308" s="654"/>
      <c r="O308" s="654"/>
      <c r="P308" s="654"/>
      <c r="Q308" s="654"/>
      <c r="R308" s="676"/>
      <c r="S308" s="654"/>
      <c r="T308" s="675"/>
      <c r="U308" s="675"/>
      <c r="V308" s="670" t="e">
        <f>LOOKUP(D308,'f-travail'!A:A,'f-travail'!E:E)</f>
        <v>#N/A</v>
      </c>
      <c r="W308" s="670" t="e">
        <f>VLOOKUP(V308,جرقمإستدلالي,'f-travail'!$AD$4+1,FALSE)</f>
        <v>#N/A</v>
      </c>
      <c r="X308" s="671" t="e">
        <f t="shared" si="119"/>
        <v>#N/A</v>
      </c>
      <c r="Y308" s="671">
        <f>IF(G308="مدير ولائي",(HLOOKUP(I308,جدروظعليا,'f-travail'!$AT$3+1,FALSE)-3200),0)</f>
        <v>0</v>
      </c>
      <c r="Z308" s="672" t="str">
        <f t="shared" si="130"/>
        <v/>
      </c>
      <c r="AA308" s="671">
        <f t="shared" si="131"/>
        <v>0</v>
      </c>
      <c r="AB308" s="677" t="b">
        <f t="shared" si="120"/>
        <v>0</v>
      </c>
      <c r="AC308" s="678">
        <f t="shared" si="132"/>
        <v>0</v>
      </c>
      <c r="AD308" s="673"/>
      <c r="AE308" s="678">
        <f t="shared" si="121"/>
        <v>0</v>
      </c>
      <c r="AF308" s="678" t="e">
        <f t="shared" si="122"/>
        <v>#N/A</v>
      </c>
      <c r="AG308" s="678" t="e">
        <f t="shared" si="123"/>
        <v>#N/A</v>
      </c>
      <c r="AH308" s="673">
        <f t="shared" si="133"/>
        <v>0</v>
      </c>
      <c r="AI308" s="674" t="e">
        <f>IF(G308="مدير ولائي",(11000*35%),LOOKUP(D308,'f-travail'!A:A,'f-travail'!I:I))</f>
        <v>#N/A</v>
      </c>
      <c r="AJ308" s="673" t="e">
        <f>IF(G308="مدير ولائي",((W308+X308)*45)*80%,IF(V308&lt;8,0,IF(F308="إليزي",(LOOKUP(D308,'f-travail'!A:A,'f-travail'!O:O))*(AF308+AG308),LOOKUP(D308,'f-travail'!A:A,'f-travail'!P:P)*(AF308+AG308))))</f>
        <v>#N/A</v>
      </c>
      <c r="AK308" s="673" t="e">
        <f>IF(G308="مدير ولائي",0,LOOKUP(D308,'f-travail'!A:A,'f-travail'!Q:Q))</f>
        <v>#N/A</v>
      </c>
      <c r="AL308" s="673" t="e">
        <f>IF(G308="مدير ولائي",0,LOOKUP(D308,'f-travail'!A:A,'f-travail'!R:R)*(AF308+AG308))</f>
        <v>#N/A</v>
      </c>
      <c r="AM308" s="673" t="e">
        <f>IF(G308="مدير ولائي",0,LOOKUP(D308,'f-travail'!A:A,'f-travail'!S:S)*(AF308+AG308))</f>
        <v>#N/A</v>
      </c>
      <c r="AN308" s="673" t="e">
        <f>IF(G308="مدير ولائي",0,LOOKUP(D308,'f-travail'!A:A,'f-travail'!T:T)*(AF308+AG308))</f>
        <v>#N/A</v>
      </c>
      <c r="AO308" s="673" t="e">
        <f>IF(G308="مدير ولائي",0,LOOKUP(D308,'f-travail'!A:A,'f-travail'!U:U)*(AF308+AG308))</f>
        <v>#N/A</v>
      </c>
      <c r="AP308" s="673" t="e">
        <f>IF(G308="مدير ولائي",0,LOOKUP(D308,'f-travail'!A:A,'f-travail'!V:V)*(AF308+AG308))</f>
        <v>#N/A</v>
      </c>
      <c r="AQ308" s="673" t="e">
        <f>IF(G308="مدير ولائي",0,LOOKUP(D308,'f-travail'!A:A,'f-travail'!W:W)*(AF308+AG308))</f>
        <v>#N/A</v>
      </c>
      <c r="AR308" s="673">
        <f t="shared" si="134"/>
        <v>0</v>
      </c>
      <c r="AS308" s="673" t="e">
        <f>IF(G308="مدير ولائي",0,LOOKUP(D308,'f-travail'!A:A,'f-travail'!X:X)*(AF308+AG308))</f>
        <v>#N/A</v>
      </c>
      <c r="AT308" s="673" t="e">
        <f>IF(G308="مدير ولائي",0,LOOKUP(D308,'f-travail'!Y:Y,'f-travail'!R:R)*(AF308+AG308))</f>
        <v>#N/A</v>
      </c>
      <c r="AU308" s="673">
        <f t="shared" si="124"/>
        <v>0</v>
      </c>
      <c r="AV308" s="673">
        <f t="shared" si="125"/>
        <v>0</v>
      </c>
      <c r="AW308" s="673">
        <f t="shared" si="126"/>
        <v>0</v>
      </c>
      <c r="AY308" s="640" t="e">
        <f t="shared" si="135"/>
        <v>#N/A</v>
      </c>
      <c r="AZ308" s="673" t="e">
        <f t="shared" si="127"/>
        <v>#N/A</v>
      </c>
      <c r="BA308" s="639" t="e">
        <f t="shared" si="128"/>
        <v>#N/A</v>
      </c>
      <c r="BG308" s="639">
        <f t="shared" si="136"/>
        <v>0</v>
      </c>
      <c r="BH308" s="683">
        <f t="shared" si="137"/>
        <v>0</v>
      </c>
      <c r="BI308" s="683">
        <f t="shared" si="138"/>
        <v>0</v>
      </c>
      <c r="BJ308" s="641" t="e">
        <f t="shared" si="139"/>
        <v>#N/A</v>
      </c>
      <c r="BK308" s="641" t="e">
        <f t="shared" si="140"/>
        <v>#N/A</v>
      </c>
      <c r="BL308" s="641" t="e">
        <f t="shared" si="141"/>
        <v>#N/A</v>
      </c>
      <c r="BM308" s="684" t="e">
        <f t="shared" si="142"/>
        <v>#N/A</v>
      </c>
      <c r="BO308" s="682" t="e">
        <f>CONCATENATE(Z308," ",LOOKUP(D308,'f-travail'!A:A,'f-travail'!F:F))</f>
        <v>#N/A</v>
      </c>
      <c r="BP308" s="669" t="e">
        <f t="shared" si="129"/>
        <v>#N/A</v>
      </c>
    </row>
    <row r="309" spans="1:68">
      <c r="A309" s="636">
        <f t="shared" si="143"/>
        <v>308</v>
      </c>
      <c r="B309" s="637"/>
      <c r="C309" s="637"/>
      <c r="D309" s="652"/>
      <c r="E309" s="679" t="e">
        <f>LOOKUP(D309,'f-travail'!A:A,'f-travail'!B:B)</f>
        <v>#N/A</v>
      </c>
      <c r="F309" s="650"/>
      <c r="G309" s="650"/>
      <c r="H309" s="653"/>
      <c r="I309" s="653"/>
      <c r="J309" s="654"/>
      <c r="K309" s="650"/>
      <c r="L309" s="650"/>
      <c r="M309" s="650">
        <v>0</v>
      </c>
      <c r="N309" s="654"/>
      <c r="O309" s="654"/>
      <c r="P309" s="654"/>
      <c r="Q309" s="654"/>
      <c r="R309" s="676"/>
      <c r="S309" s="654"/>
      <c r="T309" s="675"/>
      <c r="U309" s="675"/>
      <c r="V309" s="670" t="e">
        <f>LOOKUP(D309,'f-travail'!A:A,'f-travail'!E:E)</f>
        <v>#N/A</v>
      </c>
      <c r="W309" s="670" t="e">
        <f>VLOOKUP(V309,جرقمإستدلالي,'f-travail'!$AD$4+1,FALSE)</f>
        <v>#N/A</v>
      </c>
      <c r="X309" s="671" t="e">
        <f t="shared" si="119"/>
        <v>#N/A</v>
      </c>
      <c r="Y309" s="671">
        <f>IF(G309="مدير ولائي",(HLOOKUP(I309,جدروظعليا,'f-travail'!$AT$3+1,FALSE)-3200),0)</f>
        <v>0</v>
      </c>
      <c r="Z309" s="672" t="str">
        <f t="shared" si="130"/>
        <v/>
      </c>
      <c r="AA309" s="671">
        <f t="shared" si="131"/>
        <v>0</v>
      </c>
      <c r="AB309" s="677" t="b">
        <f t="shared" si="120"/>
        <v>0</v>
      </c>
      <c r="AC309" s="678">
        <f t="shared" si="132"/>
        <v>0</v>
      </c>
      <c r="AD309" s="673"/>
      <c r="AE309" s="678">
        <f t="shared" si="121"/>
        <v>0</v>
      </c>
      <c r="AF309" s="678" t="e">
        <f t="shared" si="122"/>
        <v>#N/A</v>
      </c>
      <c r="AG309" s="678" t="e">
        <f t="shared" si="123"/>
        <v>#N/A</v>
      </c>
      <c r="AH309" s="673">
        <f t="shared" si="133"/>
        <v>0</v>
      </c>
      <c r="AI309" s="674" t="e">
        <f>IF(G309="مدير ولائي",(11000*35%),LOOKUP(D309,'f-travail'!A:A,'f-travail'!I:I))</f>
        <v>#N/A</v>
      </c>
      <c r="AJ309" s="673" t="e">
        <f>IF(G309="مدير ولائي",((W309+X309)*45)*80%,IF(V309&lt;8,0,IF(F309="إليزي",(LOOKUP(D309,'f-travail'!A:A,'f-travail'!O:O))*(AF309+AG309),LOOKUP(D309,'f-travail'!A:A,'f-travail'!P:P)*(AF309+AG309))))</f>
        <v>#N/A</v>
      </c>
      <c r="AK309" s="673" t="e">
        <f>IF(G309="مدير ولائي",0,LOOKUP(D309,'f-travail'!A:A,'f-travail'!Q:Q))</f>
        <v>#N/A</v>
      </c>
      <c r="AL309" s="673" t="e">
        <f>IF(G309="مدير ولائي",0,LOOKUP(D309,'f-travail'!A:A,'f-travail'!R:R)*(AF309+AG309))</f>
        <v>#N/A</v>
      </c>
      <c r="AM309" s="673" t="e">
        <f>IF(G309="مدير ولائي",0,LOOKUP(D309,'f-travail'!A:A,'f-travail'!S:S)*(AF309+AG309))</f>
        <v>#N/A</v>
      </c>
      <c r="AN309" s="673" t="e">
        <f>IF(G309="مدير ولائي",0,LOOKUP(D309,'f-travail'!A:A,'f-travail'!T:T)*(AF309+AG309))</f>
        <v>#N/A</v>
      </c>
      <c r="AO309" s="673" t="e">
        <f>IF(G309="مدير ولائي",0,LOOKUP(D309,'f-travail'!A:A,'f-travail'!U:U)*(AF309+AG309))</f>
        <v>#N/A</v>
      </c>
      <c r="AP309" s="673" t="e">
        <f>IF(G309="مدير ولائي",0,LOOKUP(D309,'f-travail'!A:A,'f-travail'!V:V)*(AF309+AG309))</f>
        <v>#N/A</v>
      </c>
      <c r="AQ309" s="673" t="e">
        <f>IF(G309="مدير ولائي",0,LOOKUP(D309,'f-travail'!A:A,'f-travail'!W:W)*(AF309+AG309))</f>
        <v>#N/A</v>
      </c>
      <c r="AR309" s="673">
        <f t="shared" si="134"/>
        <v>0</v>
      </c>
      <c r="AS309" s="673" t="e">
        <f>IF(G309="مدير ولائي",0,LOOKUP(D309,'f-travail'!A:A,'f-travail'!X:X)*(AF309+AG309))</f>
        <v>#N/A</v>
      </c>
      <c r="AT309" s="673" t="e">
        <f>IF(G309="مدير ولائي",0,LOOKUP(D309,'f-travail'!Y:Y,'f-travail'!R:R)*(AF309+AG309))</f>
        <v>#N/A</v>
      </c>
      <c r="AU309" s="673">
        <f t="shared" si="124"/>
        <v>0</v>
      </c>
      <c r="AV309" s="673">
        <f t="shared" si="125"/>
        <v>0</v>
      </c>
      <c r="AW309" s="673">
        <f t="shared" si="126"/>
        <v>0</v>
      </c>
      <c r="AY309" s="640" t="e">
        <f t="shared" si="135"/>
        <v>#N/A</v>
      </c>
      <c r="AZ309" s="673" t="e">
        <f t="shared" si="127"/>
        <v>#N/A</v>
      </c>
      <c r="BA309" s="639" t="e">
        <f t="shared" si="128"/>
        <v>#N/A</v>
      </c>
      <c r="BG309" s="639">
        <f t="shared" si="136"/>
        <v>0</v>
      </c>
      <c r="BH309" s="683">
        <f t="shared" si="137"/>
        <v>0</v>
      </c>
      <c r="BI309" s="683">
        <f t="shared" si="138"/>
        <v>0</v>
      </c>
      <c r="BJ309" s="641" t="e">
        <f t="shared" si="139"/>
        <v>#N/A</v>
      </c>
      <c r="BK309" s="641" t="e">
        <f t="shared" si="140"/>
        <v>#N/A</v>
      </c>
      <c r="BL309" s="641" t="e">
        <f t="shared" si="141"/>
        <v>#N/A</v>
      </c>
      <c r="BM309" s="684" t="e">
        <f t="shared" si="142"/>
        <v>#N/A</v>
      </c>
      <c r="BO309" s="682" t="e">
        <f>CONCATENATE(Z309," ",LOOKUP(D309,'f-travail'!A:A,'f-travail'!F:F))</f>
        <v>#N/A</v>
      </c>
      <c r="BP309" s="669" t="e">
        <f t="shared" si="129"/>
        <v>#N/A</v>
      </c>
    </row>
    <row r="310" spans="1:68">
      <c r="A310" s="636">
        <f t="shared" si="143"/>
        <v>309</v>
      </c>
      <c r="B310" s="637"/>
      <c r="C310" s="637"/>
      <c r="D310" s="652"/>
      <c r="E310" s="679" t="e">
        <f>LOOKUP(D310,'f-travail'!A:A,'f-travail'!B:B)</f>
        <v>#N/A</v>
      </c>
      <c r="F310" s="650"/>
      <c r="G310" s="650"/>
      <c r="H310" s="653"/>
      <c r="I310" s="653"/>
      <c r="J310" s="654"/>
      <c r="K310" s="650"/>
      <c r="L310" s="650"/>
      <c r="M310" s="650">
        <v>0</v>
      </c>
      <c r="N310" s="654"/>
      <c r="O310" s="654"/>
      <c r="P310" s="654"/>
      <c r="Q310" s="654"/>
      <c r="R310" s="676"/>
      <c r="S310" s="654"/>
      <c r="T310" s="675"/>
      <c r="U310" s="675"/>
      <c r="V310" s="670" t="e">
        <f>LOOKUP(D310,'f-travail'!A:A,'f-travail'!E:E)</f>
        <v>#N/A</v>
      </c>
      <c r="W310" s="670" t="e">
        <f>VLOOKUP(V310,جرقمإستدلالي,'f-travail'!$AD$4+1,FALSE)</f>
        <v>#N/A</v>
      </c>
      <c r="X310" s="671" t="e">
        <f t="shared" si="119"/>
        <v>#N/A</v>
      </c>
      <c r="Y310" s="671">
        <f>IF(G310="مدير ولائي",(HLOOKUP(I310,جدروظعليا,'f-travail'!$AT$3+1,FALSE)-3200),0)</f>
        <v>0</v>
      </c>
      <c r="Z310" s="672" t="str">
        <f t="shared" si="130"/>
        <v/>
      </c>
      <c r="AA310" s="671">
        <f t="shared" si="131"/>
        <v>0</v>
      </c>
      <c r="AB310" s="677" t="b">
        <f t="shared" si="120"/>
        <v>0</v>
      </c>
      <c r="AC310" s="678">
        <f t="shared" si="132"/>
        <v>0</v>
      </c>
      <c r="AD310" s="673"/>
      <c r="AE310" s="678">
        <f t="shared" si="121"/>
        <v>0</v>
      </c>
      <c r="AF310" s="678" t="e">
        <f t="shared" si="122"/>
        <v>#N/A</v>
      </c>
      <c r="AG310" s="678" t="e">
        <f t="shared" si="123"/>
        <v>#N/A</v>
      </c>
      <c r="AH310" s="673">
        <f t="shared" si="133"/>
        <v>0</v>
      </c>
      <c r="AI310" s="674" t="e">
        <f>IF(G310="مدير ولائي",(11000*35%),LOOKUP(D310,'f-travail'!A:A,'f-travail'!I:I))</f>
        <v>#N/A</v>
      </c>
      <c r="AJ310" s="673" t="e">
        <f>IF(G310="مدير ولائي",((W310+X310)*45)*80%,IF(V310&lt;8,0,IF(F310="إليزي",(LOOKUP(D310,'f-travail'!A:A,'f-travail'!O:O))*(AF310+AG310),LOOKUP(D310,'f-travail'!A:A,'f-travail'!P:P)*(AF310+AG310))))</f>
        <v>#N/A</v>
      </c>
      <c r="AK310" s="673" t="e">
        <f>IF(G310="مدير ولائي",0,LOOKUP(D310,'f-travail'!A:A,'f-travail'!Q:Q))</f>
        <v>#N/A</v>
      </c>
      <c r="AL310" s="673" t="e">
        <f>IF(G310="مدير ولائي",0,LOOKUP(D310,'f-travail'!A:A,'f-travail'!R:R)*(AF310+AG310))</f>
        <v>#N/A</v>
      </c>
      <c r="AM310" s="673" t="e">
        <f>IF(G310="مدير ولائي",0,LOOKUP(D310,'f-travail'!A:A,'f-travail'!S:S)*(AF310+AG310))</f>
        <v>#N/A</v>
      </c>
      <c r="AN310" s="673" t="e">
        <f>IF(G310="مدير ولائي",0,LOOKUP(D310,'f-travail'!A:A,'f-travail'!T:T)*(AF310+AG310))</f>
        <v>#N/A</v>
      </c>
      <c r="AO310" s="673" t="e">
        <f>IF(G310="مدير ولائي",0,LOOKUP(D310,'f-travail'!A:A,'f-travail'!U:U)*(AF310+AG310))</f>
        <v>#N/A</v>
      </c>
      <c r="AP310" s="673" t="e">
        <f>IF(G310="مدير ولائي",0,LOOKUP(D310,'f-travail'!A:A,'f-travail'!V:V)*(AF310+AG310))</f>
        <v>#N/A</v>
      </c>
      <c r="AQ310" s="673" t="e">
        <f>IF(G310="مدير ولائي",0,LOOKUP(D310,'f-travail'!A:A,'f-travail'!W:W)*(AF310+AG310))</f>
        <v>#N/A</v>
      </c>
      <c r="AR310" s="673">
        <f t="shared" si="134"/>
        <v>0</v>
      </c>
      <c r="AS310" s="673" t="e">
        <f>IF(G310="مدير ولائي",0,LOOKUP(D310,'f-travail'!A:A,'f-travail'!X:X)*(AF310+AG310))</f>
        <v>#N/A</v>
      </c>
      <c r="AT310" s="673" t="e">
        <f>IF(G310="مدير ولائي",0,LOOKUP(D310,'f-travail'!Y:Y,'f-travail'!R:R)*(AF310+AG310))</f>
        <v>#N/A</v>
      </c>
      <c r="AU310" s="673">
        <f t="shared" si="124"/>
        <v>0</v>
      </c>
      <c r="AV310" s="673">
        <f t="shared" si="125"/>
        <v>0</v>
      </c>
      <c r="AW310" s="673">
        <f t="shared" si="126"/>
        <v>0</v>
      </c>
      <c r="AY310" s="640" t="e">
        <f t="shared" si="135"/>
        <v>#N/A</v>
      </c>
      <c r="AZ310" s="673" t="e">
        <f t="shared" si="127"/>
        <v>#N/A</v>
      </c>
      <c r="BA310" s="639" t="e">
        <f t="shared" si="128"/>
        <v>#N/A</v>
      </c>
      <c r="BG310" s="639">
        <f t="shared" si="136"/>
        <v>0</v>
      </c>
      <c r="BH310" s="683">
        <f t="shared" si="137"/>
        <v>0</v>
      </c>
      <c r="BI310" s="683">
        <f t="shared" si="138"/>
        <v>0</v>
      </c>
      <c r="BJ310" s="641" t="e">
        <f t="shared" si="139"/>
        <v>#N/A</v>
      </c>
      <c r="BK310" s="641" t="e">
        <f t="shared" si="140"/>
        <v>#N/A</v>
      </c>
      <c r="BL310" s="641" t="e">
        <f t="shared" si="141"/>
        <v>#N/A</v>
      </c>
      <c r="BM310" s="684" t="e">
        <f t="shared" si="142"/>
        <v>#N/A</v>
      </c>
      <c r="BO310" s="682" t="e">
        <f>CONCATENATE(Z310," ",LOOKUP(D310,'f-travail'!A:A,'f-travail'!F:F))</f>
        <v>#N/A</v>
      </c>
      <c r="BP310" s="669" t="e">
        <f t="shared" si="129"/>
        <v>#N/A</v>
      </c>
    </row>
    <row r="311" spans="1:68">
      <c r="A311" s="636">
        <f t="shared" si="143"/>
        <v>310</v>
      </c>
      <c r="B311" s="637"/>
      <c r="C311" s="637"/>
      <c r="D311" s="652"/>
      <c r="E311" s="679" t="e">
        <f>LOOKUP(D311,'f-travail'!A:A,'f-travail'!B:B)</f>
        <v>#N/A</v>
      </c>
      <c r="F311" s="650"/>
      <c r="G311" s="650"/>
      <c r="H311" s="653"/>
      <c r="I311" s="653"/>
      <c r="J311" s="654"/>
      <c r="K311" s="650"/>
      <c r="L311" s="650"/>
      <c r="M311" s="650">
        <v>0</v>
      </c>
      <c r="N311" s="654"/>
      <c r="O311" s="654"/>
      <c r="P311" s="654"/>
      <c r="Q311" s="654"/>
      <c r="R311" s="676"/>
      <c r="S311" s="654"/>
      <c r="T311" s="675"/>
      <c r="U311" s="675"/>
      <c r="V311" s="670" t="e">
        <f>LOOKUP(D311,'f-travail'!A:A,'f-travail'!E:E)</f>
        <v>#N/A</v>
      </c>
      <c r="W311" s="670" t="e">
        <f>VLOOKUP(V311,جرقمإستدلالي,'f-travail'!$AD$4+1,FALSE)</f>
        <v>#N/A</v>
      </c>
      <c r="X311" s="671" t="e">
        <f t="shared" si="119"/>
        <v>#N/A</v>
      </c>
      <c r="Y311" s="671">
        <f>IF(G311="مدير ولائي",(HLOOKUP(I311,جدروظعليا,'f-travail'!$AT$3+1,FALSE)-3200),0)</f>
        <v>0</v>
      </c>
      <c r="Z311" s="672" t="str">
        <f t="shared" si="130"/>
        <v/>
      </c>
      <c r="AA311" s="671">
        <f t="shared" si="131"/>
        <v>0</v>
      </c>
      <c r="AB311" s="677" t="b">
        <f t="shared" si="120"/>
        <v>0</v>
      </c>
      <c r="AC311" s="678">
        <f t="shared" si="132"/>
        <v>0</v>
      </c>
      <c r="AD311" s="673"/>
      <c r="AE311" s="678">
        <f t="shared" si="121"/>
        <v>0</v>
      </c>
      <c r="AF311" s="678" t="e">
        <f t="shared" si="122"/>
        <v>#N/A</v>
      </c>
      <c r="AG311" s="678" t="e">
        <f t="shared" si="123"/>
        <v>#N/A</v>
      </c>
      <c r="AH311" s="673">
        <f t="shared" si="133"/>
        <v>0</v>
      </c>
      <c r="AI311" s="674" t="e">
        <f>IF(G311="مدير ولائي",(11000*35%),LOOKUP(D311,'f-travail'!A:A,'f-travail'!I:I))</f>
        <v>#N/A</v>
      </c>
      <c r="AJ311" s="673" t="e">
        <f>IF(G311="مدير ولائي",((W311+X311)*45)*80%,IF(V311&lt;8,0,IF(F311="إليزي",(LOOKUP(D311,'f-travail'!A:A,'f-travail'!O:O))*(AF311+AG311),LOOKUP(D311,'f-travail'!A:A,'f-travail'!P:P)*(AF311+AG311))))</f>
        <v>#N/A</v>
      </c>
      <c r="AK311" s="673" t="e">
        <f>IF(G311="مدير ولائي",0,LOOKUP(D311,'f-travail'!A:A,'f-travail'!Q:Q))</f>
        <v>#N/A</v>
      </c>
      <c r="AL311" s="673" t="e">
        <f>IF(G311="مدير ولائي",0,LOOKUP(D311,'f-travail'!A:A,'f-travail'!R:R)*(AF311+AG311))</f>
        <v>#N/A</v>
      </c>
      <c r="AM311" s="673" t="e">
        <f>IF(G311="مدير ولائي",0,LOOKUP(D311,'f-travail'!A:A,'f-travail'!S:S)*(AF311+AG311))</f>
        <v>#N/A</v>
      </c>
      <c r="AN311" s="673" t="e">
        <f>IF(G311="مدير ولائي",0,LOOKUP(D311,'f-travail'!A:A,'f-travail'!T:T)*(AF311+AG311))</f>
        <v>#N/A</v>
      </c>
      <c r="AO311" s="673" t="e">
        <f>IF(G311="مدير ولائي",0,LOOKUP(D311,'f-travail'!A:A,'f-travail'!U:U)*(AF311+AG311))</f>
        <v>#N/A</v>
      </c>
      <c r="AP311" s="673" t="e">
        <f>IF(G311="مدير ولائي",0,LOOKUP(D311,'f-travail'!A:A,'f-travail'!V:V)*(AF311+AG311))</f>
        <v>#N/A</v>
      </c>
      <c r="AQ311" s="673" t="e">
        <f>IF(G311="مدير ولائي",0,LOOKUP(D311,'f-travail'!A:A,'f-travail'!W:W)*(AF311+AG311))</f>
        <v>#N/A</v>
      </c>
      <c r="AR311" s="673">
        <f t="shared" si="134"/>
        <v>0</v>
      </c>
      <c r="AS311" s="673" t="e">
        <f>IF(G311="مدير ولائي",0,LOOKUP(D311,'f-travail'!A:A,'f-travail'!X:X)*(AF311+AG311))</f>
        <v>#N/A</v>
      </c>
      <c r="AT311" s="673" t="e">
        <f>IF(G311="مدير ولائي",0,LOOKUP(D311,'f-travail'!Y:Y,'f-travail'!R:R)*(AF311+AG311))</f>
        <v>#N/A</v>
      </c>
      <c r="AU311" s="673">
        <f t="shared" si="124"/>
        <v>0</v>
      </c>
      <c r="AV311" s="673">
        <f t="shared" si="125"/>
        <v>0</v>
      </c>
      <c r="AW311" s="673">
        <f t="shared" si="126"/>
        <v>0</v>
      </c>
      <c r="AY311" s="640" t="e">
        <f t="shared" si="135"/>
        <v>#N/A</v>
      </c>
      <c r="AZ311" s="673" t="e">
        <f t="shared" si="127"/>
        <v>#N/A</v>
      </c>
      <c r="BA311" s="639" t="e">
        <f t="shared" si="128"/>
        <v>#N/A</v>
      </c>
      <c r="BG311" s="639">
        <f t="shared" si="136"/>
        <v>0</v>
      </c>
      <c r="BH311" s="683">
        <f t="shared" si="137"/>
        <v>0</v>
      </c>
      <c r="BI311" s="683">
        <f t="shared" si="138"/>
        <v>0</v>
      </c>
      <c r="BJ311" s="641" t="e">
        <f t="shared" si="139"/>
        <v>#N/A</v>
      </c>
      <c r="BK311" s="641" t="e">
        <f t="shared" si="140"/>
        <v>#N/A</v>
      </c>
      <c r="BL311" s="641" t="e">
        <f t="shared" si="141"/>
        <v>#N/A</v>
      </c>
      <c r="BM311" s="684" t="e">
        <f t="shared" si="142"/>
        <v>#N/A</v>
      </c>
      <c r="BO311" s="682" t="e">
        <f>CONCATENATE(Z311," ",LOOKUP(D311,'f-travail'!A:A,'f-travail'!F:F))</f>
        <v>#N/A</v>
      </c>
      <c r="BP311" s="669" t="e">
        <f t="shared" si="129"/>
        <v>#N/A</v>
      </c>
    </row>
    <row r="312" spans="1:68">
      <c r="A312" s="636">
        <f t="shared" si="143"/>
        <v>311</v>
      </c>
      <c r="B312" s="637"/>
      <c r="C312" s="637"/>
      <c r="D312" s="652"/>
      <c r="E312" s="679" t="e">
        <f>LOOKUP(D312,'f-travail'!A:A,'f-travail'!B:B)</f>
        <v>#N/A</v>
      </c>
      <c r="F312" s="650"/>
      <c r="G312" s="650"/>
      <c r="H312" s="653"/>
      <c r="I312" s="653"/>
      <c r="J312" s="654"/>
      <c r="K312" s="650"/>
      <c r="L312" s="650"/>
      <c r="M312" s="650">
        <v>0</v>
      </c>
      <c r="N312" s="654"/>
      <c r="O312" s="654"/>
      <c r="P312" s="654"/>
      <c r="Q312" s="654"/>
      <c r="R312" s="676"/>
      <c r="S312" s="654"/>
      <c r="T312" s="675"/>
      <c r="U312" s="675"/>
      <c r="V312" s="670" t="e">
        <f>LOOKUP(D312,'f-travail'!A:A,'f-travail'!E:E)</f>
        <v>#N/A</v>
      </c>
      <c r="W312" s="670" t="e">
        <f>VLOOKUP(V312,جرقمإستدلالي,'f-travail'!$AD$4+1,FALSE)</f>
        <v>#N/A</v>
      </c>
      <c r="X312" s="671" t="e">
        <f t="shared" si="119"/>
        <v>#N/A</v>
      </c>
      <c r="Y312" s="671">
        <f>IF(G312="مدير ولائي",(HLOOKUP(I312,جدروظعليا,'f-travail'!$AT$3+1,FALSE)-3200),0)</f>
        <v>0</v>
      </c>
      <c r="Z312" s="672" t="str">
        <f t="shared" si="130"/>
        <v/>
      </c>
      <c r="AA312" s="671">
        <f t="shared" si="131"/>
        <v>0</v>
      </c>
      <c r="AB312" s="677" t="b">
        <f t="shared" si="120"/>
        <v>0</v>
      </c>
      <c r="AC312" s="678">
        <f t="shared" si="132"/>
        <v>0</v>
      </c>
      <c r="AD312" s="673"/>
      <c r="AE312" s="678">
        <f t="shared" si="121"/>
        <v>0</v>
      </c>
      <c r="AF312" s="678" t="e">
        <f t="shared" si="122"/>
        <v>#N/A</v>
      </c>
      <c r="AG312" s="678" t="e">
        <f t="shared" si="123"/>
        <v>#N/A</v>
      </c>
      <c r="AH312" s="673">
        <f t="shared" si="133"/>
        <v>0</v>
      </c>
      <c r="AI312" s="674" t="e">
        <f>IF(G312="مدير ولائي",(11000*35%),LOOKUP(D312,'f-travail'!A:A,'f-travail'!I:I))</f>
        <v>#N/A</v>
      </c>
      <c r="AJ312" s="673" t="e">
        <f>IF(G312="مدير ولائي",((W312+X312)*45)*80%,IF(V312&lt;8,0,IF(F312="إليزي",(LOOKUP(D312,'f-travail'!A:A,'f-travail'!O:O))*(AF312+AG312),LOOKUP(D312,'f-travail'!A:A,'f-travail'!P:P)*(AF312+AG312))))</f>
        <v>#N/A</v>
      </c>
      <c r="AK312" s="673" t="e">
        <f>IF(G312="مدير ولائي",0,LOOKUP(D312,'f-travail'!A:A,'f-travail'!Q:Q))</f>
        <v>#N/A</v>
      </c>
      <c r="AL312" s="673" t="e">
        <f>IF(G312="مدير ولائي",0,LOOKUP(D312,'f-travail'!A:A,'f-travail'!R:R)*(AF312+AG312))</f>
        <v>#N/A</v>
      </c>
      <c r="AM312" s="673" t="e">
        <f>IF(G312="مدير ولائي",0,LOOKUP(D312,'f-travail'!A:A,'f-travail'!S:S)*(AF312+AG312))</f>
        <v>#N/A</v>
      </c>
      <c r="AN312" s="673" t="e">
        <f>IF(G312="مدير ولائي",0,LOOKUP(D312,'f-travail'!A:A,'f-travail'!T:T)*(AF312+AG312))</f>
        <v>#N/A</v>
      </c>
      <c r="AO312" s="673" t="e">
        <f>IF(G312="مدير ولائي",0,LOOKUP(D312,'f-travail'!A:A,'f-travail'!U:U)*(AF312+AG312))</f>
        <v>#N/A</v>
      </c>
      <c r="AP312" s="673" t="e">
        <f>IF(G312="مدير ولائي",0,LOOKUP(D312,'f-travail'!A:A,'f-travail'!V:V)*(AF312+AG312))</f>
        <v>#N/A</v>
      </c>
      <c r="AQ312" s="673" t="e">
        <f>IF(G312="مدير ولائي",0,LOOKUP(D312,'f-travail'!A:A,'f-travail'!W:W)*(AF312+AG312))</f>
        <v>#N/A</v>
      </c>
      <c r="AR312" s="673">
        <f t="shared" si="134"/>
        <v>0</v>
      </c>
      <c r="AS312" s="673" t="e">
        <f>IF(G312="مدير ولائي",0,LOOKUP(D312,'f-travail'!A:A,'f-travail'!X:X)*(AF312+AG312))</f>
        <v>#N/A</v>
      </c>
      <c r="AT312" s="673" t="e">
        <f>IF(G312="مدير ولائي",0,LOOKUP(D312,'f-travail'!Y:Y,'f-travail'!R:R)*(AF312+AG312))</f>
        <v>#N/A</v>
      </c>
      <c r="AU312" s="673">
        <f t="shared" si="124"/>
        <v>0</v>
      </c>
      <c r="AV312" s="673">
        <f t="shared" si="125"/>
        <v>0</v>
      </c>
      <c r="AW312" s="673">
        <f t="shared" si="126"/>
        <v>0</v>
      </c>
      <c r="AY312" s="640" t="e">
        <f t="shared" si="135"/>
        <v>#N/A</v>
      </c>
      <c r="AZ312" s="673" t="e">
        <f t="shared" si="127"/>
        <v>#N/A</v>
      </c>
      <c r="BA312" s="639" t="e">
        <f t="shared" si="128"/>
        <v>#N/A</v>
      </c>
      <c r="BG312" s="639">
        <f t="shared" si="136"/>
        <v>0</v>
      </c>
      <c r="BH312" s="683">
        <f t="shared" si="137"/>
        <v>0</v>
      </c>
      <c r="BI312" s="683">
        <f t="shared" si="138"/>
        <v>0</v>
      </c>
      <c r="BJ312" s="641" t="e">
        <f t="shared" si="139"/>
        <v>#N/A</v>
      </c>
      <c r="BK312" s="641" t="e">
        <f t="shared" si="140"/>
        <v>#N/A</v>
      </c>
      <c r="BL312" s="641" t="e">
        <f t="shared" si="141"/>
        <v>#N/A</v>
      </c>
      <c r="BM312" s="684" t="e">
        <f t="shared" si="142"/>
        <v>#N/A</v>
      </c>
      <c r="BO312" s="682" t="e">
        <f>CONCATENATE(Z312," ",LOOKUP(D312,'f-travail'!A:A,'f-travail'!F:F))</f>
        <v>#N/A</v>
      </c>
      <c r="BP312" s="669" t="e">
        <f t="shared" si="129"/>
        <v>#N/A</v>
      </c>
    </row>
    <row r="313" spans="1:68">
      <c r="A313" s="636">
        <f t="shared" si="143"/>
        <v>312</v>
      </c>
      <c r="B313" s="637"/>
      <c r="C313" s="637"/>
      <c r="D313" s="652"/>
      <c r="E313" s="679" t="e">
        <f>LOOKUP(D313,'f-travail'!A:A,'f-travail'!B:B)</f>
        <v>#N/A</v>
      </c>
      <c r="F313" s="650"/>
      <c r="G313" s="650"/>
      <c r="H313" s="653"/>
      <c r="I313" s="653"/>
      <c r="J313" s="654"/>
      <c r="K313" s="650"/>
      <c r="L313" s="650"/>
      <c r="M313" s="650">
        <v>0</v>
      </c>
      <c r="N313" s="654"/>
      <c r="O313" s="654"/>
      <c r="P313" s="654"/>
      <c r="Q313" s="654"/>
      <c r="R313" s="676"/>
      <c r="S313" s="654"/>
      <c r="T313" s="675"/>
      <c r="U313" s="675"/>
      <c r="V313" s="670" t="e">
        <f>LOOKUP(D313,'f-travail'!A:A,'f-travail'!E:E)</f>
        <v>#N/A</v>
      </c>
      <c r="W313" s="670" t="e">
        <f>VLOOKUP(V313,جرقمإستدلالي,'f-travail'!$AD$4+1,FALSE)</f>
        <v>#N/A</v>
      </c>
      <c r="X313" s="671" t="e">
        <f t="shared" si="119"/>
        <v>#N/A</v>
      </c>
      <c r="Y313" s="671">
        <f>IF(G313="مدير ولائي",(HLOOKUP(I313,جدروظعليا,'f-travail'!$AT$3+1,FALSE)-3200),0)</f>
        <v>0</v>
      </c>
      <c r="Z313" s="672" t="str">
        <f t="shared" si="130"/>
        <v/>
      </c>
      <c r="AA313" s="671">
        <f t="shared" si="131"/>
        <v>0</v>
      </c>
      <c r="AB313" s="677" t="b">
        <f t="shared" si="120"/>
        <v>0</v>
      </c>
      <c r="AC313" s="678">
        <f t="shared" si="132"/>
        <v>0</v>
      </c>
      <c r="AD313" s="673"/>
      <c r="AE313" s="678">
        <f t="shared" si="121"/>
        <v>0</v>
      </c>
      <c r="AF313" s="678" t="e">
        <f t="shared" si="122"/>
        <v>#N/A</v>
      </c>
      <c r="AG313" s="678" t="e">
        <f t="shared" si="123"/>
        <v>#N/A</v>
      </c>
      <c r="AH313" s="673">
        <f t="shared" si="133"/>
        <v>0</v>
      </c>
      <c r="AI313" s="674" t="e">
        <f>IF(G313="مدير ولائي",(11000*35%),LOOKUP(D313,'f-travail'!A:A,'f-travail'!I:I))</f>
        <v>#N/A</v>
      </c>
      <c r="AJ313" s="673" t="e">
        <f>IF(G313="مدير ولائي",((W313+X313)*45)*80%,IF(V313&lt;8,0,IF(F313="إليزي",(LOOKUP(D313,'f-travail'!A:A,'f-travail'!O:O))*(AF313+AG313),LOOKUP(D313,'f-travail'!A:A,'f-travail'!P:P)*(AF313+AG313))))</f>
        <v>#N/A</v>
      </c>
      <c r="AK313" s="673" t="e">
        <f>IF(G313="مدير ولائي",0,LOOKUP(D313,'f-travail'!A:A,'f-travail'!Q:Q))</f>
        <v>#N/A</v>
      </c>
      <c r="AL313" s="673" t="e">
        <f>IF(G313="مدير ولائي",0,LOOKUP(D313,'f-travail'!A:A,'f-travail'!R:R)*(AF313+AG313))</f>
        <v>#N/A</v>
      </c>
      <c r="AM313" s="673" t="e">
        <f>IF(G313="مدير ولائي",0,LOOKUP(D313,'f-travail'!A:A,'f-travail'!S:S)*(AF313+AG313))</f>
        <v>#N/A</v>
      </c>
      <c r="AN313" s="673" t="e">
        <f>IF(G313="مدير ولائي",0,LOOKUP(D313,'f-travail'!A:A,'f-travail'!T:T)*(AF313+AG313))</f>
        <v>#N/A</v>
      </c>
      <c r="AO313" s="673" t="e">
        <f>IF(G313="مدير ولائي",0,LOOKUP(D313,'f-travail'!A:A,'f-travail'!U:U)*(AF313+AG313))</f>
        <v>#N/A</v>
      </c>
      <c r="AP313" s="673" t="e">
        <f>IF(G313="مدير ولائي",0,LOOKUP(D313,'f-travail'!A:A,'f-travail'!V:V)*(AF313+AG313))</f>
        <v>#N/A</v>
      </c>
      <c r="AQ313" s="673" t="e">
        <f>IF(G313="مدير ولائي",0,LOOKUP(D313,'f-travail'!A:A,'f-travail'!W:W)*(AF313+AG313))</f>
        <v>#N/A</v>
      </c>
      <c r="AR313" s="673">
        <f t="shared" si="134"/>
        <v>0</v>
      </c>
      <c r="AS313" s="673" t="e">
        <f>IF(G313="مدير ولائي",0,LOOKUP(D313,'f-travail'!A:A,'f-travail'!X:X)*(AF313+AG313))</f>
        <v>#N/A</v>
      </c>
      <c r="AT313" s="673" t="e">
        <f>IF(G313="مدير ولائي",0,LOOKUP(D313,'f-travail'!Y:Y,'f-travail'!R:R)*(AF313+AG313))</f>
        <v>#N/A</v>
      </c>
      <c r="AU313" s="673">
        <f t="shared" si="124"/>
        <v>0</v>
      </c>
      <c r="AV313" s="673">
        <f t="shared" si="125"/>
        <v>0</v>
      </c>
      <c r="AW313" s="673">
        <f t="shared" si="126"/>
        <v>0</v>
      </c>
      <c r="AY313" s="640" t="e">
        <f t="shared" si="135"/>
        <v>#N/A</v>
      </c>
      <c r="AZ313" s="673" t="e">
        <f t="shared" si="127"/>
        <v>#N/A</v>
      </c>
      <c r="BA313" s="639" t="e">
        <f t="shared" si="128"/>
        <v>#N/A</v>
      </c>
      <c r="BG313" s="639">
        <f t="shared" si="136"/>
        <v>0</v>
      </c>
      <c r="BH313" s="683">
        <f t="shared" si="137"/>
        <v>0</v>
      </c>
      <c r="BI313" s="683">
        <f t="shared" si="138"/>
        <v>0</v>
      </c>
      <c r="BJ313" s="641" t="e">
        <f t="shared" si="139"/>
        <v>#N/A</v>
      </c>
      <c r="BK313" s="641" t="e">
        <f t="shared" si="140"/>
        <v>#N/A</v>
      </c>
      <c r="BL313" s="641" t="e">
        <f t="shared" si="141"/>
        <v>#N/A</v>
      </c>
      <c r="BM313" s="684" t="e">
        <f t="shared" si="142"/>
        <v>#N/A</v>
      </c>
      <c r="BO313" s="682" t="e">
        <f>CONCATENATE(Z313," ",LOOKUP(D313,'f-travail'!A:A,'f-travail'!F:F))</f>
        <v>#N/A</v>
      </c>
      <c r="BP313" s="669" t="e">
        <f t="shared" si="129"/>
        <v>#N/A</v>
      </c>
    </row>
    <row r="314" spans="1:68">
      <c r="A314" s="636">
        <f t="shared" si="143"/>
        <v>313</v>
      </c>
      <c r="B314" s="637"/>
      <c r="C314" s="637"/>
      <c r="D314" s="652"/>
      <c r="E314" s="679" t="e">
        <f>LOOKUP(D314,'f-travail'!A:A,'f-travail'!B:B)</f>
        <v>#N/A</v>
      </c>
      <c r="F314" s="650"/>
      <c r="G314" s="650"/>
      <c r="H314" s="653"/>
      <c r="I314" s="653"/>
      <c r="J314" s="654"/>
      <c r="K314" s="650"/>
      <c r="L314" s="650"/>
      <c r="M314" s="650">
        <v>0</v>
      </c>
      <c r="N314" s="654"/>
      <c r="O314" s="654"/>
      <c r="P314" s="654"/>
      <c r="Q314" s="654"/>
      <c r="R314" s="676"/>
      <c r="S314" s="654"/>
      <c r="T314" s="675"/>
      <c r="U314" s="675"/>
      <c r="V314" s="670" t="e">
        <f>LOOKUP(D314,'f-travail'!A:A,'f-travail'!E:E)</f>
        <v>#N/A</v>
      </c>
      <c r="W314" s="670" t="e">
        <f>VLOOKUP(V314,جرقمإستدلالي,'f-travail'!$AD$4+1,FALSE)</f>
        <v>#N/A</v>
      </c>
      <c r="X314" s="671" t="e">
        <f t="shared" si="119"/>
        <v>#N/A</v>
      </c>
      <c r="Y314" s="671">
        <f>IF(G314="مدير ولائي",(HLOOKUP(I314,جدروظعليا,'f-travail'!$AT$3+1,FALSE)-3200),0)</f>
        <v>0</v>
      </c>
      <c r="Z314" s="672" t="str">
        <f t="shared" si="130"/>
        <v/>
      </c>
      <c r="AA314" s="671">
        <f t="shared" si="131"/>
        <v>0</v>
      </c>
      <c r="AB314" s="677" t="b">
        <f t="shared" si="120"/>
        <v>0</v>
      </c>
      <c r="AC314" s="678">
        <f t="shared" si="132"/>
        <v>0</v>
      </c>
      <c r="AD314" s="673"/>
      <c r="AE314" s="678">
        <f t="shared" si="121"/>
        <v>0</v>
      </c>
      <c r="AF314" s="678" t="e">
        <f t="shared" si="122"/>
        <v>#N/A</v>
      </c>
      <c r="AG314" s="678" t="e">
        <f t="shared" si="123"/>
        <v>#N/A</v>
      </c>
      <c r="AH314" s="673">
        <f t="shared" si="133"/>
        <v>0</v>
      </c>
      <c r="AI314" s="674" t="e">
        <f>IF(G314="مدير ولائي",(11000*35%),LOOKUP(D314,'f-travail'!A:A,'f-travail'!I:I))</f>
        <v>#N/A</v>
      </c>
      <c r="AJ314" s="673" t="e">
        <f>IF(G314="مدير ولائي",((W314+X314)*45)*80%,IF(V314&lt;8,0,IF(F314="إليزي",(LOOKUP(D314,'f-travail'!A:A,'f-travail'!O:O))*(AF314+AG314),LOOKUP(D314,'f-travail'!A:A,'f-travail'!P:P)*(AF314+AG314))))</f>
        <v>#N/A</v>
      </c>
      <c r="AK314" s="673" t="e">
        <f>IF(G314="مدير ولائي",0,LOOKUP(D314,'f-travail'!A:A,'f-travail'!Q:Q))</f>
        <v>#N/A</v>
      </c>
      <c r="AL314" s="673" t="e">
        <f>IF(G314="مدير ولائي",0,LOOKUP(D314,'f-travail'!A:A,'f-travail'!R:R)*(AF314+AG314))</f>
        <v>#N/A</v>
      </c>
      <c r="AM314" s="673" t="e">
        <f>IF(G314="مدير ولائي",0,LOOKUP(D314,'f-travail'!A:A,'f-travail'!S:S)*(AF314+AG314))</f>
        <v>#N/A</v>
      </c>
      <c r="AN314" s="673" t="e">
        <f>IF(G314="مدير ولائي",0,LOOKUP(D314,'f-travail'!A:A,'f-travail'!T:T)*(AF314+AG314))</f>
        <v>#N/A</v>
      </c>
      <c r="AO314" s="673" t="e">
        <f>IF(G314="مدير ولائي",0,LOOKUP(D314,'f-travail'!A:A,'f-travail'!U:U)*(AF314+AG314))</f>
        <v>#N/A</v>
      </c>
      <c r="AP314" s="673" t="e">
        <f>IF(G314="مدير ولائي",0,LOOKUP(D314,'f-travail'!A:A,'f-travail'!V:V)*(AF314+AG314))</f>
        <v>#N/A</v>
      </c>
      <c r="AQ314" s="673" t="e">
        <f>IF(G314="مدير ولائي",0,LOOKUP(D314,'f-travail'!A:A,'f-travail'!W:W)*(AF314+AG314))</f>
        <v>#N/A</v>
      </c>
      <c r="AR314" s="673">
        <f t="shared" si="134"/>
        <v>0</v>
      </c>
      <c r="AS314" s="673" t="e">
        <f>IF(G314="مدير ولائي",0,LOOKUP(D314,'f-travail'!A:A,'f-travail'!X:X)*(AF314+AG314))</f>
        <v>#N/A</v>
      </c>
      <c r="AT314" s="673" t="e">
        <f>IF(G314="مدير ولائي",0,LOOKUP(D314,'f-travail'!Y:Y,'f-travail'!R:R)*(AF314+AG314))</f>
        <v>#N/A</v>
      </c>
      <c r="AU314" s="673">
        <f t="shared" si="124"/>
        <v>0</v>
      </c>
      <c r="AV314" s="673">
        <f t="shared" si="125"/>
        <v>0</v>
      </c>
      <c r="AW314" s="673">
        <f t="shared" si="126"/>
        <v>0</v>
      </c>
      <c r="AY314" s="640" t="e">
        <f t="shared" si="135"/>
        <v>#N/A</v>
      </c>
      <c r="AZ314" s="673" t="e">
        <f t="shared" si="127"/>
        <v>#N/A</v>
      </c>
      <c r="BA314" s="639" t="e">
        <f t="shared" si="128"/>
        <v>#N/A</v>
      </c>
      <c r="BG314" s="639">
        <f t="shared" si="136"/>
        <v>0</v>
      </c>
      <c r="BH314" s="683">
        <f t="shared" si="137"/>
        <v>0</v>
      </c>
      <c r="BI314" s="683">
        <f t="shared" si="138"/>
        <v>0</v>
      </c>
      <c r="BJ314" s="641" t="e">
        <f t="shared" si="139"/>
        <v>#N/A</v>
      </c>
      <c r="BK314" s="641" t="e">
        <f t="shared" si="140"/>
        <v>#N/A</v>
      </c>
      <c r="BL314" s="641" t="e">
        <f t="shared" si="141"/>
        <v>#N/A</v>
      </c>
      <c r="BM314" s="684" t="e">
        <f t="shared" si="142"/>
        <v>#N/A</v>
      </c>
      <c r="BO314" s="682" t="e">
        <f>CONCATENATE(Z314," ",LOOKUP(D314,'f-travail'!A:A,'f-travail'!F:F))</f>
        <v>#N/A</v>
      </c>
      <c r="BP314" s="669" t="e">
        <f t="shared" si="129"/>
        <v>#N/A</v>
      </c>
    </row>
    <row r="315" spans="1:68">
      <c r="A315" s="636">
        <f t="shared" si="143"/>
        <v>314</v>
      </c>
      <c r="B315" s="637"/>
      <c r="C315" s="637"/>
      <c r="D315" s="652"/>
      <c r="E315" s="679" t="e">
        <f>LOOKUP(D315,'f-travail'!A:A,'f-travail'!B:B)</f>
        <v>#N/A</v>
      </c>
      <c r="F315" s="650"/>
      <c r="G315" s="650"/>
      <c r="H315" s="653"/>
      <c r="I315" s="653"/>
      <c r="J315" s="654"/>
      <c r="K315" s="650"/>
      <c r="L315" s="650"/>
      <c r="M315" s="650">
        <v>0</v>
      </c>
      <c r="N315" s="654"/>
      <c r="O315" s="654"/>
      <c r="P315" s="654"/>
      <c r="Q315" s="654"/>
      <c r="R315" s="676"/>
      <c r="S315" s="654"/>
      <c r="T315" s="675"/>
      <c r="U315" s="675"/>
      <c r="V315" s="670" t="e">
        <f>LOOKUP(D315,'f-travail'!A:A,'f-travail'!E:E)</f>
        <v>#N/A</v>
      </c>
      <c r="W315" s="670" t="e">
        <f>VLOOKUP(V315,جرقمإستدلالي,'f-travail'!$AD$4+1,FALSE)</f>
        <v>#N/A</v>
      </c>
      <c r="X315" s="671" t="e">
        <f t="shared" si="119"/>
        <v>#N/A</v>
      </c>
      <c r="Y315" s="671">
        <f>IF(G315="مدير ولائي",(HLOOKUP(I315,جدروظعليا,'f-travail'!$AT$3+1,FALSE)-3200),0)</f>
        <v>0</v>
      </c>
      <c r="Z315" s="672" t="str">
        <f t="shared" si="130"/>
        <v/>
      </c>
      <c r="AA315" s="671">
        <f t="shared" si="131"/>
        <v>0</v>
      </c>
      <c r="AB315" s="677" t="b">
        <f t="shared" si="120"/>
        <v>0</v>
      </c>
      <c r="AC315" s="678">
        <f t="shared" si="132"/>
        <v>0</v>
      </c>
      <c r="AD315" s="673"/>
      <c r="AE315" s="678">
        <f t="shared" si="121"/>
        <v>0</v>
      </c>
      <c r="AF315" s="678" t="e">
        <f t="shared" si="122"/>
        <v>#N/A</v>
      </c>
      <c r="AG315" s="678" t="e">
        <f t="shared" si="123"/>
        <v>#N/A</v>
      </c>
      <c r="AH315" s="673">
        <f t="shared" si="133"/>
        <v>0</v>
      </c>
      <c r="AI315" s="674" t="e">
        <f>IF(G315="مدير ولائي",(11000*35%),LOOKUP(D315,'f-travail'!A:A,'f-travail'!I:I))</f>
        <v>#N/A</v>
      </c>
      <c r="AJ315" s="673" t="e">
        <f>IF(G315="مدير ولائي",((W315+X315)*45)*80%,IF(V315&lt;8,0,IF(F315="إليزي",(LOOKUP(D315,'f-travail'!A:A,'f-travail'!O:O))*(AF315+AG315),LOOKUP(D315,'f-travail'!A:A,'f-travail'!P:P)*(AF315+AG315))))</f>
        <v>#N/A</v>
      </c>
      <c r="AK315" s="673" t="e">
        <f>IF(G315="مدير ولائي",0,LOOKUP(D315,'f-travail'!A:A,'f-travail'!Q:Q))</f>
        <v>#N/A</v>
      </c>
      <c r="AL315" s="673" t="e">
        <f>IF(G315="مدير ولائي",0,LOOKUP(D315,'f-travail'!A:A,'f-travail'!R:R)*(AF315+AG315))</f>
        <v>#N/A</v>
      </c>
      <c r="AM315" s="673" t="e">
        <f>IF(G315="مدير ولائي",0,LOOKUP(D315,'f-travail'!A:A,'f-travail'!S:S)*(AF315+AG315))</f>
        <v>#N/A</v>
      </c>
      <c r="AN315" s="673" t="e">
        <f>IF(G315="مدير ولائي",0,LOOKUP(D315,'f-travail'!A:A,'f-travail'!T:T)*(AF315+AG315))</f>
        <v>#N/A</v>
      </c>
      <c r="AO315" s="673" t="e">
        <f>IF(G315="مدير ولائي",0,LOOKUP(D315,'f-travail'!A:A,'f-travail'!U:U)*(AF315+AG315))</f>
        <v>#N/A</v>
      </c>
      <c r="AP315" s="673" t="e">
        <f>IF(G315="مدير ولائي",0,LOOKUP(D315,'f-travail'!A:A,'f-travail'!V:V)*(AF315+AG315))</f>
        <v>#N/A</v>
      </c>
      <c r="AQ315" s="673" t="e">
        <f>IF(G315="مدير ولائي",0,LOOKUP(D315,'f-travail'!A:A,'f-travail'!W:W)*(AF315+AG315))</f>
        <v>#N/A</v>
      </c>
      <c r="AR315" s="673">
        <f t="shared" si="134"/>
        <v>0</v>
      </c>
      <c r="AS315" s="673" t="e">
        <f>IF(G315="مدير ولائي",0,LOOKUP(D315,'f-travail'!A:A,'f-travail'!X:X)*(AF315+AG315))</f>
        <v>#N/A</v>
      </c>
      <c r="AT315" s="673" t="e">
        <f>IF(G315="مدير ولائي",0,LOOKUP(D315,'f-travail'!Y:Y,'f-travail'!R:R)*(AF315+AG315))</f>
        <v>#N/A</v>
      </c>
      <c r="AU315" s="673">
        <f t="shared" si="124"/>
        <v>0</v>
      </c>
      <c r="AV315" s="673">
        <f t="shared" si="125"/>
        <v>0</v>
      </c>
      <c r="AW315" s="673">
        <f t="shared" si="126"/>
        <v>0</v>
      </c>
      <c r="AY315" s="640" t="e">
        <f t="shared" si="135"/>
        <v>#N/A</v>
      </c>
      <c r="AZ315" s="673" t="e">
        <f t="shared" si="127"/>
        <v>#N/A</v>
      </c>
      <c r="BA315" s="639" t="e">
        <f t="shared" si="128"/>
        <v>#N/A</v>
      </c>
      <c r="BG315" s="639">
        <f t="shared" si="136"/>
        <v>0</v>
      </c>
      <c r="BH315" s="683">
        <f t="shared" si="137"/>
        <v>0</v>
      </c>
      <c r="BI315" s="683">
        <f t="shared" si="138"/>
        <v>0</v>
      </c>
      <c r="BJ315" s="641" t="e">
        <f t="shared" si="139"/>
        <v>#N/A</v>
      </c>
      <c r="BK315" s="641" t="e">
        <f t="shared" si="140"/>
        <v>#N/A</v>
      </c>
      <c r="BL315" s="641" t="e">
        <f t="shared" si="141"/>
        <v>#N/A</v>
      </c>
      <c r="BM315" s="684" t="e">
        <f t="shared" si="142"/>
        <v>#N/A</v>
      </c>
      <c r="BO315" s="682" t="e">
        <f>CONCATENATE(Z315," ",LOOKUP(D315,'f-travail'!A:A,'f-travail'!F:F))</f>
        <v>#N/A</v>
      </c>
      <c r="BP315" s="669" t="e">
        <f t="shared" si="129"/>
        <v>#N/A</v>
      </c>
    </row>
    <row r="316" spans="1:68">
      <c r="A316" s="636">
        <f t="shared" si="143"/>
        <v>315</v>
      </c>
      <c r="B316" s="637"/>
      <c r="C316" s="637"/>
      <c r="D316" s="652"/>
      <c r="E316" s="679" t="e">
        <f>LOOKUP(D316,'f-travail'!A:A,'f-travail'!B:B)</f>
        <v>#N/A</v>
      </c>
      <c r="F316" s="650"/>
      <c r="G316" s="650"/>
      <c r="H316" s="653"/>
      <c r="I316" s="653"/>
      <c r="J316" s="654"/>
      <c r="K316" s="650"/>
      <c r="L316" s="650"/>
      <c r="M316" s="650">
        <v>0</v>
      </c>
      <c r="N316" s="654"/>
      <c r="O316" s="654"/>
      <c r="P316" s="654"/>
      <c r="Q316" s="654"/>
      <c r="R316" s="676"/>
      <c r="S316" s="654"/>
      <c r="T316" s="675"/>
      <c r="U316" s="675"/>
      <c r="V316" s="670" t="e">
        <f>LOOKUP(D316,'f-travail'!A:A,'f-travail'!E:E)</f>
        <v>#N/A</v>
      </c>
      <c r="W316" s="670" t="e">
        <f>VLOOKUP(V316,جرقمإستدلالي,'f-travail'!$AD$4+1,FALSE)</f>
        <v>#N/A</v>
      </c>
      <c r="X316" s="671" t="e">
        <f t="shared" si="119"/>
        <v>#N/A</v>
      </c>
      <c r="Y316" s="671">
        <f>IF(G316="مدير ولائي",(HLOOKUP(I316,جدروظعليا,'f-travail'!$AT$3+1,FALSE)-3200),0)</f>
        <v>0</v>
      </c>
      <c r="Z316" s="672" t="str">
        <f t="shared" si="130"/>
        <v/>
      </c>
      <c r="AA316" s="671">
        <f t="shared" si="131"/>
        <v>0</v>
      </c>
      <c r="AB316" s="677" t="b">
        <f t="shared" si="120"/>
        <v>0</v>
      </c>
      <c r="AC316" s="678">
        <f t="shared" si="132"/>
        <v>0</v>
      </c>
      <c r="AD316" s="673"/>
      <c r="AE316" s="678">
        <f t="shared" si="121"/>
        <v>0</v>
      </c>
      <c r="AF316" s="678" t="e">
        <f t="shared" si="122"/>
        <v>#N/A</v>
      </c>
      <c r="AG316" s="678" t="e">
        <f t="shared" si="123"/>
        <v>#N/A</v>
      </c>
      <c r="AH316" s="673">
        <f t="shared" si="133"/>
        <v>0</v>
      </c>
      <c r="AI316" s="674" t="e">
        <f>IF(G316="مدير ولائي",(11000*35%),LOOKUP(D316,'f-travail'!A:A,'f-travail'!I:I))</f>
        <v>#N/A</v>
      </c>
      <c r="AJ316" s="673" t="e">
        <f>IF(G316="مدير ولائي",((W316+X316)*45)*80%,IF(V316&lt;8,0,IF(F316="إليزي",(LOOKUP(D316,'f-travail'!A:A,'f-travail'!O:O))*(AF316+AG316),LOOKUP(D316,'f-travail'!A:A,'f-travail'!P:P)*(AF316+AG316))))</f>
        <v>#N/A</v>
      </c>
      <c r="AK316" s="673" t="e">
        <f>IF(G316="مدير ولائي",0,LOOKUP(D316,'f-travail'!A:A,'f-travail'!Q:Q))</f>
        <v>#N/A</v>
      </c>
      <c r="AL316" s="673" t="e">
        <f>IF(G316="مدير ولائي",0,LOOKUP(D316,'f-travail'!A:A,'f-travail'!R:R)*(AF316+AG316))</f>
        <v>#N/A</v>
      </c>
      <c r="AM316" s="673" t="e">
        <f>IF(G316="مدير ولائي",0,LOOKUP(D316,'f-travail'!A:A,'f-travail'!S:S)*(AF316+AG316))</f>
        <v>#N/A</v>
      </c>
      <c r="AN316" s="673" t="e">
        <f>IF(G316="مدير ولائي",0,LOOKUP(D316,'f-travail'!A:A,'f-travail'!T:T)*(AF316+AG316))</f>
        <v>#N/A</v>
      </c>
      <c r="AO316" s="673" t="e">
        <f>IF(G316="مدير ولائي",0,LOOKUP(D316,'f-travail'!A:A,'f-travail'!U:U)*(AF316+AG316))</f>
        <v>#N/A</v>
      </c>
      <c r="AP316" s="673" t="e">
        <f>IF(G316="مدير ولائي",0,LOOKUP(D316,'f-travail'!A:A,'f-travail'!V:V)*(AF316+AG316))</f>
        <v>#N/A</v>
      </c>
      <c r="AQ316" s="673" t="e">
        <f>IF(G316="مدير ولائي",0,LOOKUP(D316,'f-travail'!A:A,'f-travail'!W:W)*(AF316+AG316))</f>
        <v>#N/A</v>
      </c>
      <c r="AR316" s="673">
        <f t="shared" si="134"/>
        <v>0</v>
      </c>
      <c r="AS316" s="673" t="e">
        <f>IF(G316="مدير ولائي",0,LOOKUP(D316,'f-travail'!A:A,'f-travail'!X:X)*(AF316+AG316))</f>
        <v>#N/A</v>
      </c>
      <c r="AT316" s="673" t="e">
        <f>IF(G316="مدير ولائي",0,LOOKUP(D316,'f-travail'!Y:Y,'f-travail'!R:R)*(AF316+AG316))</f>
        <v>#N/A</v>
      </c>
      <c r="AU316" s="673">
        <f t="shared" si="124"/>
        <v>0</v>
      </c>
      <c r="AV316" s="673">
        <f t="shared" si="125"/>
        <v>0</v>
      </c>
      <c r="AW316" s="673">
        <f t="shared" si="126"/>
        <v>0</v>
      </c>
      <c r="AY316" s="640" t="e">
        <f t="shared" si="135"/>
        <v>#N/A</v>
      </c>
      <c r="AZ316" s="673" t="e">
        <f t="shared" si="127"/>
        <v>#N/A</v>
      </c>
      <c r="BA316" s="639" t="e">
        <f t="shared" si="128"/>
        <v>#N/A</v>
      </c>
      <c r="BG316" s="639">
        <f t="shared" si="136"/>
        <v>0</v>
      </c>
      <c r="BH316" s="683">
        <f t="shared" si="137"/>
        <v>0</v>
      </c>
      <c r="BI316" s="683">
        <f t="shared" si="138"/>
        <v>0</v>
      </c>
      <c r="BJ316" s="641" t="e">
        <f t="shared" si="139"/>
        <v>#N/A</v>
      </c>
      <c r="BK316" s="641" t="e">
        <f t="shared" si="140"/>
        <v>#N/A</v>
      </c>
      <c r="BL316" s="641" t="e">
        <f t="shared" si="141"/>
        <v>#N/A</v>
      </c>
      <c r="BM316" s="684" t="e">
        <f t="shared" si="142"/>
        <v>#N/A</v>
      </c>
      <c r="BO316" s="682" t="e">
        <f>CONCATENATE(Z316," ",LOOKUP(D316,'f-travail'!A:A,'f-travail'!F:F))</f>
        <v>#N/A</v>
      </c>
      <c r="BP316" s="669" t="e">
        <f t="shared" si="129"/>
        <v>#N/A</v>
      </c>
    </row>
    <row r="317" spans="1:68">
      <c r="A317" s="636">
        <f t="shared" si="143"/>
        <v>316</v>
      </c>
      <c r="B317" s="637"/>
      <c r="C317" s="637"/>
      <c r="D317" s="652"/>
      <c r="E317" s="679" t="e">
        <f>LOOKUP(D317,'f-travail'!A:A,'f-travail'!B:B)</f>
        <v>#N/A</v>
      </c>
      <c r="F317" s="650"/>
      <c r="G317" s="650"/>
      <c r="H317" s="653"/>
      <c r="I317" s="653"/>
      <c r="J317" s="654"/>
      <c r="K317" s="650"/>
      <c r="L317" s="650"/>
      <c r="M317" s="650">
        <v>0</v>
      </c>
      <c r="N317" s="654"/>
      <c r="O317" s="654"/>
      <c r="P317" s="654"/>
      <c r="Q317" s="654"/>
      <c r="R317" s="676"/>
      <c r="S317" s="654"/>
      <c r="T317" s="675"/>
      <c r="U317" s="675"/>
      <c r="V317" s="670" t="e">
        <f>LOOKUP(D317,'f-travail'!A:A,'f-travail'!E:E)</f>
        <v>#N/A</v>
      </c>
      <c r="W317" s="670" t="e">
        <f>VLOOKUP(V317,جرقمإستدلالي,'f-travail'!$AD$4+1,FALSE)</f>
        <v>#N/A</v>
      </c>
      <c r="X317" s="671" t="e">
        <f t="shared" si="119"/>
        <v>#N/A</v>
      </c>
      <c r="Y317" s="671">
        <f>IF(G317="مدير ولائي",(HLOOKUP(I317,جدروظعليا,'f-travail'!$AT$3+1,FALSE)-3200),0)</f>
        <v>0</v>
      </c>
      <c r="Z317" s="672" t="str">
        <f t="shared" si="130"/>
        <v/>
      </c>
      <c r="AA317" s="671">
        <f t="shared" si="131"/>
        <v>0</v>
      </c>
      <c r="AB317" s="677" t="b">
        <f t="shared" si="120"/>
        <v>0</v>
      </c>
      <c r="AC317" s="678">
        <f t="shared" si="132"/>
        <v>0</v>
      </c>
      <c r="AD317" s="673"/>
      <c r="AE317" s="678">
        <f t="shared" si="121"/>
        <v>0</v>
      </c>
      <c r="AF317" s="678" t="e">
        <f t="shared" si="122"/>
        <v>#N/A</v>
      </c>
      <c r="AG317" s="678" t="e">
        <f t="shared" si="123"/>
        <v>#N/A</v>
      </c>
      <c r="AH317" s="673">
        <f t="shared" si="133"/>
        <v>0</v>
      </c>
      <c r="AI317" s="674" t="e">
        <f>IF(G317="مدير ولائي",(11000*35%),LOOKUP(D317,'f-travail'!A:A,'f-travail'!I:I))</f>
        <v>#N/A</v>
      </c>
      <c r="AJ317" s="673" t="e">
        <f>IF(G317="مدير ولائي",((W317+X317)*45)*80%,IF(V317&lt;8,0,IF(F317="إليزي",(LOOKUP(D317,'f-travail'!A:A,'f-travail'!O:O))*(AF317+AG317),LOOKUP(D317,'f-travail'!A:A,'f-travail'!P:P)*(AF317+AG317))))</f>
        <v>#N/A</v>
      </c>
      <c r="AK317" s="673" t="e">
        <f>IF(G317="مدير ولائي",0,LOOKUP(D317,'f-travail'!A:A,'f-travail'!Q:Q))</f>
        <v>#N/A</v>
      </c>
      <c r="AL317" s="673" t="e">
        <f>IF(G317="مدير ولائي",0,LOOKUP(D317,'f-travail'!A:A,'f-travail'!R:R)*(AF317+AG317))</f>
        <v>#N/A</v>
      </c>
      <c r="AM317" s="673" t="e">
        <f>IF(G317="مدير ولائي",0,LOOKUP(D317,'f-travail'!A:A,'f-travail'!S:S)*(AF317+AG317))</f>
        <v>#N/A</v>
      </c>
      <c r="AN317" s="673" t="e">
        <f>IF(G317="مدير ولائي",0,LOOKUP(D317,'f-travail'!A:A,'f-travail'!T:T)*(AF317+AG317))</f>
        <v>#N/A</v>
      </c>
      <c r="AO317" s="673" t="e">
        <f>IF(G317="مدير ولائي",0,LOOKUP(D317,'f-travail'!A:A,'f-travail'!U:U)*(AF317+AG317))</f>
        <v>#N/A</v>
      </c>
      <c r="AP317" s="673" t="e">
        <f>IF(G317="مدير ولائي",0,LOOKUP(D317,'f-travail'!A:A,'f-travail'!V:V)*(AF317+AG317))</f>
        <v>#N/A</v>
      </c>
      <c r="AQ317" s="673" t="e">
        <f>IF(G317="مدير ولائي",0,LOOKUP(D317,'f-travail'!A:A,'f-travail'!W:W)*(AF317+AG317))</f>
        <v>#N/A</v>
      </c>
      <c r="AR317" s="673">
        <f t="shared" si="134"/>
        <v>0</v>
      </c>
      <c r="AS317" s="673" t="e">
        <f>IF(G317="مدير ولائي",0,LOOKUP(D317,'f-travail'!A:A,'f-travail'!X:X)*(AF317+AG317))</f>
        <v>#N/A</v>
      </c>
      <c r="AT317" s="673" t="e">
        <f>IF(G317="مدير ولائي",0,LOOKUP(D317,'f-travail'!Y:Y,'f-travail'!R:R)*(AF317+AG317))</f>
        <v>#N/A</v>
      </c>
      <c r="AU317" s="673">
        <f t="shared" si="124"/>
        <v>0</v>
      </c>
      <c r="AV317" s="673">
        <f t="shared" si="125"/>
        <v>0</v>
      </c>
      <c r="AW317" s="673">
        <f t="shared" si="126"/>
        <v>0</v>
      </c>
      <c r="AY317" s="640" t="e">
        <f t="shared" si="135"/>
        <v>#N/A</v>
      </c>
      <c r="AZ317" s="673" t="e">
        <f t="shared" si="127"/>
        <v>#N/A</v>
      </c>
      <c r="BA317" s="639" t="e">
        <f t="shared" si="128"/>
        <v>#N/A</v>
      </c>
      <c r="BG317" s="639">
        <f t="shared" si="136"/>
        <v>0</v>
      </c>
      <c r="BH317" s="683">
        <f t="shared" si="137"/>
        <v>0</v>
      </c>
      <c r="BI317" s="683">
        <f t="shared" si="138"/>
        <v>0</v>
      </c>
      <c r="BJ317" s="641" t="e">
        <f t="shared" si="139"/>
        <v>#N/A</v>
      </c>
      <c r="BK317" s="641" t="e">
        <f t="shared" si="140"/>
        <v>#N/A</v>
      </c>
      <c r="BL317" s="641" t="e">
        <f t="shared" si="141"/>
        <v>#N/A</v>
      </c>
      <c r="BM317" s="684" t="e">
        <f t="shared" si="142"/>
        <v>#N/A</v>
      </c>
      <c r="BO317" s="682" t="e">
        <f>CONCATENATE(Z317," ",LOOKUP(D317,'f-travail'!A:A,'f-travail'!F:F))</f>
        <v>#N/A</v>
      </c>
      <c r="BP317" s="669" t="e">
        <f t="shared" si="129"/>
        <v>#N/A</v>
      </c>
    </row>
    <row r="318" spans="1:68">
      <c r="A318" s="636">
        <f t="shared" si="143"/>
        <v>317</v>
      </c>
      <c r="B318" s="637"/>
      <c r="C318" s="637"/>
      <c r="D318" s="652"/>
      <c r="E318" s="679" t="e">
        <f>LOOKUP(D318,'f-travail'!A:A,'f-travail'!B:B)</f>
        <v>#N/A</v>
      </c>
      <c r="F318" s="650"/>
      <c r="G318" s="650"/>
      <c r="H318" s="653"/>
      <c r="I318" s="653"/>
      <c r="J318" s="654"/>
      <c r="K318" s="650"/>
      <c r="L318" s="650"/>
      <c r="M318" s="650">
        <v>0</v>
      </c>
      <c r="N318" s="654"/>
      <c r="O318" s="654"/>
      <c r="P318" s="654"/>
      <c r="Q318" s="654"/>
      <c r="R318" s="676"/>
      <c r="S318" s="654"/>
      <c r="T318" s="675"/>
      <c r="U318" s="675"/>
      <c r="V318" s="670" t="e">
        <f>LOOKUP(D318,'f-travail'!A:A,'f-travail'!E:E)</f>
        <v>#N/A</v>
      </c>
      <c r="W318" s="670" t="e">
        <f>VLOOKUP(V318,جرقمإستدلالي,'f-travail'!$AD$4+1,FALSE)</f>
        <v>#N/A</v>
      </c>
      <c r="X318" s="671" t="e">
        <f t="shared" si="119"/>
        <v>#N/A</v>
      </c>
      <c r="Y318" s="671">
        <f>IF(G318="مدير ولائي",(HLOOKUP(I318,جدروظعليا,'f-travail'!$AT$3+1,FALSE)-3200),0)</f>
        <v>0</v>
      </c>
      <c r="Z318" s="672" t="str">
        <f t="shared" si="130"/>
        <v/>
      </c>
      <c r="AA318" s="671">
        <f t="shared" si="131"/>
        <v>0</v>
      </c>
      <c r="AB318" s="677" t="b">
        <f t="shared" si="120"/>
        <v>0</v>
      </c>
      <c r="AC318" s="678">
        <f t="shared" si="132"/>
        <v>0</v>
      </c>
      <c r="AD318" s="673"/>
      <c r="AE318" s="678">
        <f t="shared" si="121"/>
        <v>0</v>
      </c>
      <c r="AF318" s="678" t="e">
        <f t="shared" si="122"/>
        <v>#N/A</v>
      </c>
      <c r="AG318" s="678" t="e">
        <f t="shared" si="123"/>
        <v>#N/A</v>
      </c>
      <c r="AH318" s="673">
        <f t="shared" si="133"/>
        <v>0</v>
      </c>
      <c r="AI318" s="674" t="e">
        <f>IF(G318="مدير ولائي",(11000*35%),LOOKUP(D318,'f-travail'!A:A,'f-travail'!I:I))</f>
        <v>#N/A</v>
      </c>
      <c r="AJ318" s="673" t="e">
        <f>IF(G318="مدير ولائي",((W318+X318)*45)*80%,IF(V318&lt;8,0,IF(F318="إليزي",(LOOKUP(D318,'f-travail'!A:A,'f-travail'!O:O))*(AF318+AG318),LOOKUP(D318,'f-travail'!A:A,'f-travail'!P:P)*(AF318+AG318))))</f>
        <v>#N/A</v>
      </c>
      <c r="AK318" s="673" t="e">
        <f>IF(G318="مدير ولائي",0,LOOKUP(D318,'f-travail'!A:A,'f-travail'!Q:Q))</f>
        <v>#N/A</v>
      </c>
      <c r="AL318" s="673" t="e">
        <f>IF(G318="مدير ولائي",0,LOOKUP(D318,'f-travail'!A:A,'f-travail'!R:R)*(AF318+AG318))</f>
        <v>#N/A</v>
      </c>
      <c r="AM318" s="673" t="e">
        <f>IF(G318="مدير ولائي",0,LOOKUP(D318,'f-travail'!A:A,'f-travail'!S:S)*(AF318+AG318))</f>
        <v>#N/A</v>
      </c>
      <c r="AN318" s="673" t="e">
        <f>IF(G318="مدير ولائي",0,LOOKUP(D318,'f-travail'!A:A,'f-travail'!T:T)*(AF318+AG318))</f>
        <v>#N/A</v>
      </c>
      <c r="AO318" s="673" t="e">
        <f>IF(G318="مدير ولائي",0,LOOKUP(D318,'f-travail'!A:A,'f-travail'!U:U)*(AF318+AG318))</f>
        <v>#N/A</v>
      </c>
      <c r="AP318" s="673" t="e">
        <f>IF(G318="مدير ولائي",0,LOOKUP(D318,'f-travail'!A:A,'f-travail'!V:V)*(AF318+AG318))</f>
        <v>#N/A</v>
      </c>
      <c r="AQ318" s="673" t="e">
        <f>IF(G318="مدير ولائي",0,LOOKUP(D318,'f-travail'!A:A,'f-travail'!W:W)*(AF318+AG318))</f>
        <v>#N/A</v>
      </c>
      <c r="AR318" s="673">
        <f t="shared" si="134"/>
        <v>0</v>
      </c>
      <c r="AS318" s="673" t="e">
        <f>IF(G318="مدير ولائي",0,LOOKUP(D318,'f-travail'!A:A,'f-travail'!X:X)*(AF318+AG318))</f>
        <v>#N/A</v>
      </c>
      <c r="AT318" s="673" t="e">
        <f>IF(G318="مدير ولائي",0,LOOKUP(D318,'f-travail'!Y:Y,'f-travail'!R:R)*(AF318+AG318))</f>
        <v>#N/A</v>
      </c>
      <c r="AU318" s="673">
        <f t="shared" si="124"/>
        <v>0</v>
      </c>
      <c r="AV318" s="673">
        <f t="shared" si="125"/>
        <v>0</v>
      </c>
      <c r="AW318" s="673">
        <f t="shared" si="126"/>
        <v>0</v>
      </c>
      <c r="AY318" s="640" t="e">
        <f t="shared" si="135"/>
        <v>#N/A</v>
      </c>
      <c r="AZ318" s="673" t="e">
        <f t="shared" si="127"/>
        <v>#N/A</v>
      </c>
      <c r="BA318" s="639" t="e">
        <f t="shared" si="128"/>
        <v>#N/A</v>
      </c>
      <c r="BG318" s="639">
        <f t="shared" si="136"/>
        <v>0</v>
      </c>
      <c r="BH318" s="683">
        <f t="shared" si="137"/>
        <v>0</v>
      </c>
      <c r="BI318" s="683">
        <f t="shared" si="138"/>
        <v>0</v>
      </c>
      <c r="BJ318" s="641" t="e">
        <f t="shared" si="139"/>
        <v>#N/A</v>
      </c>
      <c r="BK318" s="641" t="e">
        <f t="shared" si="140"/>
        <v>#N/A</v>
      </c>
      <c r="BL318" s="641" t="e">
        <f t="shared" si="141"/>
        <v>#N/A</v>
      </c>
      <c r="BM318" s="684" t="e">
        <f t="shared" si="142"/>
        <v>#N/A</v>
      </c>
      <c r="BO318" s="682" t="e">
        <f>CONCATENATE(Z318," ",LOOKUP(D318,'f-travail'!A:A,'f-travail'!F:F))</f>
        <v>#N/A</v>
      </c>
      <c r="BP318" s="669" t="e">
        <f t="shared" si="129"/>
        <v>#N/A</v>
      </c>
    </row>
    <row r="319" spans="1:68">
      <c r="A319" s="636">
        <f t="shared" si="143"/>
        <v>318</v>
      </c>
      <c r="B319" s="637"/>
      <c r="C319" s="637"/>
      <c r="D319" s="652"/>
      <c r="E319" s="679" t="e">
        <f>LOOKUP(D319,'f-travail'!A:A,'f-travail'!B:B)</f>
        <v>#N/A</v>
      </c>
      <c r="F319" s="650"/>
      <c r="G319" s="650"/>
      <c r="H319" s="653"/>
      <c r="I319" s="653"/>
      <c r="J319" s="654"/>
      <c r="K319" s="650"/>
      <c r="L319" s="650"/>
      <c r="M319" s="650">
        <v>0</v>
      </c>
      <c r="N319" s="654"/>
      <c r="O319" s="654"/>
      <c r="P319" s="654"/>
      <c r="Q319" s="654"/>
      <c r="R319" s="676"/>
      <c r="S319" s="654"/>
      <c r="T319" s="675"/>
      <c r="U319" s="675"/>
      <c r="V319" s="670" t="e">
        <f>LOOKUP(D319,'f-travail'!A:A,'f-travail'!E:E)</f>
        <v>#N/A</v>
      </c>
      <c r="W319" s="670" t="e">
        <f>VLOOKUP(V319,جرقمإستدلالي,'f-travail'!$AD$4+1,FALSE)</f>
        <v>#N/A</v>
      </c>
      <c r="X319" s="671" t="e">
        <f t="shared" si="119"/>
        <v>#N/A</v>
      </c>
      <c r="Y319" s="671">
        <f>IF(G319="مدير ولائي",(HLOOKUP(I319,جدروظعليا,'f-travail'!$AT$3+1,FALSE)-3200),0)</f>
        <v>0</v>
      </c>
      <c r="Z319" s="672" t="str">
        <f t="shared" si="130"/>
        <v/>
      </c>
      <c r="AA319" s="671">
        <f t="shared" si="131"/>
        <v>0</v>
      </c>
      <c r="AB319" s="677" t="b">
        <f t="shared" si="120"/>
        <v>0</v>
      </c>
      <c r="AC319" s="678">
        <f t="shared" si="132"/>
        <v>0</v>
      </c>
      <c r="AD319" s="673"/>
      <c r="AE319" s="678">
        <f t="shared" si="121"/>
        <v>0</v>
      </c>
      <c r="AF319" s="678" t="e">
        <f t="shared" si="122"/>
        <v>#N/A</v>
      </c>
      <c r="AG319" s="678" t="e">
        <f t="shared" si="123"/>
        <v>#N/A</v>
      </c>
      <c r="AH319" s="673">
        <f t="shared" si="133"/>
        <v>0</v>
      </c>
      <c r="AI319" s="674" t="e">
        <f>IF(G319="مدير ولائي",(11000*35%),LOOKUP(D319,'f-travail'!A:A,'f-travail'!I:I))</f>
        <v>#N/A</v>
      </c>
      <c r="AJ319" s="673" t="e">
        <f>IF(G319="مدير ولائي",((W319+X319)*45)*80%,IF(V319&lt;8,0,IF(F319="إليزي",(LOOKUP(D319,'f-travail'!A:A,'f-travail'!O:O))*(AF319+AG319),LOOKUP(D319,'f-travail'!A:A,'f-travail'!P:P)*(AF319+AG319))))</f>
        <v>#N/A</v>
      </c>
      <c r="AK319" s="673" t="e">
        <f>IF(G319="مدير ولائي",0,LOOKUP(D319,'f-travail'!A:A,'f-travail'!Q:Q))</f>
        <v>#N/A</v>
      </c>
      <c r="AL319" s="673" t="e">
        <f>IF(G319="مدير ولائي",0,LOOKUP(D319,'f-travail'!A:A,'f-travail'!R:R)*(AF319+AG319))</f>
        <v>#N/A</v>
      </c>
      <c r="AM319" s="673" t="e">
        <f>IF(G319="مدير ولائي",0,LOOKUP(D319,'f-travail'!A:A,'f-travail'!S:S)*(AF319+AG319))</f>
        <v>#N/A</v>
      </c>
      <c r="AN319" s="673" t="e">
        <f>IF(G319="مدير ولائي",0,LOOKUP(D319,'f-travail'!A:A,'f-travail'!T:T)*(AF319+AG319))</f>
        <v>#N/A</v>
      </c>
      <c r="AO319" s="673" t="e">
        <f>IF(G319="مدير ولائي",0,LOOKUP(D319,'f-travail'!A:A,'f-travail'!U:U)*(AF319+AG319))</f>
        <v>#N/A</v>
      </c>
      <c r="AP319" s="673" t="e">
        <f>IF(G319="مدير ولائي",0,LOOKUP(D319,'f-travail'!A:A,'f-travail'!V:V)*(AF319+AG319))</f>
        <v>#N/A</v>
      </c>
      <c r="AQ319" s="673" t="e">
        <f>IF(G319="مدير ولائي",0,LOOKUP(D319,'f-travail'!A:A,'f-travail'!W:W)*(AF319+AG319))</f>
        <v>#N/A</v>
      </c>
      <c r="AR319" s="673">
        <f t="shared" si="134"/>
        <v>0</v>
      </c>
      <c r="AS319" s="673" t="e">
        <f>IF(G319="مدير ولائي",0,LOOKUP(D319,'f-travail'!A:A,'f-travail'!X:X)*(AF319+AG319))</f>
        <v>#N/A</v>
      </c>
      <c r="AT319" s="673" t="e">
        <f>IF(G319="مدير ولائي",0,LOOKUP(D319,'f-travail'!Y:Y,'f-travail'!R:R)*(AF319+AG319))</f>
        <v>#N/A</v>
      </c>
      <c r="AU319" s="673">
        <f t="shared" si="124"/>
        <v>0</v>
      </c>
      <c r="AV319" s="673">
        <f t="shared" si="125"/>
        <v>0</v>
      </c>
      <c r="AW319" s="673">
        <f t="shared" si="126"/>
        <v>0</v>
      </c>
      <c r="AY319" s="640" t="e">
        <f t="shared" si="135"/>
        <v>#N/A</v>
      </c>
      <c r="AZ319" s="673" t="e">
        <f t="shared" si="127"/>
        <v>#N/A</v>
      </c>
      <c r="BA319" s="639" t="e">
        <f t="shared" si="128"/>
        <v>#N/A</v>
      </c>
      <c r="BG319" s="639">
        <f t="shared" si="136"/>
        <v>0</v>
      </c>
      <c r="BH319" s="683">
        <f t="shared" si="137"/>
        <v>0</v>
      </c>
      <c r="BI319" s="683">
        <f t="shared" si="138"/>
        <v>0</v>
      </c>
      <c r="BJ319" s="641" t="e">
        <f t="shared" si="139"/>
        <v>#N/A</v>
      </c>
      <c r="BK319" s="641" t="e">
        <f t="shared" si="140"/>
        <v>#N/A</v>
      </c>
      <c r="BL319" s="641" t="e">
        <f t="shared" si="141"/>
        <v>#N/A</v>
      </c>
      <c r="BM319" s="684" t="e">
        <f t="shared" si="142"/>
        <v>#N/A</v>
      </c>
      <c r="BO319" s="682" t="e">
        <f>CONCATENATE(Z319," ",LOOKUP(D319,'f-travail'!A:A,'f-travail'!F:F))</f>
        <v>#N/A</v>
      </c>
      <c r="BP319" s="669" t="e">
        <f t="shared" si="129"/>
        <v>#N/A</v>
      </c>
    </row>
    <row r="320" spans="1:68">
      <c r="A320" s="636">
        <f t="shared" si="143"/>
        <v>319</v>
      </c>
      <c r="B320" s="637"/>
      <c r="C320" s="637"/>
      <c r="D320" s="652"/>
      <c r="E320" s="679" t="e">
        <f>LOOKUP(D320,'f-travail'!A:A,'f-travail'!B:B)</f>
        <v>#N/A</v>
      </c>
      <c r="F320" s="650"/>
      <c r="G320" s="650"/>
      <c r="H320" s="653"/>
      <c r="I320" s="653"/>
      <c r="J320" s="654"/>
      <c r="K320" s="650"/>
      <c r="L320" s="650"/>
      <c r="M320" s="650">
        <v>0</v>
      </c>
      <c r="N320" s="654"/>
      <c r="O320" s="654"/>
      <c r="P320" s="654"/>
      <c r="Q320" s="654"/>
      <c r="R320" s="676"/>
      <c r="S320" s="654"/>
      <c r="T320" s="675"/>
      <c r="U320" s="675"/>
      <c r="V320" s="670" t="e">
        <f>LOOKUP(D320,'f-travail'!A:A,'f-travail'!E:E)</f>
        <v>#N/A</v>
      </c>
      <c r="W320" s="670" t="e">
        <f>VLOOKUP(V320,جرقمإستدلالي,'f-travail'!$AD$4+1,FALSE)</f>
        <v>#N/A</v>
      </c>
      <c r="X320" s="671" t="e">
        <f t="shared" si="119"/>
        <v>#N/A</v>
      </c>
      <c r="Y320" s="671">
        <f>IF(G320="مدير ولائي",(HLOOKUP(I320,جدروظعليا,'f-travail'!$AT$3+1,FALSE)-3200),0)</f>
        <v>0</v>
      </c>
      <c r="Z320" s="672" t="str">
        <f t="shared" si="130"/>
        <v/>
      </c>
      <c r="AA320" s="671">
        <f t="shared" si="131"/>
        <v>0</v>
      </c>
      <c r="AB320" s="677" t="b">
        <f t="shared" si="120"/>
        <v>0</v>
      </c>
      <c r="AC320" s="678">
        <f t="shared" si="132"/>
        <v>0</v>
      </c>
      <c r="AD320" s="673"/>
      <c r="AE320" s="678">
        <f t="shared" si="121"/>
        <v>0</v>
      </c>
      <c r="AF320" s="678" t="e">
        <f t="shared" si="122"/>
        <v>#N/A</v>
      </c>
      <c r="AG320" s="678" t="e">
        <f t="shared" si="123"/>
        <v>#N/A</v>
      </c>
      <c r="AH320" s="673">
        <f t="shared" si="133"/>
        <v>0</v>
      </c>
      <c r="AI320" s="674" t="e">
        <f>IF(G320="مدير ولائي",(11000*35%),LOOKUP(D320,'f-travail'!A:A,'f-travail'!I:I))</f>
        <v>#N/A</v>
      </c>
      <c r="AJ320" s="673" t="e">
        <f>IF(G320="مدير ولائي",((W320+X320)*45)*80%,IF(V320&lt;8,0,IF(F320="إليزي",(LOOKUP(D320,'f-travail'!A:A,'f-travail'!O:O))*(AF320+AG320),LOOKUP(D320,'f-travail'!A:A,'f-travail'!P:P)*(AF320+AG320))))</f>
        <v>#N/A</v>
      </c>
      <c r="AK320" s="673" t="e">
        <f>IF(G320="مدير ولائي",0,LOOKUP(D320,'f-travail'!A:A,'f-travail'!Q:Q))</f>
        <v>#N/A</v>
      </c>
      <c r="AL320" s="673" t="e">
        <f>IF(G320="مدير ولائي",0,LOOKUP(D320,'f-travail'!A:A,'f-travail'!R:R)*(AF320+AG320))</f>
        <v>#N/A</v>
      </c>
      <c r="AM320" s="673" t="e">
        <f>IF(G320="مدير ولائي",0,LOOKUP(D320,'f-travail'!A:A,'f-travail'!S:S)*(AF320+AG320))</f>
        <v>#N/A</v>
      </c>
      <c r="AN320" s="673" t="e">
        <f>IF(G320="مدير ولائي",0,LOOKUP(D320,'f-travail'!A:A,'f-travail'!T:T)*(AF320+AG320))</f>
        <v>#N/A</v>
      </c>
      <c r="AO320" s="673" t="e">
        <f>IF(G320="مدير ولائي",0,LOOKUP(D320,'f-travail'!A:A,'f-travail'!U:U)*(AF320+AG320))</f>
        <v>#N/A</v>
      </c>
      <c r="AP320" s="673" t="e">
        <f>IF(G320="مدير ولائي",0,LOOKUP(D320,'f-travail'!A:A,'f-travail'!V:V)*(AF320+AG320))</f>
        <v>#N/A</v>
      </c>
      <c r="AQ320" s="673" t="e">
        <f>IF(G320="مدير ولائي",0,LOOKUP(D320,'f-travail'!A:A,'f-travail'!W:W)*(AF320+AG320))</f>
        <v>#N/A</v>
      </c>
      <c r="AR320" s="673">
        <f t="shared" si="134"/>
        <v>0</v>
      </c>
      <c r="AS320" s="673" t="e">
        <f>IF(G320="مدير ولائي",0,LOOKUP(D320,'f-travail'!A:A,'f-travail'!X:X)*(AF320+AG320))</f>
        <v>#N/A</v>
      </c>
      <c r="AT320" s="673" t="e">
        <f>IF(G320="مدير ولائي",0,LOOKUP(D320,'f-travail'!Y:Y,'f-travail'!R:R)*(AF320+AG320))</f>
        <v>#N/A</v>
      </c>
      <c r="AU320" s="673">
        <f t="shared" si="124"/>
        <v>0</v>
      </c>
      <c r="AV320" s="673">
        <f t="shared" si="125"/>
        <v>0</v>
      </c>
      <c r="AW320" s="673">
        <f t="shared" si="126"/>
        <v>0</v>
      </c>
      <c r="AY320" s="640" t="e">
        <f t="shared" si="135"/>
        <v>#N/A</v>
      </c>
      <c r="AZ320" s="673" t="e">
        <f t="shared" si="127"/>
        <v>#N/A</v>
      </c>
      <c r="BA320" s="639" t="e">
        <f t="shared" si="128"/>
        <v>#N/A</v>
      </c>
      <c r="BG320" s="639">
        <f t="shared" si="136"/>
        <v>0</v>
      </c>
      <c r="BH320" s="683">
        <f t="shared" si="137"/>
        <v>0</v>
      </c>
      <c r="BI320" s="683">
        <f t="shared" si="138"/>
        <v>0</v>
      </c>
      <c r="BJ320" s="641" t="e">
        <f t="shared" si="139"/>
        <v>#N/A</v>
      </c>
      <c r="BK320" s="641" t="e">
        <f t="shared" si="140"/>
        <v>#N/A</v>
      </c>
      <c r="BL320" s="641" t="e">
        <f t="shared" si="141"/>
        <v>#N/A</v>
      </c>
      <c r="BM320" s="684" t="e">
        <f t="shared" si="142"/>
        <v>#N/A</v>
      </c>
      <c r="BO320" s="682" t="e">
        <f>CONCATENATE(Z320," ",LOOKUP(D320,'f-travail'!A:A,'f-travail'!F:F))</f>
        <v>#N/A</v>
      </c>
      <c r="BP320" s="669" t="e">
        <f t="shared" si="129"/>
        <v>#N/A</v>
      </c>
    </row>
    <row r="321" spans="1:68">
      <c r="A321" s="636">
        <f t="shared" si="143"/>
        <v>320</v>
      </c>
      <c r="B321" s="637"/>
      <c r="C321" s="637"/>
      <c r="D321" s="652"/>
      <c r="E321" s="679" t="e">
        <f>LOOKUP(D321,'f-travail'!A:A,'f-travail'!B:B)</f>
        <v>#N/A</v>
      </c>
      <c r="F321" s="650"/>
      <c r="G321" s="650"/>
      <c r="H321" s="653"/>
      <c r="I321" s="653"/>
      <c r="J321" s="654"/>
      <c r="K321" s="650"/>
      <c r="L321" s="650"/>
      <c r="M321" s="650">
        <v>0</v>
      </c>
      <c r="N321" s="654"/>
      <c r="O321" s="654"/>
      <c r="P321" s="654"/>
      <c r="Q321" s="654"/>
      <c r="R321" s="676"/>
      <c r="S321" s="654"/>
      <c r="T321" s="675"/>
      <c r="U321" s="675"/>
      <c r="V321" s="670" t="e">
        <f>LOOKUP(D321,'f-travail'!A:A,'f-travail'!E:E)</f>
        <v>#N/A</v>
      </c>
      <c r="W321" s="670" t="e">
        <f>VLOOKUP(V321,جرقمإستدلالي,'f-travail'!$AD$4+1,FALSE)</f>
        <v>#N/A</v>
      </c>
      <c r="X321" s="671" t="e">
        <f t="shared" ref="X321:X384" si="144">INDEX(جدرجات,V321,H321+1)</f>
        <v>#N/A</v>
      </c>
      <c r="Y321" s="671">
        <f>IF(G321="مدير ولائي",(HLOOKUP(I321,جدروظعليا,'f-travail'!$AT$3+1,FALSE)-3200),0)</f>
        <v>0</v>
      </c>
      <c r="Z321" s="672" t="str">
        <f t="shared" si="130"/>
        <v/>
      </c>
      <c r="AA321" s="671">
        <f t="shared" si="131"/>
        <v>0</v>
      </c>
      <c r="AB321" s="677" t="b">
        <f t="shared" ref="AB321:AB384" si="145">IF(OR(J321="متزوج(ة)",J321="متزوج(ة)ماكثة",J321="متزوج(ة)عاملة"),(CONCATENATE("م","(",K321,")")),IF(J321="مطلق(ة)",(CONCATENATE("مط","(",K321,")")),IF(J321="عازب(ة)","ع",IF(J321="عازب(ة)كفيل",CONCATENATE("ع/ك","(",K321,")")))))</f>
        <v>0</v>
      </c>
      <c r="AC321" s="678">
        <f t="shared" si="132"/>
        <v>0</v>
      </c>
      <c r="AD321" s="673"/>
      <c r="AE321" s="678">
        <f t="shared" ref="AE321:AE384" si="146">IF(AB321="ع",0,(AD321+(K321*300)+AC321))</f>
        <v>0</v>
      </c>
      <c r="AF321" s="678" t="e">
        <f t="shared" ref="AF321:AF384" si="147">IF(G321="مدير ولائي",(3200*19),(W321*45))</f>
        <v>#N/A</v>
      </c>
      <c r="AG321" s="678" t="e">
        <f t="shared" ref="AG321:AG384" si="148">IF(G321="مدير ولائي",(Y321*19),(X321*45))</f>
        <v>#N/A</v>
      </c>
      <c r="AH321" s="673">
        <f t="shared" si="133"/>
        <v>0</v>
      </c>
      <c r="AI321" s="674" t="e">
        <f>IF(G321="مدير ولائي",(11000*35%),LOOKUP(D321,'f-travail'!A:A,'f-travail'!I:I))</f>
        <v>#N/A</v>
      </c>
      <c r="AJ321" s="673" t="e">
        <f>IF(G321="مدير ولائي",((W321+X321)*45)*80%,IF(V321&lt;8,0,IF(F321="إليزي",(LOOKUP(D321,'f-travail'!A:A,'f-travail'!O:O))*(AF321+AG321),LOOKUP(D321,'f-travail'!A:A,'f-travail'!P:P)*(AF321+AG321))))</f>
        <v>#N/A</v>
      </c>
      <c r="AK321" s="673" t="e">
        <f>IF(G321="مدير ولائي",0,LOOKUP(D321,'f-travail'!A:A,'f-travail'!Q:Q))</f>
        <v>#N/A</v>
      </c>
      <c r="AL321" s="673" t="e">
        <f>IF(G321="مدير ولائي",0,LOOKUP(D321,'f-travail'!A:A,'f-travail'!R:R)*(AF321+AG321))</f>
        <v>#N/A</v>
      </c>
      <c r="AM321" s="673" t="e">
        <f>IF(G321="مدير ولائي",0,LOOKUP(D321,'f-travail'!A:A,'f-travail'!S:S)*(AF321+AG321))</f>
        <v>#N/A</v>
      </c>
      <c r="AN321" s="673" t="e">
        <f>IF(G321="مدير ولائي",0,LOOKUP(D321,'f-travail'!A:A,'f-travail'!T:T)*(AF321+AG321))</f>
        <v>#N/A</v>
      </c>
      <c r="AO321" s="673" t="e">
        <f>IF(G321="مدير ولائي",0,LOOKUP(D321,'f-travail'!A:A,'f-travail'!U:U)*(AF321+AG321))</f>
        <v>#N/A</v>
      </c>
      <c r="AP321" s="673" t="e">
        <f>IF(G321="مدير ولائي",0,LOOKUP(D321,'f-travail'!A:A,'f-travail'!V:V)*(AF321+AG321))</f>
        <v>#N/A</v>
      </c>
      <c r="AQ321" s="673" t="e">
        <f>IF(G321="مدير ولائي",0,LOOKUP(D321,'f-travail'!A:A,'f-travail'!W:W)*(AF321+AG321))</f>
        <v>#N/A</v>
      </c>
      <c r="AR321" s="673">
        <f t="shared" si="134"/>
        <v>0</v>
      </c>
      <c r="AS321" s="673" t="e">
        <f>IF(G321="مدير ولائي",0,LOOKUP(D321,'f-travail'!A:A,'f-travail'!X:X)*(AF321+AG321))</f>
        <v>#N/A</v>
      </c>
      <c r="AT321" s="673" t="e">
        <f>IF(G321="مدير ولائي",0,LOOKUP(D321,'f-travail'!Y:Y,'f-travail'!R:R)*(AF321+AG321))</f>
        <v>#N/A</v>
      </c>
      <c r="AU321" s="673">
        <f t="shared" ref="AU321:AU384" si="149">IF(G321="مدير ولائي",50%*(AF321+AG321),0)</f>
        <v>0</v>
      </c>
      <c r="AV321" s="673">
        <f t="shared" ref="AV321:AV384" si="150">IF(G321="مدير ولائي",50%*(AF321+AG321),0)</f>
        <v>0</v>
      </c>
      <c r="AW321" s="673">
        <f t="shared" ref="AW321:AW384" si="151">IF(G321="مدير ولائي",50%*(AF321+AG321),0)</f>
        <v>0</v>
      </c>
      <c r="AY321" s="640" t="e">
        <f t="shared" si="135"/>
        <v>#N/A</v>
      </c>
      <c r="AZ321" s="673" t="e">
        <f t="shared" ref="AZ321:AZ384" si="152">AG321+AF321+U321+T321+(AA321*45)</f>
        <v>#N/A</v>
      </c>
      <c r="BA321" s="639" t="e">
        <f t="shared" ref="BA321:BA384" si="153">SUM(BB321:BF321,(AZ321+AT321+AJ321+AI321+AE321))</f>
        <v>#N/A</v>
      </c>
      <c r="BG321" s="639">
        <f t="shared" si="136"/>
        <v>0</v>
      </c>
      <c r="BH321" s="683">
        <f t="shared" si="137"/>
        <v>0</v>
      </c>
      <c r="BI321" s="683">
        <f t="shared" si="138"/>
        <v>0</v>
      </c>
      <c r="BJ321" s="641" t="e">
        <f t="shared" si="139"/>
        <v>#N/A</v>
      </c>
      <c r="BK321" s="641" t="e">
        <f t="shared" si="140"/>
        <v>#N/A</v>
      </c>
      <c r="BL321" s="641" t="e">
        <f t="shared" si="141"/>
        <v>#N/A</v>
      </c>
      <c r="BM321" s="684" t="e">
        <f t="shared" si="142"/>
        <v>#N/A</v>
      </c>
      <c r="BO321" s="682" t="e">
        <f>CONCATENATE(Z321," ",LOOKUP(D321,'f-travail'!A:A,'f-travail'!F:F))</f>
        <v>#N/A</v>
      </c>
      <c r="BP321" s="669" t="e">
        <f t="shared" ref="BP321:BP384" si="154">IF(G321="",CONCATENATE(G321," ",E321),CONCATENATE(G321," (",E321,")"))</f>
        <v>#N/A</v>
      </c>
    </row>
    <row r="322" spans="1:68">
      <c r="A322" s="636">
        <f t="shared" si="143"/>
        <v>321</v>
      </c>
      <c r="B322" s="637"/>
      <c r="C322" s="637"/>
      <c r="D322" s="652"/>
      <c r="E322" s="679" t="e">
        <f>LOOKUP(D322,'f-travail'!A:A,'f-travail'!B:B)</f>
        <v>#N/A</v>
      </c>
      <c r="F322" s="650"/>
      <c r="G322" s="650"/>
      <c r="H322" s="653"/>
      <c r="I322" s="653"/>
      <c r="J322" s="654"/>
      <c r="K322" s="650"/>
      <c r="L322" s="650"/>
      <c r="M322" s="650">
        <v>0</v>
      </c>
      <c r="N322" s="654"/>
      <c r="O322" s="654"/>
      <c r="P322" s="654"/>
      <c r="Q322" s="654"/>
      <c r="R322" s="676"/>
      <c r="S322" s="654"/>
      <c r="T322" s="675"/>
      <c r="U322" s="675"/>
      <c r="V322" s="670" t="e">
        <f>LOOKUP(D322,'f-travail'!A:A,'f-travail'!E:E)</f>
        <v>#N/A</v>
      </c>
      <c r="W322" s="670" t="e">
        <f>VLOOKUP(V322,جرقمإستدلالي,'f-travail'!$AD$4+1,FALSE)</f>
        <v>#N/A</v>
      </c>
      <c r="X322" s="671" t="e">
        <f t="shared" si="144"/>
        <v>#N/A</v>
      </c>
      <c r="Y322" s="671">
        <f>IF(G322="مدير ولائي",(HLOOKUP(I322,جدروظعليا,'f-travail'!$AT$3+1,FALSE)-3200),0)</f>
        <v>0</v>
      </c>
      <c r="Z322" s="672" t="str">
        <f t="shared" ref="Z322:Z385" si="155">IF(OR(G322="رئيس مفتشية",G322="محافظ عقاري",G322="رئيس مصلحة"),"م8",IF(G322="رئيس مكتب","م7",IF(G322="رئيس قسم","م5",IF(G322="رئيس حضيرة","م3",IF(G322="مدير ولائي","ب 1","")))))</f>
        <v/>
      </c>
      <c r="AA322" s="671">
        <f t="shared" ref="AA322:AA385" si="156">IF(Z322="م8",195,IF(Z322="م7",145,IF(Z322="م5",75,IF(Z322="م3",45,0))))</f>
        <v>0</v>
      </c>
      <c r="AB322" s="677" t="b">
        <f t="shared" si="145"/>
        <v>0</v>
      </c>
      <c r="AC322" s="678">
        <f t="shared" ref="AC322:AC385" si="157">IF(AND(J322="متزوج(ة)ماكثة",K322=0),5.5,IF(AND(J322="متزوج(ة)ماكثة",K322&gt;0),800,0))</f>
        <v>0</v>
      </c>
      <c r="AD322" s="673"/>
      <c r="AE322" s="678">
        <f t="shared" si="146"/>
        <v>0</v>
      </c>
      <c r="AF322" s="678" t="e">
        <f t="shared" si="147"/>
        <v>#N/A</v>
      </c>
      <c r="AG322" s="678" t="e">
        <f t="shared" si="148"/>
        <v>#N/A</v>
      </c>
      <c r="AH322" s="673">
        <f t="shared" ref="AH322:AH385" si="158">IF(OR(G322="مدير ولائي",M322=0),0,IF(M322=1,2000))</f>
        <v>0</v>
      </c>
      <c r="AI322" s="674" t="e">
        <f>IF(G322="مدير ولائي",(11000*35%),LOOKUP(D322,'f-travail'!A:A,'f-travail'!I:I))</f>
        <v>#N/A</v>
      </c>
      <c r="AJ322" s="673" t="e">
        <f>IF(G322="مدير ولائي",((W322+X322)*45)*80%,IF(V322&lt;8,0,IF(F322="إليزي",(LOOKUP(D322,'f-travail'!A:A,'f-travail'!O:O))*(AF322+AG322),LOOKUP(D322,'f-travail'!A:A,'f-travail'!P:P)*(AF322+AG322))))</f>
        <v>#N/A</v>
      </c>
      <c r="AK322" s="673" t="e">
        <f>IF(G322="مدير ولائي",0,LOOKUP(D322,'f-travail'!A:A,'f-travail'!Q:Q))</f>
        <v>#N/A</v>
      </c>
      <c r="AL322" s="673" t="e">
        <f>IF(G322="مدير ولائي",0,LOOKUP(D322,'f-travail'!A:A,'f-travail'!R:R)*(AF322+AG322))</f>
        <v>#N/A</v>
      </c>
      <c r="AM322" s="673" t="e">
        <f>IF(G322="مدير ولائي",0,LOOKUP(D322,'f-travail'!A:A,'f-travail'!S:S)*(AF322+AG322))</f>
        <v>#N/A</v>
      </c>
      <c r="AN322" s="673" t="e">
        <f>IF(G322="مدير ولائي",0,LOOKUP(D322,'f-travail'!A:A,'f-travail'!T:T)*(AF322+AG322))</f>
        <v>#N/A</v>
      </c>
      <c r="AO322" s="673" t="e">
        <f>IF(G322="مدير ولائي",0,LOOKUP(D322,'f-travail'!A:A,'f-travail'!U:U)*(AF322+AG322))</f>
        <v>#N/A</v>
      </c>
      <c r="AP322" s="673" t="e">
        <f>IF(G322="مدير ولائي",0,LOOKUP(D322,'f-travail'!A:A,'f-travail'!V:V)*(AF322+AG322))</f>
        <v>#N/A</v>
      </c>
      <c r="AQ322" s="673" t="e">
        <f>IF(G322="مدير ولائي",0,LOOKUP(D322,'f-travail'!A:A,'f-travail'!W:W)*(AF322+AG322))</f>
        <v>#N/A</v>
      </c>
      <c r="AR322" s="673">
        <f t="shared" ref="AR322:AR385" si="159">IF(G322="أمين صندوق",4000,0)</f>
        <v>0</v>
      </c>
      <c r="AS322" s="673" t="e">
        <f>IF(G322="مدير ولائي",0,LOOKUP(D322,'f-travail'!A:A,'f-travail'!X:X)*(AF322+AG322))</f>
        <v>#N/A</v>
      </c>
      <c r="AT322" s="673" t="e">
        <f>IF(G322="مدير ولائي",0,LOOKUP(D322,'f-travail'!Y:Y,'f-travail'!R:R)*(AF322+AG322))</f>
        <v>#N/A</v>
      </c>
      <c r="AU322" s="673">
        <f t="shared" si="149"/>
        <v>0</v>
      </c>
      <c r="AV322" s="673">
        <f t="shared" si="150"/>
        <v>0</v>
      </c>
      <c r="AW322" s="673">
        <f t="shared" si="151"/>
        <v>0</v>
      </c>
      <c r="AY322" s="640" t="e">
        <f t="shared" ref="AY322:AY385" si="160">IF(Z322="ب 1",IF(OR(A322=0,A322=""),"",IF(OR(H322=0,I322=""),BO322,CONCATENATE(BO322," - ","د"," ",I322))),IF(OR(A322=0,A322=""),"",IF(OR(H322=0,H322=""),BO322,CONCATENATE(BO322," - ","د"," ",H322))))</f>
        <v>#N/A</v>
      </c>
      <c r="AZ322" s="673" t="e">
        <f t="shared" si="152"/>
        <v>#N/A</v>
      </c>
      <c r="BA322" s="639" t="e">
        <f t="shared" si="153"/>
        <v>#N/A</v>
      </c>
      <c r="BG322" s="639">
        <f t="shared" ref="BG322:BG385" si="161">IF(Z322="ب 1",ROUND((BA322-AE322-N322)*1%,2),0)</f>
        <v>0</v>
      </c>
      <c r="BH322" s="683">
        <f t="shared" ref="BH322:BH385" si="162">IF(AND(Z322="ب 1",P322=1),ROUND((BA322-AE322-N322)*1.5%,2),IF(P322=1,ROUND((BA322-AE322)*1.5%,2),0))</f>
        <v>0</v>
      </c>
      <c r="BI322" s="683">
        <f t="shared" ref="BI322:BI385" si="163">IF(O322=1,9523.81,0)</f>
        <v>0</v>
      </c>
      <c r="BJ322" s="641" t="e">
        <f t="shared" ref="BJ322:BJ385" si="164">IF(Z322="ب 1",ROUND((BA322-AE322-N322),2),ROUND((BA322-AE322),2))</f>
        <v>#N/A</v>
      </c>
      <c r="BK322" s="641" t="e">
        <f t="shared" ref="BK322:BK385" si="165">ROUND((BJ322*9%),2)</f>
        <v>#N/A</v>
      </c>
      <c r="BL322" s="641" t="e">
        <f t="shared" ref="BL322:BL385" si="166">IF(Z322="ب 1",ROUNDDOWN((BA322-BK322-AI322-N322),2),ROUNDDOWN((BA322-BK322-AI322-AH322),2))</f>
        <v>#N/A</v>
      </c>
      <c r="BM322" s="684" t="e">
        <f t="shared" ref="BM322:BM385" si="167">IF(Z322="ب 1",ROUND((29500+(BL322-120000)*35%)/2,2),(ROUND((IF((BL322&gt;1500),(IF(OR(BL322&gt;22500),IF(AND(BL322&gt;22500),(BL322-22500)*12%)+IF(AND(BL322&gt;28750),(BL322-28750)*8%)+IF(AND(BL322&gt;30000),(BL322-30000)*10%)+1500,IF(AND((BL322&gt;1500),(BL322&lt;=22500)),(BL322-15000)*20%))))/2),2)))</f>
        <v>#N/A</v>
      </c>
      <c r="BO322" s="682" t="e">
        <f>CONCATENATE(Z322," ",LOOKUP(D322,'f-travail'!A:A,'f-travail'!F:F))</f>
        <v>#N/A</v>
      </c>
      <c r="BP322" s="669" t="e">
        <f t="shared" si="154"/>
        <v>#N/A</v>
      </c>
    </row>
    <row r="323" spans="1:68">
      <c r="A323" s="636">
        <f t="shared" si="143"/>
        <v>322</v>
      </c>
      <c r="B323" s="637"/>
      <c r="C323" s="637"/>
      <c r="D323" s="652"/>
      <c r="E323" s="679" t="e">
        <f>LOOKUP(D323,'f-travail'!A:A,'f-travail'!B:B)</f>
        <v>#N/A</v>
      </c>
      <c r="F323" s="650"/>
      <c r="G323" s="650"/>
      <c r="H323" s="653"/>
      <c r="I323" s="653"/>
      <c r="J323" s="654"/>
      <c r="K323" s="650"/>
      <c r="L323" s="650"/>
      <c r="M323" s="650">
        <v>0</v>
      </c>
      <c r="N323" s="654"/>
      <c r="O323" s="654"/>
      <c r="P323" s="654"/>
      <c r="Q323" s="654"/>
      <c r="R323" s="676"/>
      <c r="S323" s="654"/>
      <c r="T323" s="675"/>
      <c r="U323" s="675"/>
      <c r="V323" s="670" t="e">
        <f>LOOKUP(D323,'f-travail'!A:A,'f-travail'!E:E)</f>
        <v>#N/A</v>
      </c>
      <c r="W323" s="670" t="e">
        <f>VLOOKUP(V323,جرقمإستدلالي,'f-travail'!$AD$4+1,FALSE)</f>
        <v>#N/A</v>
      </c>
      <c r="X323" s="671" t="e">
        <f t="shared" si="144"/>
        <v>#N/A</v>
      </c>
      <c r="Y323" s="671">
        <f>IF(G323="مدير ولائي",(HLOOKUP(I323,جدروظعليا,'f-travail'!$AT$3+1,FALSE)-3200),0)</f>
        <v>0</v>
      </c>
      <c r="Z323" s="672" t="str">
        <f t="shared" si="155"/>
        <v/>
      </c>
      <c r="AA323" s="671">
        <f t="shared" si="156"/>
        <v>0</v>
      </c>
      <c r="AB323" s="677" t="b">
        <f t="shared" si="145"/>
        <v>0</v>
      </c>
      <c r="AC323" s="678">
        <f t="shared" si="157"/>
        <v>0</v>
      </c>
      <c r="AD323" s="673"/>
      <c r="AE323" s="678">
        <f t="shared" si="146"/>
        <v>0</v>
      </c>
      <c r="AF323" s="678" t="e">
        <f t="shared" si="147"/>
        <v>#N/A</v>
      </c>
      <c r="AG323" s="678" t="e">
        <f t="shared" si="148"/>
        <v>#N/A</v>
      </c>
      <c r="AH323" s="673">
        <f t="shared" si="158"/>
        <v>0</v>
      </c>
      <c r="AI323" s="674" t="e">
        <f>IF(G323="مدير ولائي",(11000*35%),LOOKUP(D323,'f-travail'!A:A,'f-travail'!I:I))</f>
        <v>#N/A</v>
      </c>
      <c r="AJ323" s="673" t="e">
        <f>IF(G323="مدير ولائي",((W323+X323)*45)*80%,IF(V323&lt;8,0,IF(F323="إليزي",(LOOKUP(D323,'f-travail'!A:A,'f-travail'!O:O))*(AF323+AG323),LOOKUP(D323,'f-travail'!A:A,'f-travail'!P:P)*(AF323+AG323))))</f>
        <v>#N/A</v>
      </c>
      <c r="AK323" s="673" t="e">
        <f>IF(G323="مدير ولائي",0,LOOKUP(D323,'f-travail'!A:A,'f-travail'!Q:Q))</f>
        <v>#N/A</v>
      </c>
      <c r="AL323" s="673" t="e">
        <f>IF(G323="مدير ولائي",0,LOOKUP(D323,'f-travail'!A:A,'f-travail'!R:R)*(AF323+AG323))</f>
        <v>#N/A</v>
      </c>
      <c r="AM323" s="673" t="e">
        <f>IF(G323="مدير ولائي",0,LOOKUP(D323,'f-travail'!A:A,'f-travail'!S:S)*(AF323+AG323))</f>
        <v>#N/A</v>
      </c>
      <c r="AN323" s="673" t="e">
        <f>IF(G323="مدير ولائي",0,LOOKUP(D323,'f-travail'!A:A,'f-travail'!T:T)*(AF323+AG323))</f>
        <v>#N/A</v>
      </c>
      <c r="AO323" s="673" t="e">
        <f>IF(G323="مدير ولائي",0,LOOKUP(D323,'f-travail'!A:A,'f-travail'!U:U)*(AF323+AG323))</f>
        <v>#N/A</v>
      </c>
      <c r="AP323" s="673" t="e">
        <f>IF(G323="مدير ولائي",0,LOOKUP(D323,'f-travail'!A:A,'f-travail'!V:V)*(AF323+AG323))</f>
        <v>#N/A</v>
      </c>
      <c r="AQ323" s="673" t="e">
        <f>IF(G323="مدير ولائي",0,LOOKUP(D323,'f-travail'!A:A,'f-travail'!W:W)*(AF323+AG323))</f>
        <v>#N/A</v>
      </c>
      <c r="AR323" s="673">
        <f t="shared" si="159"/>
        <v>0</v>
      </c>
      <c r="AS323" s="673" t="e">
        <f>IF(G323="مدير ولائي",0,LOOKUP(D323,'f-travail'!A:A,'f-travail'!X:X)*(AF323+AG323))</f>
        <v>#N/A</v>
      </c>
      <c r="AT323" s="673" t="e">
        <f>IF(G323="مدير ولائي",0,LOOKUP(D323,'f-travail'!Y:Y,'f-travail'!R:R)*(AF323+AG323))</f>
        <v>#N/A</v>
      </c>
      <c r="AU323" s="673">
        <f t="shared" si="149"/>
        <v>0</v>
      </c>
      <c r="AV323" s="673">
        <f t="shared" si="150"/>
        <v>0</v>
      </c>
      <c r="AW323" s="673">
        <f t="shared" si="151"/>
        <v>0</v>
      </c>
      <c r="AY323" s="640" t="e">
        <f t="shared" si="160"/>
        <v>#N/A</v>
      </c>
      <c r="AZ323" s="673" t="e">
        <f t="shared" si="152"/>
        <v>#N/A</v>
      </c>
      <c r="BA323" s="639" t="e">
        <f t="shared" si="153"/>
        <v>#N/A</v>
      </c>
      <c r="BG323" s="639">
        <f t="shared" si="161"/>
        <v>0</v>
      </c>
      <c r="BH323" s="683">
        <f t="shared" si="162"/>
        <v>0</v>
      </c>
      <c r="BI323" s="683">
        <f t="shared" si="163"/>
        <v>0</v>
      </c>
      <c r="BJ323" s="641" t="e">
        <f t="shared" si="164"/>
        <v>#N/A</v>
      </c>
      <c r="BK323" s="641" t="e">
        <f t="shared" si="165"/>
        <v>#N/A</v>
      </c>
      <c r="BL323" s="641" t="e">
        <f t="shared" si="166"/>
        <v>#N/A</v>
      </c>
      <c r="BM323" s="684" t="e">
        <f t="shared" si="167"/>
        <v>#N/A</v>
      </c>
      <c r="BO323" s="682" t="e">
        <f>CONCATENATE(Z323," ",LOOKUP(D323,'f-travail'!A:A,'f-travail'!F:F))</f>
        <v>#N/A</v>
      </c>
      <c r="BP323" s="669" t="e">
        <f t="shared" si="154"/>
        <v>#N/A</v>
      </c>
    </row>
    <row r="324" spans="1:68">
      <c r="A324" s="636">
        <f t="shared" ref="A324:A387" si="168">A323+1</f>
        <v>323</v>
      </c>
      <c r="B324" s="637"/>
      <c r="C324" s="637"/>
      <c r="D324" s="652"/>
      <c r="E324" s="679" t="e">
        <f>LOOKUP(D324,'f-travail'!A:A,'f-travail'!B:B)</f>
        <v>#N/A</v>
      </c>
      <c r="F324" s="650"/>
      <c r="G324" s="650"/>
      <c r="H324" s="653"/>
      <c r="I324" s="653"/>
      <c r="J324" s="654"/>
      <c r="K324" s="650"/>
      <c r="L324" s="650"/>
      <c r="M324" s="650">
        <v>0</v>
      </c>
      <c r="N324" s="654"/>
      <c r="O324" s="654"/>
      <c r="P324" s="654"/>
      <c r="Q324" s="654"/>
      <c r="R324" s="676"/>
      <c r="S324" s="654"/>
      <c r="T324" s="675"/>
      <c r="U324" s="675"/>
      <c r="V324" s="670" t="e">
        <f>LOOKUP(D324,'f-travail'!A:A,'f-travail'!E:E)</f>
        <v>#N/A</v>
      </c>
      <c r="W324" s="670" t="e">
        <f>VLOOKUP(V324,جرقمإستدلالي,'f-travail'!$AD$4+1,FALSE)</f>
        <v>#N/A</v>
      </c>
      <c r="X324" s="671" t="e">
        <f t="shared" si="144"/>
        <v>#N/A</v>
      </c>
      <c r="Y324" s="671">
        <f>IF(G324="مدير ولائي",(HLOOKUP(I324,جدروظعليا,'f-travail'!$AT$3+1,FALSE)-3200),0)</f>
        <v>0</v>
      </c>
      <c r="Z324" s="672" t="str">
        <f t="shared" si="155"/>
        <v/>
      </c>
      <c r="AA324" s="671">
        <f t="shared" si="156"/>
        <v>0</v>
      </c>
      <c r="AB324" s="677" t="b">
        <f t="shared" si="145"/>
        <v>0</v>
      </c>
      <c r="AC324" s="678">
        <f t="shared" si="157"/>
        <v>0</v>
      </c>
      <c r="AD324" s="673"/>
      <c r="AE324" s="678">
        <f t="shared" si="146"/>
        <v>0</v>
      </c>
      <c r="AF324" s="678" t="e">
        <f t="shared" si="147"/>
        <v>#N/A</v>
      </c>
      <c r="AG324" s="678" t="e">
        <f t="shared" si="148"/>
        <v>#N/A</v>
      </c>
      <c r="AH324" s="673">
        <f t="shared" si="158"/>
        <v>0</v>
      </c>
      <c r="AI324" s="674" t="e">
        <f>IF(G324="مدير ولائي",(11000*35%),LOOKUP(D324,'f-travail'!A:A,'f-travail'!I:I))</f>
        <v>#N/A</v>
      </c>
      <c r="AJ324" s="673" t="e">
        <f>IF(G324="مدير ولائي",((W324+X324)*45)*80%,IF(V324&lt;8,0,IF(F324="إليزي",(LOOKUP(D324,'f-travail'!A:A,'f-travail'!O:O))*(AF324+AG324),LOOKUP(D324,'f-travail'!A:A,'f-travail'!P:P)*(AF324+AG324))))</f>
        <v>#N/A</v>
      </c>
      <c r="AK324" s="673" t="e">
        <f>IF(G324="مدير ولائي",0,LOOKUP(D324,'f-travail'!A:A,'f-travail'!Q:Q))</f>
        <v>#N/A</v>
      </c>
      <c r="AL324" s="673" t="e">
        <f>IF(G324="مدير ولائي",0,LOOKUP(D324,'f-travail'!A:A,'f-travail'!R:R)*(AF324+AG324))</f>
        <v>#N/A</v>
      </c>
      <c r="AM324" s="673" t="e">
        <f>IF(G324="مدير ولائي",0,LOOKUP(D324,'f-travail'!A:A,'f-travail'!S:S)*(AF324+AG324))</f>
        <v>#N/A</v>
      </c>
      <c r="AN324" s="673" t="e">
        <f>IF(G324="مدير ولائي",0,LOOKUP(D324,'f-travail'!A:A,'f-travail'!T:T)*(AF324+AG324))</f>
        <v>#N/A</v>
      </c>
      <c r="AO324" s="673" t="e">
        <f>IF(G324="مدير ولائي",0,LOOKUP(D324,'f-travail'!A:A,'f-travail'!U:U)*(AF324+AG324))</f>
        <v>#N/A</v>
      </c>
      <c r="AP324" s="673" t="e">
        <f>IF(G324="مدير ولائي",0,LOOKUP(D324,'f-travail'!A:A,'f-travail'!V:V)*(AF324+AG324))</f>
        <v>#N/A</v>
      </c>
      <c r="AQ324" s="673" t="e">
        <f>IF(G324="مدير ولائي",0,LOOKUP(D324,'f-travail'!A:A,'f-travail'!W:W)*(AF324+AG324))</f>
        <v>#N/A</v>
      </c>
      <c r="AR324" s="673">
        <f t="shared" si="159"/>
        <v>0</v>
      </c>
      <c r="AS324" s="673" t="e">
        <f>IF(G324="مدير ولائي",0,LOOKUP(D324,'f-travail'!A:A,'f-travail'!X:X)*(AF324+AG324))</f>
        <v>#N/A</v>
      </c>
      <c r="AT324" s="673" t="e">
        <f>IF(G324="مدير ولائي",0,LOOKUP(D324,'f-travail'!Y:Y,'f-travail'!R:R)*(AF324+AG324))</f>
        <v>#N/A</v>
      </c>
      <c r="AU324" s="673">
        <f t="shared" si="149"/>
        <v>0</v>
      </c>
      <c r="AV324" s="673">
        <f t="shared" si="150"/>
        <v>0</v>
      </c>
      <c r="AW324" s="673">
        <f t="shared" si="151"/>
        <v>0</v>
      </c>
      <c r="AY324" s="640" t="e">
        <f t="shared" si="160"/>
        <v>#N/A</v>
      </c>
      <c r="AZ324" s="673" t="e">
        <f t="shared" si="152"/>
        <v>#N/A</v>
      </c>
      <c r="BA324" s="639" t="e">
        <f t="shared" si="153"/>
        <v>#N/A</v>
      </c>
      <c r="BG324" s="639">
        <f t="shared" si="161"/>
        <v>0</v>
      </c>
      <c r="BH324" s="683">
        <f t="shared" si="162"/>
        <v>0</v>
      </c>
      <c r="BI324" s="683">
        <f t="shared" si="163"/>
        <v>0</v>
      </c>
      <c r="BJ324" s="641" t="e">
        <f t="shared" si="164"/>
        <v>#N/A</v>
      </c>
      <c r="BK324" s="641" t="e">
        <f t="shared" si="165"/>
        <v>#N/A</v>
      </c>
      <c r="BL324" s="641" t="e">
        <f t="shared" si="166"/>
        <v>#N/A</v>
      </c>
      <c r="BM324" s="684" t="e">
        <f t="shared" si="167"/>
        <v>#N/A</v>
      </c>
      <c r="BO324" s="682" t="e">
        <f>CONCATENATE(Z324," ",LOOKUP(D324,'f-travail'!A:A,'f-travail'!F:F))</f>
        <v>#N/A</v>
      </c>
      <c r="BP324" s="669" t="e">
        <f t="shared" si="154"/>
        <v>#N/A</v>
      </c>
    </row>
    <row r="325" spans="1:68">
      <c r="A325" s="636">
        <f t="shared" si="168"/>
        <v>324</v>
      </c>
      <c r="B325" s="637"/>
      <c r="C325" s="637"/>
      <c r="D325" s="652"/>
      <c r="E325" s="679" t="e">
        <f>LOOKUP(D325,'f-travail'!A:A,'f-travail'!B:B)</f>
        <v>#N/A</v>
      </c>
      <c r="F325" s="650"/>
      <c r="G325" s="650"/>
      <c r="H325" s="653"/>
      <c r="I325" s="653"/>
      <c r="J325" s="654"/>
      <c r="K325" s="650"/>
      <c r="L325" s="650"/>
      <c r="M325" s="650">
        <v>0</v>
      </c>
      <c r="N325" s="654"/>
      <c r="O325" s="654"/>
      <c r="P325" s="654"/>
      <c r="Q325" s="654"/>
      <c r="R325" s="676"/>
      <c r="S325" s="654"/>
      <c r="T325" s="675"/>
      <c r="U325" s="675"/>
      <c r="V325" s="670" t="e">
        <f>LOOKUP(D325,'f-travail'!A:A,'f-travail'!E:E)</f>
        <v>#N/A</v>
      </c>
      <c r="W325" s="670" t="e">
        <f>VLOOKUP(V325,جرقمإستدلالي,'f-travail'!$AD$4+1,FALSE)</f>
        <v>#N/A</v>
      </c>
      <c r="X325" s="671" t="e">
        <f t="shared" si="144"/>
        <v>#N/A</v>
      </c>
      <c r="Y325" s="671">
        <f>IF(G325="مدير ولائي",(HLOOKUP(I325,جدروظعليا,'f-travail'!$AT$3+1,FALSE)-3200),0)</f>
        <v>0</v>
      </c>
      <c r="Z325" s="672" t="str">
        <f t="shared" si="155"/>
        <v/>
      </c>
      <c r="AA325" s="671">
        <f t="shared" si="156"/>
        <v>0</v>
      </c>
      <c r="AB325" s="677" t="b">
        <f t="shared" si="145"/>
        <v>0</v>
      </c>
      <c r="AC325" s="678">
        <f t="shared" si="157"/>
        <v>0</v>
      </c>
      <c r="AD325" s="673"/>
      <c r="AE325" s="678">
        <f t="shared" si="146"/>
        <v>0</v>
      </c>
      <c r="AF325" s="678" t="e">
        <f t="shared" si="147"/>
        <v>#N/A</v>
      </c>
      <c r="AG325" s="678" t="e">
        <f t="shared" si="148"/>
        <v>#N/A</v>
      </c>
      <c r="AH325" s="673">
        <f t="shared" si="158"/>
        <v>0</v>
      </c>
      <c r="AI325" s="674" t="e">
        <f>IF(G325="مدير ولائي",(11000*35%),LOOKUP(D325,'f-travail'!A:A,'f-travail'!I:I))</f>
        <v>#N/A</v>
      </c>
      <c r="AJ325" s="673" t="e">
        <f>IF(G325="مدير ولائي",((W325+X325)*45)*80%,IF(V325&lt;8,0,IF(F325="إليزي",(LOOKUP(D325,'f-travail'!A:A,'f-travail'!O:O))*(AF325+AG325),LOOKUP(D325,'f-travail'!A:A,'f-travail'!P:P)*(AF325+AG325))))</f>
        <v>#N/A</v>
      </c>
      <c r="AK325" s="673" t="e">
        <f>IF(G325="مدير ولائي",0,LOOKUP(D325,'f-travail'!A:A,'f-travail'!Q:Q))</f>
        <v>#N/A</v>
      </c>
      <c r="AL325" s="673" t="e">
        <f>IF(G325="مدير ولائي",0,LOOKUP(D325,'f-travail'!A:A,'f-travail'!R:R)*(AF325+AG325))</f>
        <v>#N/A</v>
      </c>
      <c r="AM325" s="673" t="e">
        <f>IF(G325="مدير ولائي",0,LOOKUP(D325,'f-travail'!A:A,'f-travail'!S:S)*(AF325+AG325))</f>
        <v>#N/A</v>
      </c>
      <c r="AN325" s="673" t="e">
        <f>IF(G325="مدير ولائي",0,LOOKUP(D325,'f-travail'!A:A,'f-travail'!T:T)*(AF325+AG325))</f>
        <v>#N/A</v>
      </c>
      <c r="AO325" s="673" t="e">
        <f>IF(G325="مدير ولائي",0,LOOKUP(D325,'f-travail'!A:A,'f-travail'!U:U)*(AF325+AG325))</f>
        <v>#N/A</v>
      </c>
      <c r="AP325" s="673" t="e">
        <f>IF(G325="مدير ولائي",0,LOOKUP(D325,'f-travail'!A:A,'f-travail'!V:V)*(AF325+AG325))</f>
        <v>#N/A</v>
      </c>
      <c r="AQ325" s="673" t="e">
        <f>IF(G325="مدير ولائي",0,LOOKUP(D325,'f-travail'!A:A,'f-travail'!W:W)*(AF325+AG325))</f>
        <v>#N/A</v>
      </c>
      <c r="AR325" s="673">
        <f t="shared" si="159"/>
        <v>0</v>
      </c>
      <c r="AS325" s="673" t="e">
        <f>IF(G325="مدير ولائي",0,LOOKUP(D325,'f-travail'!A:A,'f-travail'!X:X)*(AF325+AG325))</f>
        <v>#N/A</v>
      </c>
      <c r="AT325" s="673" t="e">
        <f>IF(G325="مدير ولائي",0,LOOKUP(D325,'f-travail'!Y:Y,'f-travail'!R:R)*(AF325+AG325))</f>
        <v>#N/A</v>
      </c>
      <c r="AU325" s="673">
        <f t="shared" si="149"/>
        <v>0</v>
      </c>
      <c r="AV325" s="673">
        <f t="shared" si="150"/>
        <v>0</v>
      </c>
      <c r="AW325" s="673">
        <f t="shared" si="151"/>
        <v>0</v>
      </c>
      <c r="AY325" s="640" t="e">
        <f t="shared" si="160"/>
        <v>#N/A</v>
      </c>
      <c r="AZ325" s="673" t="e">
        <f t="shared" si="152"/>
        <v>#N/A</v>
      </c>
      <c r="BA325" s="639" t="e">
        <f t="shared" si="153"/>
        <v>#N/A</v>
      </c>
      <c r="BG325" s="639">
        <f t="shared" si="161"/>
        <v>0</v>
      </c>
      <c r="BH325" s="683">
        <f t="shared" si="162"/>
        <v>0</v>
      </c>
      <c r="BI325" s="683">
        <f t="shared" si="163"/>
        <v>0</v>
      </c>
      <c r="BJ325" s="641" t="e">
        <f t="shared" si="164"/>
        <v>#N/A</v>
      </c>
      <c r="BK325" s="641" t="e">
        <f t="shared" si="165"/>
        <v>#N/A</v>
      </c>
      <c r="BL325" s="641" t="e">
        <f t="shared" si="166"/>
        <v>#N/A</v>
      </c>
      <c r="BM325" s="684" t="e">
        <f t="shared" si="167"/>
        <v>#N/A</v>
      </c>
      <c r="BO325" s="682" t="e">
        <f>CONCATENATE(Z325," ",LOOKUP(D325,'f-travail'!A:A,'f-travail'!F:F))</f>
        <v>#N/A</v>
      </c>
      <c r="BP325" s="669" t="e">
        <f t="shared" si="154"/>
        <v>#N/A</v>
      </c>
    </row>
    <row r="326" spans="1:68">
      <c r="A326" s="636">
        <f t="shared" si="168"/>
        <v>325</v>
      </c>
      <c r="B326" s="637"/>
      <c r="C326" s="637"/>
      <c r="D326" s="652"/>
      <c r="E326" s="679" t="e">
        <f>LOOKUP(D326,'f-travail'!A:A,'f-travail'!B:B)</f>
        <v>#N/A</v>
      </c>
      <c r="F326" s="650"/>
      <c r="G326" s="650"/>
      <c r="H326" s="653"/>
      <c r="I326" s="653"/>
      <c r="J326" s="654"/>
      <c r="K326" s="650"/>
      <c r="L326" s="650"/>
      <c r="M326" s="650">
        <v>0</v>
      </c>
      <c r="N326" s="654"/>
      <c r="O326" s="654"/>
      <c r="P326" s="654"/>
      <c r="Q326" s="654"/>
      <c r="R326" s="676"/>
      <c r="S326" s="654"/>
      <c r="T326" s="675"/>
      <c r="U326" s="675"/>
      <c r="V326" s="670" t="e">
        <f>LOOKUP(D326,'f-travail'!A:A,'f-travail'!E:E)</f>
        <v>#N/A</v>
      </c>
      <c r="W326" s="670" t="e">
        <f>VLOOKUP(V326,جرقمإستدلالي,'f-travail'!$AD$4+1,FALSE)</f>
        <v>#N/A</v>
      </c>
      <c r="X326" s="671" t="e">
        <f t="shared" si="144"/>
        <v>#N/A</v>
      </c>
      <c r="Y326" s="671">
        <f>IF(G326="مدير ولائي",(HLOOKUP(I326,جدروظعليا,'f-travail'!$AT$3+1,FALSE)-3200),0)</f>
        <v>0</v>
      </c>
      <c r="Z326" s="672" t="str">
        <f t="shared" si="155"/>
        <v/>
      </c>
      <c r="AA326" s="671">
        <f t="shared" si="156"/>
        <v>0</v>
      </c>
      <c r="AB326" s="677" t="b">
        <f t="shared" si="145"/>
        <v>0</v>
      </c>
      <c r="AC326" s="678">
        <f t="shared" si="157"/>
        <v>0</v>
      </c>
      <c r="AD326" s="673"/>
      <c r="AE326" s="678">
        <f t="shared" si="146"/>
        <v>0</v>
      </c>
      <c r="AF326" s="678" t="e">
        <f t="shared" si="147"/>
        <v>#N/A</v>
      </c>
      <c r="AG326" s="678" t="e">
        <f t="shared" si="148"/>
        <v>#N/A</v>
      </c>
      <c r="AH326" s="673">
        <f t="shared" si="158"/>
        <v>0</v>
      </c>
      <c r="AI326" s="674" t="e">
        <f>IF(G326="مدير ولائي",(11000*35%),LOOKUP(D326,'f-travail'!A:A,'f-travail'!I:I))</f>
        <v>#N/A</v>
      </c>
      <c r="AJ326" s="673" t="e">
        <f>IF(G326="مدير ولائي",((W326+X326)*45)*80%,IF(V326&lt;8,0,IF(F326="إليزي",(LOOKUP(D326,'f-travail'!A:A,'f-travail'!O:O))*(AF326+AG326),LOOKUP(D326,'f-travail'!A:A,'f-travail'!P:P)*(AF326+AG326))))</f>
        <v>#N/A</v>
      </c>
      <c r="AK326" s="673" t="e">
        <f>IF(G326="مدير ولائي",0,LOOKUP(D326,'f-travail'!A:A,'f-travail'!Q:Q))</f>
        <v>#N/A</v>
      </c>
      <c r="AL326" s="673" t="e">
        <f>IF(G326="مدير ولائي",0,LOOKUP(D326,'f-travail'!A:A,'f-travail'!R:R)*(AF326+AG326))</f>
        <v>#N/A</v>
      </c>
      <c r="AM326" s="673" t="e">
        <f>IF(G326="مدير ولائي",0,LOOKUP(D326,'f-travail'!A:A,'f-travail'!S:S)*(AF326+AG326))</f>
        <v>#N/A</v>
      </c>
      <c r="AN326" s="673" t="e">
        <f>IF(G326="مدير ولائي",0,LOOKUP(D326,'f-travail'!A:A,'f-travail'!T:T)*(AF326+AG326))</f>
        <v>#N/A</v>
      </c>
      <c r="AO326" s="673" t="e">
        <f>IF(G326="مدير ولائي",0,LOOKUP(D326,'f-travail'!A:A,'f-travail'!U:U)*(AF326+AG326))</f>
        <v>#N/A</v>
      </c>
      <c r="AP326" s="673" t="e">
        <f>IF(G326="مدير ولائي",0,LOOKUP(D326,'f-travail'!A:A,'f-travail'!V:V)*(AF326+AG326))</f>
        <v>#N/A</v>
      </c>
      <c r="AQ326" s="673" t="e">
        <f>IF(G326="مدير ولائي",0,LOOKUP(D326,'f-travail'!A:A,'f-travail'!W:W)*(AF326+AG326))</f>
        <v>#N/A</v>
      </c>
      <c r="AR326" s="673">
        <f t="shared" si="159"/>
        <v>0</v>
      </c>
      <c r="AS326" s="673" t="e">
        <f>IF(G326="مدير ولائي",0,LOOKUP(D326,'f-travail'!A:A,'f-travail'!X:X)*(AF326+AG326))</f>
        <v>#N/A</v>
      </c>
      <c r="AT326" s="673" t="e">
        <f>IF(G326="مدير ولائي",0,LOOKUP(D326,'f-travail'!Y:Y,'f-travail'!R:R)*(AF326+AG326))</f>
        <v>#N/A</v>
      </c>
      <c r="AU326" s="673">
        <f t="shared" si="149"/>
        <v>0</v>
      </c>
      <c r="AV326" s="673">
        <f t="shared" si="150"/>
        <v>0</v>
      </c>
      <c r="AW326" s="673">
        <f t="shared" si="151"/>
        <v>0</v>
      </c>
      <c r="AY326" s="640" t="e">
        <f t="shared" si="160"/>
        <v>#N/A</v>
      </c>
      <c r="AZ326" s="673" t="e">
        <f t="shared" si="152"/>
        <v>#N/A</v>
      </c>
      <c r="BA326" s="639" t="e">
        <f t="shared" si="153"/>
        <v>#N/A</v>
      </c>
      <c r="BG326" s="639">
        <f t="shared" si="161"/>
        <v>0</v>
      </c>
      <c r="BH326" s="683">
        <f t="shared" si="162"/>
        <v>0</v>
      </c>
      <c r="BI326" s="683">
        <f t="shared" si="163"/>
        <v>0</v>
      </c>
      <c r="BJ326" s="641" t="e">
        <f t="shared" si="164"/>
        <v>#N/A</v>
      </c>
      <c r="BK326" s="641" t="e">
        <f t="shared" si="165"/>
        <v>#N/A</v>
      </c>
      <c r="BL326" s="641" t="e">
        <f t="shared" si="166"/>
        <v>#N/A</v>
      </c>
      <c r="BM326" s="684" t="e">
        <f t="shared" si="167"/>
        <v>#N/A</v>
      </c>
      <c r="BO326" s="682" t="e">
        <f>CONCATENATE(Z326," ",LOOKUP(D326,'f-travail'!A:A,'f-travail'!F:F))</f>
        <v>#N/A</v>
      </c>
      <c r="BP326" s="669" t="e">
        <f t="shared" si="154"/>
        <v>#N/A</v>
      </c>
    </row>
    <row r="327" spans="1:68">
      <c r="A327" s="636">
        <f t="shared" si="168"/>
        <v>326</v>
      </c>
      <c r="B327" s="637"/>
      <c r="C327" s="637"/>
      <c r="D327" s="652"/>
      <c r="E327" s="679" t="e">
        <f>LOOKUP(D327,'f-travail'!A:A,'f-travail'!B:B)</f>
        <v>#N/A</v>
      </c>
      <c r="F327" s="650"/>
      <c r="G327" s="650"/>
      <c r="H327" s="653"/>
      <c r="I327" s="653"/>
      <c r="J327" s="654"/>
      <c r="K327" s="650"/>
      <c r="L327" s="650"/>
      <c r="M327" s="650">
        <v>0</v>
      </c>
      <c r="N327" s="654"/>
      <c r="O327" s="654"/>
      <c r="P327" s="654"/>
      <c r="Q327" s="654"/>
      <c r="R327" s="676"/>
      <c r="S327" s="654"/>
      <c r="T327" s="675"/>
      <c r="U327" s="675"/>
      <c r="V327" s="670" t="e">
        <f>LOOKUP(D327,'f-travail'!A:A,'f-travail'!E:E)</f>
        <v>#N/A</v>
      </c>
      <c r="W327" s="670" t="e">
        <f>VLOOKUP(V327,جرقمإستدلالي,'f-travail'!$AD$4+1,FALSE)</f>
        <v>#N/A</v>
      </c>
      <c r="X327" s="671" t="e">
        <f t="shared" si="144"/>
        <v>#N/A</v>
      </c>
      <c r="Y327" s="671">
        <f>IF(G327="مدير ولائي",(HLOOKUP(I327,جدروظعليا,'f-travail'!$AT$3+1,FALSE)-3200),0)</f>
        <v>0</v>
      </c>
      <c r="Z327" s="672" t="str">
        <f t="shared" si="155"/>
        <v/>
      </c>
      <c r="AA327" s="671">
        <f t="shared" si="156"/>
        <v>0</v>
      </c>
      <c r="AB327" s="677" t="b">
        <f t="shared" si="145"/>
        <v>0</v>
      </c>
      <c r="AC327" s="678">
        <f t="shared" si="157"/>
        <v>0</v>
      </c>
      <c r="AD327" s="673"/>
      <c r="AE327" s="678">
        <f t="shared" si="146"/>
        <v>0</v>
      </c>
      <c r="AF327" s="678" t="e">
        <f t="shared" si="147"/>
        <v>#N/A</v>
      </c>
      <c r="AG327" s="678" t="e">
        <f t="shared" si="148"/>
        <v>#N/A</v>
      </c>
      <c r="AH327" s="673">
        <f t="shared" si="158"/>
        <v>0</v>
      </c>
      <c r="AI327" s="674" t="e">
        <f>IF(G327="مدير ولائي",(11000*35%),LOOKUP(D327,'f-travail'!A:A,'f-travail'!I:I))</f>
        <v>#N/A</v>
      </c>
      <c r="AJ327" s="673" t="e">
        <f>IF(G327="مدير ولائي",((W327+X327)*45)*80%,IF(V327&lt;8,0,IF(F327="إليزي",(LOOKUP(D327,'f-travail'!A:A,'f-travail'!O:O))*(AF327+AG327),LOOKUP(D327,'f-travail'!A:A,'f-travail'!P:P)*(AF327+AG327))))</f>
        <v>#N/A</v>
      </c>
      <c r="AK327" s="673" t="e">
        <f>IF(G327="مدير ولائي",0,LOOKUP(D327,'f-travail'!A:A,'f-travail'!Q:Q))</f>
        <v>#N/A</v>
      </c>
      <c r="AL327" s="673" t="e">
        <f>IF(G327="مدير ولائي",0,LOOKUP(D327,'f-travail'!A:A,'f-travail'!R:R)*(AF327+AG327))</f>
        <v>#N/A</v>
      </c>
      <c r="AM327" s="673" t="e">
        <f>IF(G327="مدير ولائي",0,LOOKUP(D327,'f-travail'!A:A,'f-travail'!S:S)*(AF327+AG327))</f>
        <v>#N/A</v>
      </c>
      <c r="AN327" s="673" t="e">
        <f>IF(G327="مدير ولائي",0,LOOKUP(D327,'f-travail'!A:A,'f-travail'!T:T)*(AF327+AG327))</f>
        <v>#N/A</v>
      </c>
      <c r="AO327" s="673" t="e">
        <f>IF(G327="مدير ولائي",0,LOOKUP(D327,'f-travail'!A:A,'f-travail'!U:U)*(AF327+AG327))</f>
        <v>#N/A</v>
      </c>
      <c r="AP327" s="673" t="e">
        <f>IF(G327="مدير ولائي",0,LOOKUP(D327,'f-travail'!A:A,'f-travail'!V:V)*(AF327+AG327))</f>
        <v>#N/A</v>
      </c>
      <c r="AQ327" s="673" t="e">
        <f>IF(G327="مدير ولائي",0,LOOKUP(D327,'f-travail'!A:A,'f-travail'!W:W)*(AF327+AG327))</f>
        <v>#N/A</v>
      </c>
      <c r="AR327" s="673">
        <f t="shared" si="159"/>
        <v>0</v>
      </c>
      <c r="AS327" s="673" t="e">
        <f>IF(G327="مدير ولائي",0,LOOKUP(D327,'f-travail'!A:A,'f-travail'!X:X)*(AF327+AG327))</f>
        <v>#N/A</v>
      </c>
      <c r="AT327" s="673" t="e">
        <f>IF(G327="مدير ولائي",0,LOOKUP(D327,'f-travail'!Y:Y,'f-travail'!R:R)*(AF327+AG327))</f>
        <v>#N/A</v>
      </c>
      <c r="AU327" s="673">
        <f t="shared" si="149"/>
        <v>0</v>
      </c>
      <c r="AV327" s="673">
        <f t="shared" si="150"/>
        <v>0</v>
      </c>
      <c r="AW327" s="673">
        <f t="shared" si="151"/>
        <v>0</v>
      </c>
      <c r="AY327" s="640" t="e">
        <f t="shared" si="160"/>
        <v>#N/A</v>
      </c>
      <c r="AZ327" s="673" t="e">
        <f t="shared" si="152"/>
        <v>#N/A</v>
      </c>
      <c r="BA327" s="639" t="e">
        <f t="shared" si="153"/>
        <v>#N/A</v>
      </c>
      <c r="BG327" s="639">
        <f t="shared" si="161"/>
        <v>0</v>
      </c>
      <c r="BH327" s="683">
        <f t="shared" si="162"/>
        <v>0</v>
      </c>
      <c r="BI327" s="683">
        <f t="shared" si="163"/>
        <v>0</v>
      </c>
      <c r="BJ327" s="641" t="e">
        <f t="shared" si="164"/>
        <v>#N/A</v>
      </c>
      <c r="BK327" s="641" t="e">
        <f t="shared" si="165"/>
        <v>#N/A</v>
      </c>
      <c r="BL327" s="641" t="e">
        <f t="shared" si="166"/>
        <v>#N/A</v>
      </c>
      <c r="BM327" s="684" t="e">
        <f t="shared" si="167"/>
        <v>#N/A</v>
      </c>
      <c r="BO327" s="682" t="e">
        <f>CONCATENATE(Z327," ",LOOKUP(D327,'f-travail'!A:A,'f-travail'!F:F))</f>
        <v>#N/A</v>
      </c>
      <c r="BP327" s="669" t="e">
        <f t="shared" si="154"/>
        <v>#N/A</v>
      </c>
    </row>
    <row r="328" spans="1:68">
      <c r="A328" s="636">
        <f t="shared" si="168"/>
        <v>327</v>
      </c>
      <c r="B328" s="637"/>
      <c r="C328" s="637"/>
      <c r="D328" s="652"/>
      <c r="E328" s="679" t="e">
        <f>LOOKUP(D328,'f-travail'!A:A,'f-travail'!B:B)</f>
        <v>#N/A</v>
      </c>
      <c r="F328" s="650"/>
      <c r="G328" s="650"/>
      <c r="H328" s="653"/>
      <c r="I328" s="653"/>
      <c r="J328" s="654"/>
      <c r="K328" s="650"/>
      <c r="L328" s="650"/>
      <c r="M328" s="650">
        <v>0</v>
      </c>
      <c r="N328" s="654"/>
      <c r="O328" s="654"/>
      <c r="P328" s="654"/>
      <c r="Q328" s="654"/>
      <c r="R328" s="676"/>
      <c r="S328" s="654"/>
      <c r="T328" s="675"/>
      <c r="U328" s="675"/>
      <c r="V328" s="670" t="e">
        <f>LOOKUP(D328,'f-travail'!A:A,'f-travail'!E:E)</f>
        <v>#N/A</v>
      </c>
      <c r="W328" s="670" t="e">
        <f>VLOOKUP(V328,جرقمإستدلالي,'f-travail'!$AD$4+1,FALSE)</f>
        <v>#N/A</v>
      </c>
      <c r="X328" s="671" t="e">
        <f t="shared" si="144"/>
        <v>#N/A</v>
      </c>
      <c r="Y328" s="671">
        <f>IF(G328="مدير ولائي",(HLOOKUP(I328,جدروظعليا,'f-travail'!$AT$3+1,FALSE)-3200),0)</f>
        <v>0</v>
      </c>
      <c r="Z328" s="672" t="str">
        <f t="shared" si="155"/>
        <v/>
      </c>
      <c r="AA328" s="671">
        <f t="shared" si="156"/>
        <v>0</v>
      </c>
      <c r="AB328" s="677" t="b">
        <f t="shared" si="145"/>
        <v>0</v>
      </c>
      <c r="AC328" s="678">
        <f t="shared" si="157"/>
        <v>0</v>
      </c>
      <c r="AD328" s="673"/>
      <c r="AE328" s="678">
        <f t="shared" si="146"/>
        <v>0</v>
      </c>
      <c r="AF328" s="678" t="e">
        <f t="shared" si="147"/>
        <v>#N/A</v>
      </c>
      <c r="AG328" s="678" t="e">
        <f t="shared" si="148"/>
        <v>#N/A</v>
      </c>
      <c r="AH328" s="673">
        <f t="shared" si="158"/>
        <v>0</v>
      </c>
      <c r="AI328" s="674" t="e">
        <f>IF(G328="مدير ولائي",(11000*35%),LOOKUP(D328,'f-travail'!A:A,'f-travail'!I:I))</f>
        <v>#N/A</v>
      </c>
      <c r="AJ328" s="673" t="e">
        <f>IF(G328="مدير ولائي",((W328+X328)*45)*80%,IF(V328&lt;8,0,IF(F328="إليزي",(LOOKUP(D328,'f-travail'!A:A,'f-travail'!O:O))*(AF328+AG328),LOOKUP(D328,'f-travail'!A:A,'f-travail'!P:P)*(AF328+AG328))))</f>
        <v>#N/A</v>
      </c>
      <c r="AK328" s="673" t="e">
        <f>IF(G328="مدير ولائي",0,LOOKUP(D328,'f-travail'!A:A,'f-travail'!Q:Q))</f>
        <v>#N/A</v>
      </c>
      <c r="AL328" s="673" t="e">
        <f>IF(G328="مدير ولائي",0,LOOKUP(D328,'f-travail'!A:A,'f-travail'!R:R)*(AF328+AG328))</f>
        <v>#N/A</v>
      </c>
      <c r="AM328" s="673" t="e">
        <f>IF(G328="مدير ولائي",0,LOOKUP(D328,'f-travail'!A:A,'f-travail'!S:S)*(AF328+AG328))</f>
        <v>#N/A</v>
      </c>
      <c r="AN328" s="673" t="e">
        <f>IF(G328="مدير ولائي",0,LOOKUP(D328,'f-travail'!A:A,'f-travail'!T:T)*(AF328+AG328))</f>
        <v>#N/A</v>
      </c>
      <c r="AO328" s="673" t="e">
        <f>IF(G328="مدير ولائي",0,LOOKUP(D328,'f-travail'!A:A,'f-travail'!U:U)*(AF328+AG328))</f>
        <v>#N/A</v>
      </c>
      <c r="AP328" s="673" t="e">
        <f>IF(G328="مدير ولائي",0,LOOKUP(D328,'f-travail'!A:A,'f-travail'!V:V)*(AF328+AG328))</f>
        <v>#N/A</v>
      </c>
      <c r="AQ328" s="673" t="e">
        <f>IF(G328="مدير ولائي",0,LOOKUP(D328,'f-travail'!A:A,'f-travail'!W:W)*(AF328+AG328))</f>
        <v>#N/A</v>
      </c>
      <c r="AR328" s="673">
        <f t="shared" si="159"/>
        <v>0</v>
      </c>
      <c r="AS328" s="673" t="e">
        <f>IF(G328="مدير ولائي",0,LOOKUP(D328,'f-travail'!A:A,'f-travail'!X:X)*(AF328+AG328))</f>
        <v>#N/A</v>
      </c>
      <c r="AT328" s="673" t="e">
        <f>IF(G328="مدير ولائي",0,LOOKUP(D328,'f-travail'!Y:Y,'f-travail'!R:R)*(AF328+AG328))</f>
        <v>#N/A</v>
      </c>
      <c r="AU328" s="673">
        <f t="shared" si="149"/>
        <v>0</v>
      </c>
      <c r="AV328" s="673">
        <f t="shared" si="150"/>
        <v>0</v>
      </c>
      <c r="AW328" s="673">
        <f t="shared" si="151"/>
        <v>0</v>
      </c>
      <c r="AY328" s="640" t="e">
        <f t="shared" si="160"/>
        <v>#N/A</v>
      </c>
      <c r="AZ328" s="673" t="e">
        <f t="shared" si="152"/>
        <v>#N/A</v>
      </c>
      <c r="BA328" s="639" t="e">
        <f t="shared" si="153"/>
        <v>#N/A</v>
      </c>
      <c r="BG328" s="639">
        <f t="shared" si="161"/>
        <v>0</v>
      </c>
      <c r="BH328" s="683">
        <f t="shared" si="162"/>
        <v>0</v>
      </c>
      <c r="BI328" s="683">
        <f t="shared" si="163"/>
        <v>0</v>
      </c>
      <c r="BJ328" s="641" t="e">
        <f t="shared" si="164"/>
        <v>#N/A</v>
      </c>
      <c r="BK328" s="641" t="e">
        <f t="shared" si="165"/>
        <v>#N/A</v>
      </c>
      <c r="BL328" s="641" t="e">
        <f t="shared" si="166"/>
        <v>#N/A</v>
      </c>
      <c r="BM328" s="684" t="e">
        <f t="shared" si="167"/>
        <v>#N/A</v>
      </c>
      <c r="BO328" s="682" t="e">
        <f>CONCATENATE(Z328," ",LOOKUP(D328,'f-travail'!A:A,'f-travail'!F:F))</f>
        <v>#N/A</v>
      </c>
      <c r="BP328" s="669" t="e">
        <f t="shared" si="154"/>
        <v>#N/A</v>
      </c>
    </row>
    <row r="329" spans="1:68">
      <c r="A329" s="636">
        <f t="shared" si="168"/>
        <v>328</v>
      </c>
      <c r="B329" s="637"/>
      <c r="C329" s="637"/>
      <c r="D329" s="652"/>
      <c r="E329" s="679" t="e">
        <f>LOOKUP(D329,'f-travail'!A:A,'f-travail'!B:B)</f>
        <v>#N/A</v>
      </c>
      <c r="F329" s="650"/>
      <c r="G329" s="650"/>
      <c r="H329" s="653"/>
      <c r="I329" s="653"/>
      <c r="J329" s="654"/>
      <c r="K329" s="650"/>
      <c r="L329" s="650"/>
      <c r="M329" s="650">
        <v>0</v>
      </c>
      <c r="N329" s="654"/>
      <c r="O329" s="654"/>
      <c r="P329" s="654"/>
      <c r="Q329" s="654"/>
      <c r="R329" s="676"/>
      <c r="S329" s="654"/>
      <c r="T329" s="675"/>
      <c r="U329" s="675"/>
      <c r="V329" s="670" t="e">
        <f>LOOKUP(D329,'f-travail'!A:A,'f-travail'!E:E)</f>
        <v>#N/A</v>
      </c>
      <c r="W329" s="670" t="e">
        <f>VLOOKUP(V329,جرقمإستدلالي,'f-travail'!$AD$4+1,FALSE)</f>
        <v>#N/A</v>
      </c>
      <c r="X329" s="671" t="e">
        <f t="shared" si="144"/>
        <v>#N/A</v>
      </c>
      <c r="Y329" s="671">
        <f>IF(G329="مدير ولائي",(HLOOKUP(I329,جدروظعليا,'f-travail'!$AT$3+1,FALSE)-3200),0)</f>
        <v>0</v>
      </c>
      <c r="Z329" s="672" t="str">
        <f t="shared" si="155"/>
        <v/>
      </c>
      <c r="AA329" s="671">
        <f t="shared" si="156"/>
        <v>0</v>
      </c>
      <c r="AB329" s="677" t="b">
        <f t="shared" si="145"/>
        <v>0</v>
      </c>
      <c r="AC329" s="678">
        <f t="shared" si="157"/>
        <v>0</v>
      </c>
      <c r="AD329" s="673"/>
      <c r="AE329" s="678">
        <f t="shared" si="146"/>
        <v>0</v>
      </c>
      <c r="AF329" s="678" t="e">
        <f t="shared" si="147"/>
        <v>#N/A</v>
      </c>
      <c r="AG329" s="678" t="e">
        <f t="shared" si="148"/>
        <v>#N/A</v>
      </c>
      <c r="AH329" s="673">
        <f t="shared" si="158"/>
        <v>0</v>
      </c>
      <c r="AI329" s="674" t="e">
        <f>IF(G329="مدير ولائي",(11000*35%),LOOKUP(D329,'f-travail'!A:A,'f-travail'!I:I))</f>
        <v>#N/A</v>
      </c>
      <c r="AJ329" s="673" t="e">
        <f>IF(G329="مدير ولائي",((W329+X329)*45)*80%,IF(V329&lt;8,0,IF(F329="إليزي",(LOOKUP(D329,'f-travail'!A:A,'f-travail'!O:O))*(AF329+AG329),LOOKUP(D329,'f-travail'!A:A,'f-travail'!P:P)*(AF329+AG329))))</f>
        <v>#N/A</v>
      </c>
      <c r="AK329" s="673" t="e">
        <f>IF(G329="مدير ولائي",0,LOOKUP(D329,'f-travail'!A:A,'f-travail'!Q:Q))</f>
        <v>#N/A</v>
      </c>
      <c r="AL329" s="673" t="e">
        <f>IF(G329="مدير ولائي",0,LOOKUP(D329,'f-travail'!A:A,'f-travail'!R:R)*(AF329+AG329))</f>
        <v>#N/A</v>
      </c>
      <c r="AM329" s="673" t="e">
        <f>IF(G329="مدير ولائي",0,LOOKUP(D329,'f-travail'!A:A,'f-travail'!S:S)*(AF329+AG329))</f>
        <v>#N/A</v>
      </c>
      <c r="AN329" s="673" t="e">
        <f>IF(G329="مدير ولائي",0,LOOKUP(D329,'f-travail'!A:A,'f-travail'!T:T)*(AF329+AG329))</f>
        <v>#N/A</v>
      </c>
      <c r="AO329" s="673" t="e">
        <f>IF(G329="مدير ولائي",0,LOOKUP(D329,'f-travail'!A:A,'f-travail'!U:U)*(AF329+AG329))</f>
        <v>#N/A</v>
      </c>
      <c r="AP329" s="673" t="e">
        <f>IF(G329="مدير ولائي",0,LOOKUP(D329,'f-travail'!A:A,'f-travail'!V:V)*(AF329+AG329))</f>
        <v>#N/A</v>
      </c>
      <c r="AQ329" s="673" t="e">
        <f>IF(G329="مدير ولائي",0,LOOKUP(D329,'f-travail'!A:A,'f-travail'!W:W)*(AF329+AG329))</f>
        <v>#N/A</v>
      </c>
      <c r="AR329" s="673">
        <f t="shared" si="159"/>
        <v>0</v>
      </c>
      <c r="AS329" s="673" t="e">
        <f>IF(G329="مدير ولائي",0,LOOKUP(D329,'f-travail'!A:A,'f-travail'!X:X)*(AF329+AG329))</f>
        <v>#N/A</v>
      </c>
      <c r="AT329" s="673" t="e">
        <f>IF(G329="مدير ولائي",0,LOOKUP(D329,'f-travail'!Y:Y,'f-travail'!R:R)*(AF329+AG329))</f>
        <v>#N/A</v>
      </c>
      <c r="AU329" s="673">
        <f t="shared" si="149"/>
        <v>0</v>
      </c>
      <c r="AV329" s="673">
        <f t="shared" si="150"/>
        <v>0</v>
      </c>
      <c r="AW329" s="673">
        <f t="shared" si="151"/>
        <v>0</v>
      </c>
      <c r="AY329" s="640" t="e">
        <f t="shared" si="160"/>
        <v>#N/A</v>
      </c>
      <c r="AZ329" s="673" t="e">
        <f t="shared" si="152"/>
        <v>#N/A</v>
      </c>
      <c r="BA329" s="639" t="e">
        <f t="shared" si="153"/>
        <v>#N/A</v>
      </c>
      <c r="BG329" s="639">
        <f t="shared" si="161"/>
        <v>0</v>
      </c>
      <c r="BH329" s="683">
        <f t="shared" si="162"/>
        <v>0</v>
      </c>
      <c r="BI329" s="683">
        <f t="shared" si="163"/>
        <v>0</v>
      </c>
      <c r="BJ329" s="641" t="e">
        <f t="shared" si="164"/>
        <v>#N/A</v>
      </c>
      <c r="BK329" s="641" t="e">
        <f t="shared" si="165"/>
        <v>#N/A</v>
      </c>
      <c r="BL329" s="641" t="e">
        <f t="shared" si="166"/>
        <v>#N/A</v>
      </c>
      <c r="BM329" s="684" t="e">
        <f t="shared" si="167"/>
        <v>#N/A</v>
      </c>
      <c r="BO329" s="682" t="e">
        <f>CONCATENATE(Z329," ",LOOKUP(D329,'f-travail'!A:A,'f-travail'!F:F))</f>
        <v>#N/A</v>
      </c>
      <c r="BP329" s="669" t="e">
        <f t="shared" si="154"/>
        <v>#N/A</v>
      </c>
    </row>
    <row r="330" spans="1:68">
      <c r="A330" s="636">
        <f t="shared" si="168"/>
        <v>329</v>
      </c>
      <c r="B330" s="637"/>
      <c r="C330" s="637"/>
      <c r="D330" s="652"/>
      <c r="E330" s="679" t="e">
        <f>LOOKUP(D330,'f-travail'!A:A,'f-travail'!B:B)</f>
        <v>#N/A</v>
      </c>
      <c r="F330" s="650"/>
      <c r="G330" s="650"/>
      <c r="H330" s="653"/>
      <c r="I330" s="653"/>
      <c r="J330" s="654"/>
      <c r="K330" s="650"/>
      <c r="L330" s="650"/>
      <c r="M330" s="650">
        <v>0</v>
      </c>
      <c r="N330" s="654"/>
      <c r="O330" s="654"/>
      <c r="P330" s="654"/>
      <c r="Q330" s="654"/>
      <c r="R330" s="676"/>
      <c r="S330" s="654"/>
      <c r="T330" s="675"/>
      <c r="U330" s="675"/>
      <c r="V330" s="670" t="e">
        <f>LOOKUP(D330,'f-travail'!A:A,'f-travail'!E:E)</f>
        <v>#N/A</v>
      </c>
      <c r="W330" s="670" t="e">
        <f>VLOOKUP(V330,جرقمإستدلالي,'f-travail'!$AD$4+1,FALSE)</f>
        <v>#N/A</v>
      </c>
      <c r="X330" s="671" t="e">
        <f t="shared" si="144"/>
        <v>#N/A</v>
      </c>
      <c r="Y330" s="671">
        <f>IF(G330="مدير ولائي",(HLOOKUP(I330,جدروظعليا,'f-travail'!$AT$3+1,FALSE)-3200),0)</f>
        <v>0</v>
      </c>
      <c r="Z330" s="672" t="str">
        <f t="shared" si="155"/>
        <v/>
      </c>
      <c r="AA330" s="671">
        <f t="shared" si="156"/>
        <v>0</v>
      </c>
      <c r="AB330" s="677" t="b">
        <f t="shared" si="145"/>
        <v>0</v>
      </c>
      <c r="AC330" s="678">
        <f t="shared" si="157"/>
        <v>0</v>
      </c>
      <c r="AD330" s="673"/>
      <c r="AE330" s="678">
        <f t="shared" si="146"/>
        <v>0</v>
      </c>
      <c r="AF330" s="678" t="e">
        <f t="shared" si="147"/>
        <v>#N/A</v>
      </c>
      <c r="AG330" s="678" t="e">
        <f t="shared" si="148"/>
        <v>#N/A</v>
      </c>
      <c r="AH330" s="673">
        <f t="shared" si="158"/>
        <v>0</v>
      </c>
      <c r="AI330" s="674" t="e">
        <f>IF(G330="مدير ولائي",(11000*35%),LOOKUP(D330,'f-travail'!A:A,'f-travail'!I:I))</f>
        <v>#N/A</v>
      </c>
      <c r="AJ330" s="673" t="e">
        <f>IF(G330="مدير ولائي",((W330+X330)*45)*80%,IF(V330&lt;8,0,IF(F330="إليزي",(LOOKUP(D330,'f-travail'!A:A,'f-travail'!O:O))*(AF330+AG330),LOOKUP(D330,'f-travail'!A:A,'f-travail'!P:P)*(AF330+AG330))))</f>
        <v>#N/A</v>
      </c>
      <c r="AK330" s="673" t="e">
        <f>IF(G330="مدير ولائي",0,LOOKUP(D330,'f-travail'!A:A,'f-travail'!Q:Q))</f>
        <v>#N/A</v>
      </c>
      <c r="AL330" s="673" t="e">
        <f>IF(G330="مدير ولائي",0,LOOKUP(D330,'f-travail'!A:A,'f-travail'!R:R)*(AF330+AG330))</f>
        <v>#N/A</v>
      </c>
      <c r="AM330" s="673" t="e">
        <f>IF(G330="مدير ولائي",0,LOOKUP(D330,'f-travail'!A:A,'f-travail'!S:S)*(AF330+AG330))</f>
        <v>#N/A</v>
      </c>
      <c r="AN330" s="673" t="e">
        <f>IF(G330="مدير ولائي",0,LOOKUP(D330,'f-travail'!A:A,'f-travail'!T:T)*(AF330+AG330))</f>
        <v>#N/A</v>
      </c>
      <c r="AO330" s="673" t="e">
        <f>IF(G330="مدير ولائي",0,LOOKUP(D330,'f-travail'!A:A,'f-travail'!U:U)*(AF330+AG330))</f>
        <v>#N/A</v>
      </c>
      <c r="AP330" s="673" t="e">
        <f>IF(G330="مدير ولائي",0,LOOKUP(D330,'f-travail'!A:A,'f-travail'!V:V)*(AF330+AG330))</f>
        <v>#N/A</v>
      </c>
      <c r="AQ330" s="673" t="e">
        <f>IF(G330="مدير ولائي",0,LOOKUP(D330,'f-travail'!A:A,'f-travail'!W:W)*(AF330+AG330))</f>
        <v>#N/A</v>
      </c>
      <c r="AR330" s="673">
        <f t="shared" si="159"/>
        <v>0</v>
      </c>
      <c r="AS330" s="673" t="e">
        <f>IF(G330="مدير ولائي",0,LOOKUP(D330,'f-travail'!A:A,'f-travail'!X:X)*(AF330+AG330))</f>
        <v>#N/A</v>
      </c>
      <c r="AT330" s="673" t="e">
        <f>IF(G330="مدير ولائي",0,LOOKUP(D330,'f-travail'!Y:Y,'f-travail'!R:R)*(AF330+AG330))</f>
        <v>#N/A</v>
      </c>
      <c r="AU330" s="673">
        <f t="shared" si="149"/>
        <v>0</v>
      </c>
      <c r="AV330" s="673">
        <f t="shared" si="150"/>
        <v>0</v>
      </c>
      <c r="AW330" s="673">
        <f t="shared" si="151"/>
        <v>0</v>
      </c>
      <c r="AY330" s="640" t="e">
        <f t="shared" si="160"/>
        <v>#N/A</v>
      </c>
      <c r="AZ330" s="673" t="e">
        <f t="shared" si="152"/>
        <v>#N/A</v>
      </c>
      <c r="BA330" s="639" t="e">
        <f t="shared" si="153"/>
        <v>#N/A</v>
      </c>
      <c r="BG330" s="639">
        <f t="shared" si="161"/>
        <v>0</v>
      </c>
      <c r="BH330" s="683">
        <f t="shared" si="162"/>
        <v>0</v>
      </c>
      <c r="BI330" s="683">
        <f t="shared" si="163"/>
        <v>0</v>
      </c>
      <c r="BJ330" s="641" t="e">
        <f t="shared" si="164"/>
        <v>#N/A</v>
      </c>
      <c r="BK330" s="641" t="e">
        <f t="shared" si="165"/>
        <v>#N/A</v>
      </c>
      <c r="BL330" s="641" t="e">
        <f t="shared" si="166"/>
        <v>#N/A</v>
      </c>
      <c r="BM330" s="684" t="e">
        <f t="shared" si="167"/>
        <v>#N/A</v>
      </c>
      <c r="BO330" s="682" t="e">
        <f>CONCATENATE(Z330," ",LOOKUP(D330,'f-travail'!A:A,'f-travail'!F:F))</f>
        <v>#N/A</v>
      </c>
      <c r="BP330" s="669" t="e">
        <f t="shared" si="154"/>
        <v>#N/A</v>
      </c>
    </row>
    <row r="331" spans="1:68">
      <c r="A331" s="636">
        <f t="shared" si="168"/>
        <v>330</v>
      </c>
      <c r="B331" s="637"/>
      <c r="C331" s="637"/>
      <c r="D331" s="652"/>
      <c r="E331" s="679" t="e">
        <f>LOOKUP(D331,'f-travail'!A:A,'f-travail'!B:B)</f>
        <v>#N/A</v>
      </c>
      <c r="F331" s="650"/>
      <c r="G331" s="650"/>
      <c r="H331" s="653"/>
      <c r="I331" s="653"/>
      <c r="J331" s="654"/>
      <c r="K331" s="650"/>
      <c r="L331" s="650"/>
      <c r="M331" s="650">
        <v>0</v>
      </c>
      <c r="N331" s="654"/>
      <c r="O331" s="654"/>
      <c r="P331" s="654"/>
      <c r="Q331" s="654"/>
      <c r="R331" s="676"/>
      <c r="S331" s="654"/>
      <c r="T331" s="675"/>
      <c r="U331" s="675"/>
      <c r="V331" s="670" t="e">
        <f>LOOKUP(D331,'f-travail'!A:A,'f-travail'!E:E)</f>
        <v>#N/A</v>
      </c>
      <c r="W331" s="670" t="e">
        <f>VLOOKUP(V331,جرقمإستدلالي,'f-travail'!$AD$4+1,FALSE)</f>
        <v>#N/A</v>
      </c>
      <c r="X331" s="671" t="e">
        <f t="shared" si="144"/>
        <v>#N/A</v>
      </c>
      <c r="Y331" s="671">
        <f>IF(G331="مدير ولائي",(HLOOKUP(I331,جدروظعليا,'f-travail'!$AT$3+1,FALSE)-3200),0)</f>
        <v>0</v>
      </c>
      <c r="Z331" s="672" t="str">
        <f t="shared" si="155"/>
        <v/>
      </c>
      <c r="AA331" s="671">
        <f t="shared" si="156"/>
        <v>0</v>
      </c>
      <c r="AB331" s="677" t="b">
        <f t="shared" si="145"/>
        <v>0</v>
      </c>
      <c r="AC331" s="678">
        <f t="shared" si="157"/>
        <v>0</v>
      </c>
      <c r="AD331" s="673"/>
      <c r="AE331" s="678">
        <f t="shared" si="146"/>
        <v>0</v>
      </c>
      <c r="AF331" s="678" t="e">
        <f t="shared" si="147"/>
        <v>#N/A</v>
      </c>
      <c r="AG331" s="678" t="e">
        <f t="shared" si="148"/>
        <v>#N/A</v>
      </c>
      <c r="AH331" s="673">
        <f t="shared" si="158"/>
        <v>0</v>
      </c>
      <c r="AI331" s="674" t="e">
        <f>IF(G331="مدير ولائي",(11000*35%),LOOKUP(D331,'f-travail'!A:A,'f-travail'!I:I))</f>
        <v>#N/A</v>
      </c>
      <c r="AJ331" s="673" t="e">
        <f>IF(G331="مدير ولائي",((W331+X331)*45)*80%,IF(V331&lt;8,0,IF(F331="إليزي",(LOOKUP(D331,'f-travail'!A:A,'f-travail'!O:O))*(AF331+AG331),LOOKUP(D331,'f-travail'!A:A,'f-travail'!P:P)*(AF331+AG331))))</f>
        <v>#N/A</v>
      </c>
      <c r="AK331" s="673" t="e">
        <f>IF(G331="مدير ولائي",0,LOOKUP(D331,'f-travail'!A:A,'f-travail'!Q:Q))</f>
        <v>#N/A</v>
      </c>
      <c r="AL331" s="673" t="e">
        <f>IF(G331="مدير ولائي",0,LOOKUP(D331,'f-travail'!A:A,'f-travail'!R:R)*(AF331+AG331))</f>
        <v>#N/A</v>
      </c>
      <c r="AM331" s="673" t="e">
        <f>IF(G331="مدير ولائي",0,LOOKUP(D331,'f-travail'!A:A,'f-travail'!S:S)*(AF331+AG331))</f>
        <v>#N/A</v>
      </c>
      <c r="AN331" s="673" t="e">
        <f>IF(G331="مدير ولائي",0,LOOKUP(D331,'f-travail'!A:A,'f-travail'!T:T)*(AF331+AG331))</f>
        <v>#N/A</v>
      </c>
      <c r="AO331" s="673" t="e">
        <f>IF(G331="مدير ولائي",0,LOOKUP(D331,'f-travail'!A:A,'f-travail'!U:U)*(AF331+AG331))</f>
        <v>#N/A</v>
      </c>
      <c r="AP331" s="673" t="e">
        <f>IF(G331="مدير ولائي",0,LOOKUP(D331,'f-travail'!A:A,'f-travail'!V:V)*(AF331+AG331))</f>
        <v>#N/A</v>
      </c>
      <c r="AQ331" s="673" t="e">
        <f>IF(G331="مدير ولائي",0,LOOKUP(D331,'f-travail'!A:A,'f-travail'!W:W)*(AF331+AG331))</f>
        <v>#N/A</v>
      </c>
      <c r="AR331" s="673">
        <f t="shared" si="159"/>
        <v>0</v>
      </c>
      <c r="AS331" s="673" t="e">
        <f>IF(G331="مدير ولائي",0,LOOKUP(D331,'f-travail'!A:A,'f-travail'!X:X)*(AF331+AG331))</f>
        <v>#N/A</v>
      </c>
      <c r="AT331" s="673" t="e">
        <f>IF(G331="مدير ولائي",0,LOOKUP(D331,'f-travail'!Y:Y,'f-travail'!R:R)*(AF331+AG331))</f>
        <v>#N/A</v>
      </c>
      <c r="AU331" s="673">
        <f t="shared" si="149"/>
        <v>0</v>
      </c>
      <c r="AV331" s="673">
        <f t="shared" si="150"/>
        <v>0</v>
      </c>
      <c r="AW331" s="673">
        <f t="shared" si="151"/>
        <v>0</v>
      </c>
      <c r="AY331" s="640" t="e">
        <f t="shared" si="160"/>
        <v>#N/A</v>
      </c>
      <c r="AZ331" s="673" t="e">
        <f t="shared" si="152"/>
        <v>#N/A</v>
      </c>
      <c r="BA331" s="639" t="e">
        <f t="shared" si="153"/>
        <v>#N/A</v>
      </c>
      <c r="BG331" s="639">
        <f t="shared" si="161"/>
        <v>0</v>
      </c>
      <c r="BH331" s="683">
        <f t="shared" si="162"/>
        <v>0</v>
      </c>
      <c r="BI331" s="683">
        <f t="shared" si="163"/>
        <v>0</v>
      </c>
      <c r="BJ331" s="641" t="e">
        <f t="shared" si="164"/>
        <v>#N/A</v>
      </c>
      <c r="BK331" s="641" t="e">
        <f t="shared" si="165"/>
        <v>#N/A</v>
      </c>
      <c r="BL331" s="641" t="e">
        <f t="shared" si="166"/>
        <v>#N/A</v>
      </c>
      <c r="BM331" s="684" t="e">
        <f t="shared" si="167"/>
        <v>#N/A</v>
      </c>
      <c r="BO331" s="682" t="e">
        <f>CONCATENATE(Z331," ",LOOKUP(D331,'f-travail'!A:A,'f-travail'!F:F))</f>
        <v>#N/A</v>
      </c>
      <c r="BP331" s="669" t="e">
        <f t="shared" si="154"/>
        <v>#N/A</v>
      </c>
    </row>
    <row r="332" spans="1:68">
      <c r="A332" s="636">
        <f t="shared" si="168"/>
        <v>331</v>
      </c>
      <c r="B332" s="637"/>
      <c r="C332" s="637"/>
      <c r="D332" s="652"/>
      <c r="E332" s="679" t="e">
        <f>LOOKUP(D332,'f-travail'!A:A,'f-travail'!B:B)</f>
        <v>#N/A</v>
      </c>
      <c r="F332" s="650"/>
      <c r="G332" s="650"/>
      <c r="H332" s="653"/>
      <c r="I332" s="653"/>
      <c r="J332" s="654"/>
      <c r="K332" s="650"/>
      <c r="L332" s="650"/>
      <c r="M332" s="650">
        <v>0</v>
      </c>
      <c r="N332" s="654"/>
      <c r="O332" s="654"/>
      <c r="P332" s="654"/>
      <c r="Q332" s="654"/>
      <c r="R332" s="676"/>
      <c r="S332" s="654"/>
      <c r="T332" s="675"/>
      <c r="U332" s="675"/>
      <c r="V332" s="670" t="e">
        <f>LOOKUP(D332,'f-travail'!A:A,'f-travail'!E:E)</f>
        <v>#N/A</v>
      </c>
      <c r="W332" s="670" t="e">
        <f>VLOOKUP(V332,جرقمإستدلالي,'f-travail'!$AD$4+1,FALSE)</f>
        <v>#N/A</v>
      </c>
      <c r="X332" s="671" t="e">
        <f t="shared" si="144"/>
        <v>#N/A</v>
      </c>
      <c r="Y332" s="671">
        <f>IF(G332="مدير ولائي",(HLOOKUP(I332,جدروظعليا,'f-travail'!$AT$3+1,FALSE)-3200),0)</f>
        <v>0</v>
      </c>
      <c r="Z332" s="672" t="str">
        <f t="shared" si="155"/>
        <v/>
      </c>
      <c r="AA332" s="671">
        <f t="shared" si="156"/>
        <v>0</v>
      </c>
      <c r="AB332" s="677" t="b">
        <f t="shared" si="145"/>
        <v>0</v>
      </c>
      <c r="AC332" s="678">
        <f t="shared" si="157"/>
        <v>0</v>
      </c>
      <c r="AD332" s="673"/>
      <c r="AE332" s="678">
        <f t="shared" si="146"/>
        <v>0</v>
      </c>
      <c r="AF332" s="678" t="e">
        <f t="shared" si="147"/>
        <v>#N/A</v>
      </c>
      <c r="AG332" s="678" t="e">
        <f t="shared" si="148"/>
        <v>#N/A</v>
      </c>
      <c r="AH332" s="673">
        <f t="shared" si="158"/>
        <v>0</v>
      </c>
      <c r="AI332" s="674" t="e">
        <f>IF(G332="مدير ولائي",(11000*35%),LOOKUP(D332,'f-travail'!A:A,'f-travail'!I:I))</f>
        <v>#N/A</v>
      </c>
      <c r="AJ332" s="673" t="e">
        <f>IF(G332="مدير ولائي",((W332+X332)*45)*80%,IF(V332&lt;8,0,IF(F332="إليزي",(LOOKUP(D332,'f-travail'!A:A,'f-travail'!O:O))*(AF332+AG332),LOOKUP(D332,'f-travail'!A:A,'f-travail'!P:P)*(AF332+AG332))))</f>
        <v>#N/A</v>
      </c>
      <c r="AK332" s="673" t="e">
        <f>IF(G332="مدير ولائي",0,LOOKUP(D332,'f-travail'!A:A,'f-travail'!Q:Q))</f>
        <v>#N/A</v>
      </c>
      <c r="AL332" s="673" t="e">
        <f>IF(G332="مدير ولائي",0,LOOKUP(D332,'f-travail'!A:A,'f-travail'!R:R)*(AF332+AG332))</f>
        <v>#N/A</v>
      </c>
      <c r="AM332" s="673" t="e">
        <f>IF(G332="مدير ولائي",0,LOOKUP(D332,'f-travail'!A:A,'f-travail'!S:S)*(AF332+AG332))</f>
        <v>#N/A</v>
      </c>
      <c r="AN332" s="673" t="e">
        <f>IF(G332="مدير ولائي",0,LOOKUP(D332,'f-travail'!A:A,'f-travail'!T:T)*(AF332+AG332))</f>
        <v>#N/A</v>
      </c>
      <c r="AO332" s="673" t="e">
        <f>IF(G332="مدير ولائي",0,LOOKUP(D332,'f-travail'!A:A,'f-travail'!U:U)*(AF332+AG332))</f>
        <v>#N/A</v>
      </c>
      <c r="AP332" s="673" t="e">
        <f>IF(G332="مدير ولائي",0,LOOKUP(D332,'f-travail'!A:A,'f-travail'!V:V)*(AF332+AG332))</f>
        <v>#N/A</v>
      </c>
      <c r="AQ332" s="673" t="e">
        <f>IF(G332="مدير ولائي",0,LOOKUP(D332,'f-travail'!A:A,'f-travail'!W:W)*(AF332+AG332))</f>
        <v>#N/A</v>
      </c>
      <c r="AR332" s="673">
        <f t="shared" si="159"/>
        <v>0</v>
      </c>
      <c r="AS332" s="673" t="e">
        <f>IF(G332="مدير ولائي",0,LOOKUP(D332,'f-travail'!A:A,'f-travail'!X:X)*(AF332+AG332))</f>
        <v>#N/A</v>
      </c>
      <c r="AT332" s="673" t="e">
        <f>IF(G332="مدير ولائي",0,LOOKUP(D332,'f-travail'!Y:Y,'f-travail'!R:R)*(AF332+AG332))</f>
        <v>#N/A</v>
      </c>
      <c r="AU332" s="673">
        <f t="shared" si="149"/>
        <v>0</v>
      </c>
      <c r="AV332" s="673">
        <f t="shared" si="150"/>
        <v>0</v>
      </c>
      <c r="AW332" s="673">
        <f t="shared" si="151"/>
        <v>0</v>
      </c>
      <c r="AY332" s="640" t="e">
        <f t="shared" si="160"/>
        <v>#N/A</v>
      </c>
      <c r="AZ332" s="673" t="e">
        <f t="shared" si="152"/>
        <v>#N/A</v>
      </c>
      <c r="BA332" s="639" t="e">
        <f t="shared" si="153"/>
        <v>#N/A</v>
      </c>
      <c r="BG332" s="639">
        <f t="shared" si="161"/>
        <v>0</v>
      </c>
      <c r="BH332" s="683">
        <f t="shared" si="162"/>
        <v>0</v>
      </c>
      <c r="BI332" s="683">
        <f t="shared" si="163"/>
        <v>0</v>
      </c>
      <c r="BJ332" s="641" t="e">
        <f t="shared" si="164"/>
        <v>#N/A</v>
      </c>
      <c r="BK332" s="641" t="e">
        <f t="shared" si="165"/>
        <v>#N/A</v>
      </c>
      <c r="BL332" s="641" t="e">
        <f t="shared" si="166"/>
        <v>#N/A</v>
      </c>
      <c r="BM332" s="684" t="e">
        <f t="shared" si="167"/>
        <v>#N/A</v>
      </c>
      <c r="BO332" s="682" t="e">
        <f>CONCATENATE(Z332," ",LOOKUP(D332,'f-travail'!A:A,'f-travail'!F:F))</f>
        <v>#N/A</v>
      </c>
      <c r="BP332" s="669" t="e">
        <f t="shared" si="154"/>
        <v>#N/A</v>
      </c>
    </row>
    <row r="333" spans="1:68">
      <c r="A333" s="636">
        <f t="shared" si="168"/>
        <v>332</v>
      </c>
      <c r="B333" s="637"/>
      <c r="C333" s="637"/>
      <c r="D333" s="652"/>
      <c r="E333" s="679" t="e">
        <f>LOOKUP(D333,'f-travail'!A:A,'f-travail'!B:B)</f>
        <v>#N/A</v>
      </c>
      <c r="F333" s="650"/>
      <c r="G333" s="650"/>
      <c r="H333" s="653"/>
      <c r="I333" s="653"/>
      <c r="J333" s="654"/>
      <c r="K333" s="650"/>
      <c r="L333" s="650"/>
      <c r="M333" s="650">
        <v>0</v>
      </c>
      <c r="N333" s="654"/>
      <c r="O333" s="654"/>
      <c r="P333" s="654"/>
      <c r="Q333" s="654"/>
      <c r="R333" s="676"/>
      <c r="S333" s="654"/>
      <c r="T333" s="675"/>
      <c r="U333" s="675"/>
      <c r="V333" s="670" t="e">
        <f>LOOKUP(D333,'f-travail'!A:A,'f-travail'!E:E)</f>
        <v>#N/A</v>
      </c>
      <c r="W333" s="670" t="e">
        <f>VLOOKUP(V333,جرقمإستدلالي,'f-travail'!$AD$4+1,FALSE)</f>
        <v>#N/A</v>
      </c>
      <c r="X333" s="671" t="e">
        <f t="shared" si="144"/>
        <v>#N/A</v>
      </c>
      <c r="Y333" s="671">
        <f>IF(G333="مدير ولائي",(HLOOKUP(I333,جدروظعليا,'f-travail'!$AT$3+1,FALSE)-3200),0)</f>
        <v>0</v>
      </c>
      <c r="Z333" s="672" t="str">
        <f t="shared" si="155"/>
        <v/>
      </c>
      <c r="AA333" s="671">
        <f t="shared" si="156"/>
        <v>0</v>
      </c>
      <c r="AB333" s="677" t="b">
        <f t="shared" si="145"/>
        <v>0</v>
      </c>
      <c r="AC333" s="678">
        <f t="shared" si="157"/>
        <v>0</v>
      </c>
      <c r="AD333" s="673"/>
      <c r="AE333" s="678">
        <f t="shared" si="146"/>
        <v>0</v>
      </c>
      <c r="AF333" s="678" t="e">
        <f t="shared" si="147"/>
        <v>#N/A</v>
      </c>
      <c r="AG333" s="678" t="e">
        <f t="shared" si="148"/>
        <v>#N/A</v>
      </c>
      <c r="AH333" s="673">
        <f t="shared" si="158"/>
        <v>0</v>
      </c>
      <c r="AI333" s="674" t="e">
        <f>IF(G333="مدير ولائي",(11000*35%),LOOKUP(D333,'f-travail'!A:A,'f-travail'!I:I))</f>
        <v>#N/A</v>
      </c>
      <c r="AJ333" s="673" t="e">
        <f>IF(G333="مدير ولائي",((W333+X333)*45)*80%,IF(V333&lt;8,0,IF(F333="إليزي",(LOOKUP(D333,'f-travail'!A:A,'f-travail'!O:O))*(AF333+AG333),LOOKUP(D333,'f-travail'!A:A,'f-travail'!P:P)*(AF333+AG333))))</f>
        <v>#N/A</v>
      </c>
      <c r="AK333" s="673" t="e">
        <f>IF(G333="مدير ولائي",0,LOOKUP(D333,'f-travail'!A:A,'f-travail'!Q:Q))</f>
        <v>#N/A</v>
      </c>
      <c r="AL333" s="673" t="e">
        <f>IF(G333="مدير ولائي",0,LOOKUP(D333,'f-travail'!A:A,'f-travail'!R:R)*(AF333+AG333))</f>
        <v>#N/A</v>
      </c>
      <c r="AM333" s="673" t="e">
        <f>IF(G333="مدير ولائي",0,LOOKUP(D333,'f-travail'!A:A,'f-travail'!S:S)*(AF333+AG333))</f>
        <v>#N/A</v>
      </c>
      <c r="AN333" s="673" t="e">
        <f>IF(G333="مدير ولائي",0,LOOKUP(D333,'f-travail'!A:A,'f-travail'!T:T)*(AF333+AG333))</f>
        <v>#N/A</v>
      </c>
      <c r="AO333" s="673" t="e">
        <f>IF(G333="مدير ولائي",0,LOOKUP(D333,'f-travail'!A:A,'f-travail'!U:U)*(AF333+AG333))</f>
        <v>#N/A</v>
      </c>
      <c r="AP333" s="673" t="e">
        <f>IF(G333="مدير ولائي",0,LOOKUP(D333,'f-travail'!A:A,'f-travail'!V:V)*(AF333+AG333))</f>
        <v>#N/A</v>
      </c>
      <c r="AQ333" s="673" t="e">
        <f>IF(G333="مدير ولائي",0,LOOKUP(D333,'f-travail'!A:A,'f-travail'!W:W)*(AF333+AG333))</f>
        <v>#N/A</v>
      </c>
      <c r="AR333" s="673">
        <f t="shared" si="159"/>
        <v>0</v>
      </c>
      <c r="AS333" s="673" t="e">
        <f>IF(G333="مدير ولائي",0,LOOKUP(D333,'f-travail'!A:A,'f-travail'!X:X)*(AF333+AG333))</f>
        <v>#N/A</v>
      </c>
      <c r="AT333" s="673" t="e">
        <f>IF(G333="مدير ولائي",0,LOOKUP(D333,'f-travail'!Y:Y,'f-travail'!R:R)*(AF333+AG333))</f>
        <v>#N/A</v>
      </c>
      <c r="AU333" s="673">
        <f t="shared" si="149"/>
        <v>0</v>
      </c>
      <c r="AV333" s="673">
        <f t="shared" si="150"/>
        <v>0</v>
      </c>
      <c r="AW333" s="673">
        <f t="shared" si="151"/>
        <v>0</v>
      </c>
      <c r="AY333" s="640" t="e">
        <f t="shared" si="160"/>
        <v>#N/A</v>
      </c>
      <c r="AZ333" s="673" t="e">
        <f t="shared" si="152"/>
        <v>#N/A</v>
      </c>
      <c r="BA333" s="639" t="e">
        <f t="shared" si="153"/>
        <v>#N/A</v>
      </c>
      <c r="BG333" s="639">
        <f t="shared" si="161"/>
        <v>0</v>
      </c>
      <c r="BH333" s="683">
        <f t="shared" si="162"/>
        <v>0</v>
      </c>
      <c r="BI333" s="683">
        <f t="shared" si="163"/>
        <v>0</v>
      </c>
      <c r="BJ333" s="641" t="e">
        <f t="shared" si="164"/>
        <v>#N/A</v>
      </c>
      <c r="BK333" s="641" t="e">
        <f t="shared" si="165"/>
        <v>#N/A</v>
      </c>
      <c r="BL333" s="641" t="e">
        <f t="shared" si="166"/>
        <v>#N/A</v>
      </c>
      <c r="BM333" s="684" t="e">
        <f t="shared" si="167"/>
        <v>#N/A</v>
      </c>
      <c r="BO333" s="682" t="e">
        <f>CONCATENATE(Z333," ",LOOKUP(D333,'f-travail'!A:A,'f-travail'!F:F))</f>
        <v>#N/A</v>
      </c>
      <c r="BP333" s="669" t="e">
        <f t="shared" si="154"/>
        <v>#N/A</v>
      </c>
    </row>
    <row r="334" spans="1:68">
      <c r="A334" s="636">
        <f t="shared" si="168"/>
        <v>333</v>
      </c>
      <c r="B334" s="637"/>
      <c r="C334" s="637"/>
      <c r="D334" s="652"/>
      <c r="E334" s="679" t="e">
        <f>LOOKUP(D334,'f-travail'!A:A,'f-travail'!B:B)</f>
        <v>#N/A</v>
      </c>
      <c r="F334" s="650"/>
      <c r="G334" s="650"/>
      <c r="H334" s="653"/>
      <c r="I334" s="653"/>
      <c r="J334" s="654"/>
      <c r="K334" s="650"/>
      <c r="L334" s="650"/>
      <c r="M334" s="650">
        <v>0</v>
      </c>
      <c r="N334" s="654"/>
      <c r="O334" s="654"/>
      <c r="P334" s="654"/>
      <c r="Q334" s="654"/>
      <c r="R334" s="676"/>
      <c r="S334" s="654"/>
      <c r="T334" s="675"/>
      <c r="U334" s="675"/>
      <c r="V334" s="670" t="e">
        <f>LOOKUP(D334,'f-travail'!A:A,'f-travail'!E:E)</f>
        <v>#N/A</v>
      </c>
      <c r="W334" s="670" t="e">
        <f>VLOOKUP(V334,جرقمإستدلالي,'f-travail'!$AD$4+1,FALSE)</f>
        <v>#N/A</v>
      </c>
      <c r="X334" s="671" t="e">
        <f t="shared" si="144"/>
        <v>#N/A</v>
      </c>
      <c r="Y334" s="671">
        <f>IF(G334="مدير ولائي",(HLOOKUP(I334,جدروظعليا,'f-travail'!$AT$3+1,FALSE)-3200),0)</f>
        <v>0</v>
      </c>
      <c r="Z334" s="672" t="str">
        <f t="shared" si="155"/>
        <v/>
      </c>
      <c r="AA334" s="671">
        <f t="shared" si="156"/>
        <v>0</v>
      </c>
      <c r="AB334" s="677" t="b">
        <f t="shared" si="145"/>
        <v>0</v>
      </c>
      <c r="AC334" s="678">
        <f t="shared" si="157"/>
        <v>0</v>
      </c>
      <c r="AD334" s="673"/>
      <c r="AE334" s="678">
        <f t="shared" si="146"/>
        <v>0</v>
      </c>
      <c r="AF334" s="678" t="e">
        <f t="shared" si="147"/>
        <v>#N/A</v>
      </c>
      <c r="AG334" s="678" t="e">
        <f t="shared" si="148"/>
        <v>#N/A</v>
      </c>
      <c r="AH334" s="673">
        <f t="shared" si="158"/>
        <v>0</v>
      </c>
      <c r="AI334" s="674" t="e">
        <f>IF(G334="مدير ولائي",(11000*35%),LOOKUP(D334,'f-travail'!A:A,'f-travail'!I:I))</f>
        <v>#N/A</v>
      </c>
      <c r="AJ334" s="673" t="e">
        <f>IF(G334="مدير ولائي",((W334+X334)*45)*80%,IF(V334&lt;8,0,IF(F334="إليزي",(LOOKUP(D334,'f-travail'!A:A,'f-travail'!O:O))*(AF334+AG334),LOOKUP(D334,'f-travail'!A:A,'f-travail'!P:P)*(AF334+AG334))))</f>
        <v>#N/A</v>
      </c>
      <c r="AK334" s="673" t="e">
        <f>IF(G334="مدير ولائي",0,LOOKUP(D334,'f-travail'!A:A,'f-travail'!Q:Q))</f>
        <v>#N/A</v>
      </c>
      <c r="AL334" s="673" t="e">
        <f>IF(G334="مدير ولائي",0,LOOKUP(D334,'f-travail'!A:A,'f-travail'!R:R)*(AF334+AG334))</f>
        <v>#N/A</v>
      </c>
      <c r="AM334" s="673" t="e">
        <f>IF(G334="مدير ولائي",0,LOOKUP(D334,'f-travail'!A:A,'f-travail'!S:S)*(AF334+AG334))</f>
        <v>#N/A</v>
      </c>
      <c r="AN334" s="673" t="e">
        <f>IF(G334="مدير ولائي",0,LOOKUP(D334,'f-travail'!A:A,'f-travail'!T:T)*(AF334+AG334))</f>
        <v>#N/A</v>
      </c>
      <c r="AO334" s="673" t="e">
        <f>IF(G334="مدير ولائي",0,LOOKUP(D334,'f-travail'!A:A,'f-travail'!U:U)*(AF334+AG334))</f>
        <v>#N/A</v>
      </c>
      <c r="AP334" s="673" t="e">
        <f>IF(G334="مدير ولائي",0,LOOKUP(D334,'f-travail'!A:A,'f-travail'!V:V)*(AF334+AG334))</f>
        <v>#N/A</v>
      </c>
      <c r="AQ334" s="673" t="e">
        <f>IF(G334="مدير ولائي",0,LOOKUP(D334,'f-travail'!A:A,'f-travail'!W:W)*(AF334+AG334))</f>
        <v>#N/A</v>
      </c>
      <c r="AR334" s="673">
        <f t="shared" si="159"/>
        <v>0</v>
      </c>
      <c r="AS334" s="673" t="e">
        <f>IF(G334="مدير ولائي",0,LOOKUP(D334,'f-travail'!A:A,'f-travail'!X:X)*(AF334+AG334))</f>
        <v>#N/A</v>
      </c>
      <c r="AT334" s="673" t="e">
        <f>IF(G334="مدير ولائي",0,LOOKUP(D334,'f-travail'!Y:Y,'f-travail'!R:R)*(AF334+AG334))</f>
        <v>#N/A</v>
      </c>
      <c r="AU334" s="673">
        <f t="shared" si="149"/>
        <v>0</v>
      </c>
      <c r="AV334" s="673">
        <f t="shared" si="150"/>
        <v>0</v>
      </c>
      <c r="AW334" s="673">
        <f t="shared" si="151"/>
        <v>0</v>
      </c>
      <c r="AY334" s="640" t="e">
        <f t="shared" si="160"/>
        <v>#N/A</v>
      </c>
      <c r="AZ334" s="673" t="e">
        <f t="shared" si="152"/>
        <v>#N/A</v>
      </c>
      <c r="BA334" s="639" t="e">
        <f t="shared" si="153"/>
        <v>#N/A</v>
      </c>
      <c r="BG334" s="639">
        <f t="shared" si="161"/>
        <v>0</v>
      </c>
      <c r="BH334" s="683">
        <f t="shared" si="162"/>
        <v>0</v>
      </c>
      <c r="BI334" s="683">
        <f t="shared" si="163"/>
        <v>0</v>
      </c>
      <c r="BJ334" s="641" t="e">
        <f t="shared" si="164"/>
        <v>#N/A</v>
      </c>
      <c r="BK334" s="641" t="e">
        <f t="shared" si="165"/>
        <v>#N/A</v>
      </c>
      <c r="BL334" s="641" t="e">
        <f t="shared" si="166"/>
        <v>#N/A</v>
      </c>
      <c r="BM334" s="684" t="e">
        <f t="shared" si="167"/>
        <v>#N/A</v>
      </c>
      <c r="BO334" s="682" t="e">
        <f>CONCATENATE(Z334," ",LOOKUP(D334,'f-travail'!A:A,'f-travail'!F:F))</f>
        <v>#N/A</v>
      </c>
      <c r="BP334" s="669" t="e">
        <f t="shared" si="154"/>
        <v>#N/A</v>
      </c>
    </row>
    <row r="335" spans="1:68">
      <c r="A335" s="636">
        <f t="shared" si="168"/>
        <v>334</v>
      </c>
      <c r="B335" s="637"/>
      <c r="C335" s="637"/>
      <c r="D335" s="652"/>
      <c r="E335" s="679" t="e">
        <f>LOOKUP(D335,'f-travail'!A:A,'f-travail'!B:B)</f>
        <v>#N/A</v>
      </c>
      <c r="F335" s="650"/>
      <c r="G335" s="650"/>
      <c r="H335" s="653"/>
      <c r="I335" s="653"/>
      <c r="J335" s="654"/>
      <c r="K335" s="650"/>
      <c r="L335" s="650"/>
      <c r="M335" s="650">
        <v>0</v>
      </c>
      <c r="N335" s="654"/>
      <c r="O335" s="654"/>
      <c r="P335" s="654"/>
      <c r="Q335" s="654"/>
      <c r="R335" s="676"/>
      <c r="S335" s="654"/>
      <c r="T335" s="675"/>
      <c r="U335" s="675"/>
      <c r="V335" s="670" t="e">
        <f>LOOKUP(D335,'f-travail'!A:A,'f-travail'!E:E)</f>
        <v>#N/A</v>
      </c>
      <c r="W335" s="670" t="e">
        <f>VLOOKUP(V335,جرقمإستدلالي,'f-travail'!$AD$4+1,FALSE)</f>
        <v>#N/A</v>
      </c>
      <c r="X335" s="671" t="e">
        <f t="shared" si="144"/>
        <v>#N/A</v>
      </c>
      <c r="Y335" s="671">
        <f>IF(G335="مدير ولائي",(HLOOKUP(I335,جدروظعليا,'f-travail'!$AT$3+1,FALSE)-3200),0)</f>
        <v>0</v>
      </c>
      <c r="Z335" s="672" t="str">
        <f t="shared" si="155"/>
        <v/>
      </c>
      <c r="AA335" s="671">
        <f t="shared" si="156"/>
        <v>0</v>
      </c>
      <c r="AB335" s="677" t="b">
        <f t="shared" si="145"/>
        <v>0</v>
      </c>
      <c r="AC335" s="678">
        <f t="shared" si="157"/>
        <v>0</v>
      </c>
      <c r="AD335" s="673"/>
      <c r="AE335" s="678">
        <f t="shared" si="146"/>
        <v>0</v>
      </c>
      <c r="AF335" s="678" t="e">
        <f t="shared" si="147"/>
        <v>#N/A</v>
      </c>
      <c r="AG335" s="678" t="e">
        <f t="shared" si="148"/>
        <v>#N/A</v>
      </c>
      <c r="AH335" s="673">
        <f t="shared" si="158"/>
        <v>0</v>
      </c>
      <c r="AI335" s="674" t="e">
        <f>IF(G335="مدير ولائي",(11000*35%),LOOKUP(D335,'f-travail'!A:A,'f-travail'!I:I))</f>
        <v>#N/A</v>
      </c>
      <c r="AJ335" s="673" t="e">
        <f>IF(G335="مدير ولائي",((W335+X335)*45)*80%,IF(V335&lt;8,0,IF(F335="إليزي",(LOOKUP(D335,'f-travail'!A:A,'f-travail'!O:O))*(AF335+AG335),LOOKUP(D335,'f-travail'!A:A,'f-travail'!P:P)*(AF335+AG335))))</f>
        <v>#N/A</v>
      </c>
      <c r="AK335" s="673" t="e">
        <f>IF(G335="مدير ولائي",0,LOOKUP(D335,'f-travail'!A:A,'f-travail'!Q:Q))</f>
        <v>#N/A</v>
      </c>
      <c r="AL335" s="673" t="e">
        <f>IF(G335="مدير ولائي",0,LOOKUP(D335,'f-travail'!A:A,'f-travail'!R:R)*(AF335+AG335))</f>
        <v>#N/A</v>
      </c>
      <c r="AM335" s="673" t="e">
        <f>IF(G335="مدير ولائي",0,LOOKUP(D335,'f-travail'!A:A,'f-travail'!S:S)*(AF335+AG335))</f>
        <v>#N/A</v>
      </c>
      <c r="AN335" s="673" t="e">
        <f>IF(G335="مدير ولائي",0,LOOKUP(D335,'f-travail'!A:A,'f-travail'!T:T)*(AF335+AG335))</f>
        <v>#N/A</v>
      </c>
      <c r="AO335" s="673" t="e">
        <f>IF(G335="مدير ولائي",0,LOOKUP(D335,'f-travail'!A:A,'f-travail'!U:U)*(AF335+AG335))</f>
        <v>#N/A</v>
      </c>
      <c r="AP335" s="673" t="e">
        <f>IF(G335="مدير ولائي",0,LOOKUP(D335,'f-travail'!A:A,'f-travail'!V:V)*(AF335+AG335))</f>
        <v>#N/A</v>
      </c>
      <c r="AQ335" s="673" t="e">
        <f>IF(G335="مدير ولائي",0,LOOKUP(D335,'f-travail'!A:A,'f-travail'!W:W)*(AF335+AG335))</f>
        <v>#N/A</v>
      </c>
      <c r="AR335" s="673">
        <f t="shared" si="159"/>
        <v>0</v>
      </c>
      <c r="AS335" s="673" t="e">
        <f>IF(G335="مدير ولائي",0,LOOKUP(D335,'f-travail'!A:A,'f-travail'!X:X)*(AF335+AG335))</f>
        <v>#N/A</v>
      </c>
      <c r="AT335" s="673" t="e">
        <f>IF(G335="مدير ولائي",0,LOOKUP(D335,'f-travail'!Y:Y,'f-travail'!R:R)*(AF335+AG335))</f>
        <v>#N/A</v>
      </c>
      <c r="AU335" s="673">
        <f t="shared" si="149"/>
        <v>0</v>
      </c>
      <c r="AV335" s="673">
        <f t="shared" si="150"/>
        <v>0</v>
      </c>
      <c r="AW335" s="673">
        <f t="shared" si="151"/>
        <v>0</v>
      </c>
      <c r="AY335" s="640" t="e">
        <f t="shared" si="160"/>
        <v>#N/A</v>
      </c>
      <c r="AZ335" s="673" t="e">
        <f t="shared" si="152"/>
        <v>#N/A</v>
      </c>
      <c r="BA335" s="639" t="e">
        <f t="shared" si="153"/>
        <v>#N/A</v>
      </c>
      <c r="BG335" s="639">
        <f t="shared" si="161"/>
        <v>0</v>
      </c>
      <c r="BH335" s="683">
        <f t="shared" si="162"/>
        <v>0</v>
      </c>
      <c r="BI335" s="683">
        <f t="shared" si="163"/>
        <v>0</v>
      </c>
      <c r="BJ335" s="641" t="e">
        <f t="shared" si="164"/>
        <v>#N/A</v>
      </c>
      <c r="BK335" s="641" t="e">
        <f t="shared" si="165"/>
        <v>#N/A</v>
      </c>
      <c r="BL335" s="641" t="e">
        <f t="shared" si="166"/>
        <v>#N/A</v>
      </c>
      <c r="BM335" s="684" t="e">
        <f t="shared" si="167"/>
        <v>#N/A</v>
      </c>
      <c r="BO335" s="682" t="e">
        <f>CONCATENATE(Z335," ",LOOKUP(D335,'f-travail'!A:A,'f-travail'!F:F))</f>
        <v>#N/A</v>
      </c>
      <c r="BP335" s="669" t="e">
        <f t="shared" si="154"/>
        <v>#N/A</v>
      </c>
    </row>
    <row r="336" spans="1:68">
      <c r="A336" s="636">
        <f t="shared" si="168"/>
        <v>335</v>
      </c>
      <c r="B336" s="637"/>
      <c r="C336" s="637"/>
      <c r="D336" s="652"/>
      <c r="E336" s="679" t="e">
        <f>LOOKUP(D336,'f-travail'!A:A,'f-travail'!B:B)</f>
        <v>#N/A</v>
      </c>
      <c r="F336" s="650"/>
      <c r="G336" s="650"/>
      <c r="H336" s="653"/>
      <c r="I336" s="653"/>
      <c r="J336" s="654"/>
      <c r="K336" s="650"/>
      <c r="L336" s="650"/>
      <c r="M336" s="650">
        <v>0</v>
      </c>
      <c r="N336" s="654"/>
      <c r="O336" s="654"/>
      <c r="P336" s="654"/>
      <c r="Q336" s="654"/>
      <c r="R336" s="676"/>
      <c r="S336" s="654"/>
      <c r="T336" s="675"/>
      <c r="U336" s="675"/>
      <c r="V336" s="670" t="e">
        <f>LOOKUP(D336,'f-travail'!A:A,'f-travail'!E:E)</f>
        <v>#N/A</v>
      </c>
      <c r="W336" s="670" t="e">
        <f>VLOOKUP(V336,جرقمإستدلالي,'f-travail'!$AD$4+1,FALSE)</f>
        <v>#N/A</v>
      </c>
      <c r="X336" s="671" t="e">
        <f t="shared" si="144"/>
        <v>#N/A</v>
      </c>
      <c r="Y336" s="671">
        <f>IF(G336="مدير ولائي",(HLOOKUP(I336,جدروظعليا,'f-travail'!$AT$3+1,FALSE)-3200),0)</f>
        <v>0</v>
      </c>
      <c r="Z336" s="672" t="str">
        <f t="shared" si="155"/>
        <v/>
      </c>
      <c r="AA336" s="671">
        <f t="shared" si="156"/>
        <v>0</v>
      </c>
      <c r="AB336" s="677" t="b">
        <f t="shared" si="145"/>
        <v>0</v>
      </c>
      <c r="AC336" s="678">
        <f t="shared" si="157"/>
        <v>0</v>
      </c>
      <c r="AD336" s="673"/>
      <c r="AE336" s="678">
        <f t="shared" si="146"/>
        <v>0</v>
      </c>
      <c r="AF336" s="678" t="e">
        <f t="shared" si="147"/>
        <v>#N/A</v>
      </c>
      <c r="AG336" s="678" t="e">
        <f t="shared" si="148"/>
        <v>#N/A</v>
      </c>
      <c r="AH336" s="673">
        <f t="shared" si="158"/>
        <v>0</v>
      </c>
      <c r="AI336" s="674" t="e">
        <f>IF(G336="مدير ولائي",(11000*35%),LOOKUP(D336,'f-travail'!A:A,'f-travail'!I:I))</f>
        <v>#N/A</v>
      </c>
      <c r="AJ336" s="673" t="e">
        <f>IF(G336="مدير ولائي",((W336+X336)*45)*80%,IF(V336&lt;8,0,IF(F336="إليزي",(LOOKUP(D336,'f-travail'!A:A,'f-travail'!O:O))*(AF336+AG336),LOOKUP(D336,'f-travail'!A:A,'f-travail'!P:P)*(AF336+AG336))))</f>
        <v>#N/A</v>
      </c>
      <c r="AK336" s="673" t="e">
        <f>IF(G336="مدير ولائي",0,LOOKUP(D336,'f-travail'!A:A,'f-travail'!Q:Q))</f>
        <v>#N/A</v>
      </c>
      <c r="AL336" s="673" t="e">
        <f>IF(G336="مدير ولائي",0,LOOKUP(D336,'f-travail'!A:A,'f-travail'!R:R)*(AF336+AG336))</f>
        <v>#N/A</v>
      </c>
      <c r="AM336" s="673" t="e">
        <f>IF(G336="مدير ولائي",0,LOOKUP(D336,'f-travail'!A:A,'f-travail'!S:S)*(AF336+AG336))</f>
        <v>#N/A</v>
      </c>
      <c r="AN336" s="673" t="e">
        <f>IF(G336="مدير ولائي",0,LOOKUP(D336,'f-travail'!A:A,'f-travail'!T:T)*(AF336+AG336))</f>
        <v>#N/A</v>
      </c>
      <c r="AO336" s="673" t="e">
        <f>IF(G336="مدير ولائي",0,LOOKUP(D336,'f-travail'!A:A,'f-travail'!U:U)*(AF336+AG336))</f>
        <v>#N/A</v>
      </c>
      <c r="AP336" s="673" t="e">
        <f>IF(G336="مدير ولائي",0,LOOKUP(D336,'f-travail'!A:A,'f-travail'!V:V)*(AF336+AG336))</f>
        <v>#N/A</v>
      </c>
      <c r="AQ336" s="673" t="e">
        <f>IF(G336="مدير ولائي",0,LOOKUP(D336,'f-travail'!A:A,'f-travail'!W:W)*(AF336+AG336))</f>
        <v>#N/A</v>
      </c>
      <c r="AR336" s="673">
        <f t="shared" si="159"/>
        <v>0</v>
      </c>
      <c r="AS336" s="673" t="e">
        <f>IF(G336="مدير ولائي",0,LOOKUP(D336,'f-travail'!A:A,'f-travail'!X:X)*(AF336+AG336))</f>
        <v>#N/A</v>
      </c>
      <c r="AT336" s="673" t="e">
        <f>IF(G336="مدير ولائي",0,LOOKUP(D336,'f-travail'!Y:Y,'f-travail'!R:R)*(AF336+AG336))</f>
        <v>#N/A</v>
      </c>
      <c r="AU336" s="673">
        <f t="shared" si="149"/>
        <v>0</v>
      </c>
      <c r="AV336" s="673">
        <f t="shared" si="150"/>
        <v>0</v>
      </c>
      <c r="AW336" s="673">
        <f t="shared" si="151"/>
        <v>0</v>
      </c>
      <c r="AY336" s="640" t="e">
        <f t="shared" si="160"/>
        <v>#N/A</v>
      </c>
      <c r="AZ336" s="673" t="e">
        <f t="shared" si="152"/>
        <v>#N/A</v>
      </c>
      <c r="BA336" s="639" t="e">
        <f t="shared" si="153"/>
        <v>#N/A</v>
      </c>
      <c r="BG336" s="639">
        <f t="shared" si="161"/>
        <v>0</v>
      </c>
      <c r="BH336" s="683">
        <f t="shared" si="162"/>
        <v>0</v>
      </c>
      <c r="BI336" s="683">
        <f t="shared" si="163"/>
        <v>0</v>
      </c>
      <c r="BJ336" s="641" t="e">
        <f t="shared" si="164"/>
        <v>#N/A</v>
      </c>
      <c r="BK336" s="641" t="e">
        <f t="shared" si="165"/>
        <v>#N/A</v>
      </c>
      <c r="BL336" s="641" t="e">
        <f t="shared" si="166"/>
        <v>#N/A</v>
      </c>
      <c r="BM336" s="684" t="e">
        <f t="shared" si="167"/>
        <v>#N/A</v>
      </c>
      <c r="BO336" s="682" t="e">
        <f>CONCATENATE(Z336," ",LOOKUP(D336,'f-travail'!A:A,'f-travail'!F:F))</f>
        <v>#N/A</v>
      </c>
      <c r="BP336" s="669" t="e">
        <f t="shared" si="154"/>
        <v>#N/A</v>
      </c>
    </row>
    <row r="337" spans="1:68">
      <c r="A337" s="636">
        <f t="shared" si="168"/>
        <v>336</v>
      </c>
      <c r="B337" s="637"/>
      <c r="C337" s="637"/>
      <c r="D337" s="652"/>
      <c r="E337" s="679" t="e">
        <f>LOOKUP(D337,'f-travail'!A:A,'f-travail'!B:B)</f>
        <v>#N/A</v>
      </c>
      <c r="F337" s="650"/>
      <c r="G337" s="650"/>
      <c r="H337" s="653"/>
      <c r="I337" s="653"/>
      <c r="J337" s="654"/>
      <c r="K337" s="650"/>
      <c r="L337" s="650"/>
      <c r="M337" s="650">
        <v>0</v>
      </c>
      <c r="N337" s="654"/>
      <c r="O337" s="654"/>
      <c r="P337" s="654"/>
      <c r="Q337" s="654"/>
      <c r="R337" s="676"/>
      <c r="S337" s="654"/>
      <c r="T337" s="675"/>
      <c r="U337" s="675"/>
      <c r="V337" s="670" t="e">
        <f>LOOKUP(D337,'f-travail'!A:A,'f-travail'!E:E)</f>
        <v>#N/A</v>
      </c>
      <c r="W337" s="670" t="e">
        <f>VLOOKUP(V337,جرقمإستدلالي,'f-travail'!$AD$4+1,FALSE)</f>
        <v>#N/A</v>
      </c>
      <c r="X337" s="671" t="e">
        <f t="shared" si="144"/>
        <v>#N/A</v>
      </c>
      <c r="Y337" s="671">
        <f>IF(G337="مدير ولائي",(HLOOKUP(I337,جدروظعليا,'f-travail'!$AT$3+1,FALSE)-3200),0)</f>
        <v>0</v>
      </c>
      <c r="Z337" s="672" t="str">
        <f t="shared" si="155"/>
        <v/>
      </c>
      <c r="AA337" s="671">
        <f t="shared" si="156"/>
        <v>0</v>
      </c>
      <c r="AB337" s="677" t="b">
        <f t="shared" si="145"/>
        <v>0</v>
      </c>
      <c r="AC337" s="678">
        <f t="shared" si="157"/>
        <v>0</v>
      </c>
      <c r="AD337" s="673"/>
      <c r="AE337" s="678">
        <f t="shared" si="146"/>
        <v>0</v>
      </c>
      <c r="AF337" s="678" t="e">
        <f t="shared" si="147"/>
        <v>#N/A</v>
      </c>
      <c r="AG337" s="678" t="e">
        <f t="shared" si="148"/>
        <v>#N/A</v>
      </c>
      <c r="AH337" s="673">
        <f t="shared" si="158"/>
        <v>0</v>
      </c>
      <c r="AI337" s="674" t="e">
        <f>IF(G337="مدير ولائي",(11000*35%),LOOKUP(D337,'f-travail'!A:A,'f-travail'!I:I))</f>
        <v>#N/A</v>
      </c>
      <c r="AJ337" s="673" t="e">
        <f>IF(G337="مدير ولائي",((W337+X337)*45)*80%,IF(V337&lt;8,0,IF(F337="إليزي",(LOOKUP(D337,'f-travail'!A:A,'f-travail'!O:O))*(AF337+AG337),LOOKUP(D337,'f-travail'!A:A,'f-travail'!P:P)*(AF337+AG337))))</f>
        <v>#N/A</v>
      </c>
      <c r="AK337" s="673" t="e">
        <f>IF(G337="مدير ولائي",0,LOOKUP(D337,'f-travail'!A:A,'f-travail'!Q:Q))</f>
        <v>#N/A</v>
      </c>
      <c r="AL337" s="673" t="e">
        <f>IF(G337="مدير ولائي",0,LOOKUP(D337,'f-travail'!A:A,'f-travail'!R:R)*(AF337+AG337))</f>
        <v>#N/A</v>
      </c>
      <c r="AM337" s="673" t="e">
        <f>IF(G337="مدير ولائي",0,LOOKUP(D337,'f-travail'!A:A,'f-travail'!S:S)*(AF337+AG337))</f>
        <v>#N/A</v>
      </c>
      <c r="AN337" s="673" t="e">
        <f>IF(G337="مدير ولائي",0,LOOKUP(D337,'f-travail'!A:A,'f-travail'!T:T)*(AF337+AG337))</f>
        <v>#N/A</v>
      </c>
      <c r="AO337" s="673" t="e">
        <f>IF(G337="مدير ولائي",0,LOOKUP(D337,'f-travail'!A:A,'f-travail'!U:U)*(AF337+AG337))</f>
        <v>#N/A</v>
      </c>
      <c r="AP337" s="673" t="e">
        <f>IF(G337="مدير ولائي",0,LOOKUP(D337,'f-travail'!A:A,'f-travail'!V:V)*(AF337+AG337))</f>
        <v>#N/A</v>
      </c>
      <c r="AQ337" s="673" t="e">
        <f>IF(G337="مدير ولائي",0,LOOKUP(D337,'f-travail'!A:A,'f-travail'!W:W)*(AF337+AG337))</f>
        <v>#N/A</v>
      </c>
      <c r="AR337" s="673">
        <f t="shared" si="159"/>
        <v>0</v>
      </c>
      <c r="AS337" s="673" t="e">
        <f>IF(G337="مدير ولائي",0,LOOKUP(D337,'f-travail'!A:A,'f-travail'!X:X)*(AF337+AG337))</f>
        <v>#N/A</v>
      </c>
      <c r="AT337" s="673" t="e">
        <f>IF(G337="مدير ولائي",0,LOOKUP(D337,'f-travail'!Y:Y,'f-travail'!R:R)*(AF337+AG337))</f>
        <v>#N/A</v>
      </c>
      <c r="AU337" s="673">
        <f t="shared" si="149"/>
        <v>0</v>
      </c>
      <c r="AV337" s="673">
        <f t="shared" si="150"/>
        <v>0</v>
      </c>
      <c r="AW337" s="673">
        <f t="shared" si="151"/>
        <v>0</v>
      </c>
      <c r="AY337" s="640" t="e">
        <f t="shared" si="160"/>
        <v>#N/A</v>
      </c>
      <c r="AZ337" s="673" t="e">
        <f t="shared" si="152"/>
        <v>#N/A</v>
      </c>
      <c r="BA337" s="639" t="e">
        <f t="shared" si="153"/>
        <v>#N/A</v>
      </c>
      <c r="BG337" s="639">
        <f t="shared" si="161"/>
        <v>0</v>
      </c>
      <c r="BH337" s="683">
        <f t="shared" si="162"/>
        <v>0</v>
      </c>
      <c r="BI337" s="683">
        <f t="shared" si="163"/>
        <v>0</v>
      </c>
      <c r="BJ337" s="641" t="e">
        <f t="shared" si="164"/>
        <v>#N/A</v>
      </c>
      <c r="BK337" s="641" t="e">
        <f t="shared" si="165"/>
        <v>#N/A</v>
      </c>
      <c r="BL337" s="641" t="e">
        <f t="shared" si="166"/>
        <v>#N/A</v>
      </c>
      <c r="BM337" s="684" t="e">
        <f t="shared" si="167"/>
        <v>#N/A</v>
      </c>
      <c r="BO337" s="682" t="e">
        <f>CONCATENATE(Z337," ",LOOKUP(D337,'f-travail'!A:A,'f-travail'!F:F))</f>
        <v>#N/A</v>
      </c>
      <c r="BP337" s="669" t="e">
        <f t="shared" si="154"/>
        <v>#N/A</v>
      </c>
    </row>
    <row r="338" spans="1:68">
      <c r="A338" s="636">
        <f t="shared" si="168"/>
        <v>337</v>
      </c>
      <c r="B338" s="637"/>
      <c r="C338" s="637"/>
      <c r="D338" s="652"/>
      <c r="E338" s="679" t="e">
        <f>LOOKUP(D338,'f-travail'!A:A,'f-travail'!B:B)</f>
        <v>#N/A</v>
      </c>
      <c r="F338" s="650"/>
      <c r="G338" s="650"/>
      <c r="H338" s="653"/>
      <c r="I338" s="653"/>
      <c r="J338" s="654"/>
      <c r="K338" s="650"/>
      <c r="L338" s="650"/>
      <c r="M338" s="650">
        <v>0</v>
      </c>
      <c r="N338" s="654"/>
      <c r="O338" s="654"/>
      <c r="P338" s="654"/>
      <c r="Q338" s="654"/>
      <c r="R338" s="676"/>
      <c r="S338" s="654"/>
      <c r="T338" s="675"/>
      <c r="U338" s="675"/>
      <c r="V338" s="670" t="e">
        <f>LOOKUP(D338,'f-travail'!A:A,'f-travail'!E:E)</f>
        <v>#N/A</v>
      </c>
      <c r="W338" s="670" t="e">
        <f>VLOOKUP(V338,جرقمإستدلالي,'f-travail'!$AD$4+1,FALSE)</f>
        <v>#N/A</v>
      </c>
      <c r="X338" s="671" t="e">
        <f t="shared" si="144"/>
        <v>#N/A</v>
      </c>
      <c r="Y338" s="671">
        <f>IF(G338="مدير ولائي",(HLOOKUP(I338,جدروظعليا,'f-travail'!$AT$3+1,FALSE)-3200),0)</f>
        <v>0</v>
      </c>
      <c r="Z338" s="672" t="str">
        <f t="shared" si="155"/>
        <v/>
      </c>
      <c r="AA338" s="671">
        <f t="shared" si="156"/>
        <v>0</v>
      </c>
      <c r="AB338" s="677" t="b">
        <f t="shared" si="145"/>
        <v>0</v>
      </c>
      <c r="AC338" s="678">
        <f t="shared" si="157"/>
        <v>0</v>
      </c>
      <c r="AD338" s="673"/>
      <c r="AE338" s="678">
        <f t="shared" si="146"/>
        <v>0</v>
      </c>
      <c r="AF338" s="678" t="e">
        <f t="shared" si="147"/>
        <v>#N/A</v>
      </c>
      <c r="AG338" s="678" t="e">
        <f t="shared" si="148"/>
        <v>#N/A</v>
      </c>
      <c r="AH338" s="673">
        <f t="shared" si="158"/>
        <v>0</v>
      </c>
      <c r="AI338" s="674" t="e">
        <f>IF(G338="مدير ولائي",(11000*35%),LOOKUP(D338,'f-travail'!A:A,'f-travail'!I:I))</f>
        <v>#N/A</v>
      </c>
      <c r="AJ338" s="673" t="e">
        <f>IF(G338="مدير ولائي",((W338+X338)*45)*80%,IF(V338&lt;8,0,IF(F338="إليزي",(LOOKUP(D338,'f-travail'!A:A,'f-travail'!O:O))*(AF338+AG338),LOOKUP(D338,'f-travail'!A:A,'f-travail'!P:P)*(AF338+AG338))))</f>
        <v>#N/A</v>
      </c>
      <c r="AK338" s="673" t="e">
        <f>IF(G338="مدير ولائي",0,LOOKUP(D338,'f-travail'!A:A,'f-travail'!Q:Q))</f>
        <v>#N/A</v>
      </c>
      <c r="AL338" s="673" t="e">
        <f>IF(G338="مدير ولائي",0,LOOKUP(D338,'f-travail'!A:A,'f-travail'!R:R)*(AF338+AG338))</f>
        <v>#N/A</v>
      </c>
      <c r="AM338" s="673" t="e">
        <f>IF(G338="مدير ولائي",0,LOOKUP(D338,'f-travail'!A:A,'f-travail'!S:S)*(AF338+AG338))</f>
        <v>#N/A</v>
      </c>
      <c r="AN338" s="673" t="e">
        <f>IF(G338="مدير ولائي",0,LOOKUP(D338,'f-travail'!A:A,'f-travail'!T:T)*(AF338+AG338))</f>
        <v>#N/A</v>
      </c>
      <c r="AO338" s="673" t="e">
        <f>IF(G338="مدير ولائي",0,LOOKUP(D338,'f-travail'!A:A,'f-travail'!U:U)*(AF338+AG338))</f>
        <v>#N/A</v>
      </c>
      <c r="AP338" s="673" t="e">
        <f>IF(G338="مدير ولائي",0,LOOKUP(D338,'f-travail'!A:A,'f-travail'!V:V)*(AF338+AG338))</f>
        <v>#N/A</v>
      </c>
      <c r="AQ338" s="673" t="e">
        <f>IF(G338="مدير ولائي",0,LOOKUP(D338,'f-travail'!A:A,'f-travail'!W:W)*(AF338+AG338))</f>
        <v>#N/A</v>
      </c>
      <c r="AR338" s="673">
        <f t="shared" si="159"/>
        <v>0</v>
      </c>
      <c r="AS338" s="673" t="e">
        <f>IF(G338="مدير ولائي",0,LOOKUP(D338,'f-travail'!A:A,'f-travail'!X:X)*(AF338+AG338))</f>
        <v>#N/A</v>
      </c>
      <c r="AT338" s="673" t="e">
        <f>IF(G338="مدير ولائي",0,LOOKUP(D338,'f-travail'!Y:Y,'f-travail'!R:R)*(AF338+AG338))</f>
        <v>#N/A</v>
      </c>
      <c r="AU338" s="673">
        <f t="shared" si="149"/>
        <v>0</v>
      </c>
      <c r="AV338" s="673">
        <f t="shared" si="150"/>
        <v>0</v>
      </c>
      <c r="AW338" s="673">
        <f t="shared" si="151"/>
        <v>0</v>
      </c>
      <c r="AY338" s="640" t="e">
        <f t="shared" si="160"/>
        <v>#N/A</v>
      </c>
      <c r="AZ338" s="673" t="e">
        <f t="shared" si="152"/>
        <v>#N/A</v>
      </c>
      <c r="BA338" s="639" t="e">
        <f t="shared" si="153"/>
        <v>#N/A</v>
      </c>
      <c r="BG338" s="639">
        <f t="shared" si="161"/>
        <v>0</v>
      </c>
      <c r="BH338" s="683">
        <f t="shared" si="162"/>
        <v>0</v>
      </c>
      <c r="BI338" s="683">
        <f t="shared" si="163"/>
        <v>0</v>
      </c>
      <c r="BJ338" s="641" t="e">
        <f t="shared" si="164"/>
        <v>#N/A</v>
      </c>
      <c r="BK338" s="641" t="e">
        <f t="shared" si="165"/>
        <v>#N/A</v>
      </c>
      <c r="BL338" s="641" t="e">
        <f t="shared" si="166"/>
        <v>#N/A</v>
      </c>
      <c r="BM338" s="684" t="e">
        <f t="shared" si="167"/>
        <v>#N/A</v>
      </c>
      <c r="BO338" s="682" t="e">
        <f>CONCATENATE(Z338," ",LOOKUP(D338,'f-travail'!A:A,'f-travail'!F:F))</f>
        <v>#N/A</v>
      </c>
      <c r="BP338" s="669" t="e">
        <f t="shared" si="154"/>
        <v>#N/A</v>
      </c>
    </row>
    <row r="339" spans="1:68">
      <c r="A339" s="636">
        <f t="shared" si="168"/>
        <v>338</v>
      </c>
      <c r="B339" s="637"/>
      <c r="C339" s="637"/>
      <c r="D339" s="652"/>
      <c r="E339" s="679" t="e">
        <f>LOOKUP(D339,'f-travail'!A:A,'f-travail'!B:B)</f>
        <v>#N/A</v>
      </c>
      <c r="F339" s="650"/>
      <c r="G339" s="650"/>
      <c r="H339" s="653"/>
      <c r="I339" s="653"/>
      <c r="J339" s="654"/>
      <c r="K339" s="650"/>
      <c r="L339" s="650"/>
      <c r="M339" s="650">
        <v>0</v>
      </c>
      <c r="N339" s="654"/>
      <c r="O339" s="654"/>
      <c r="P339" s="654"/>
      <c r="Q339" s="654"/>
      <c r="R339" s="676"/>
      <c r="S339" s="654"/>
      <c r="T339" s="675"/>
      <c r="U339" s="675"/>
      <c r="V339" s="670" t="e">
        <f>LOOKUP(D339,'f-travail'!A:A,'f-travail'!E:E)</f>
        <v>#N/A</v>
      </c>
      <c r="W339" s="670" t="e">
        <f>VLOOKUP(V339,جرقمإستدلالي,'f-travail'!$AD$4+1,FALSE)</f>
        <v>#N/A</v>
      </c>
      <c r="X339" s="671" t="e">
        <f t="shared" si="144"/>
        <v>#N/A</v>
      </c>
      <c r="Y339" s="671">
        <f>IF(G339="مدير ولائي",(HLOOKUP(I339,جدروظعليا,'f-travail'!$AT$3+1,FALSE)-3200),0)</f>
        <v>0</v>
      </c>
      <c r="Z339" s="672" t="str">
        <f t="shared" si="155"/>
        <v/>
      </c>
      <c r="AA339" s="671">
        <f t="shared" si="156"/>
        <v>0</v>
      </c>
      <c r="AB339" s="677" t="b">
        <f t="shared" si="145"/>
        <v>0</v>
      </c>
      <c r="AC339" s="678">
        <f t="shared" si="157"/>
        <v>0</v>
      </c>
      <c r="AD339" s="673"/>
      <c r="AE339" s="678">
        <f t="shared" si="146"/>
        <v>0</v>
      </c>
      <c r="AF339" s="678" t="e">
        <f t="shared" si="147"/>
        <v>#N/A</v>
      </c>
      <c r="AG339" s="678" t="e">
        <f t="shared" si="148"/>
        <v>#N/A</v>
      </c>
      <c r="AH339" s="673">
        <f t="shared" si="158"/>
        <v>0</v>
      </c>
      <c r="AI339" s="674" t="e">
        <f>IF(G339="مدير ولائي",(11000*35%),LOOKUP(D339,'f-travail'!A:A,'f-travail'!I:I))</f>
        <v>#N/A</v>
      </c>
      <c r="AJ339" s="673" t="e">
        <f>IF(G339="مدير ولائي",((W339+X339)*45)*80%,IF(V339&lt;8,0,IF(F339="إليزي",(LOOKUP(D339,'f-travail'!A:A,'f-travail'!O:O))*(AF339+AG339),LOOKUP(D339,'f-travail'!A:A,'f-travail'!P:P)*(AF339+AG339))))</f>
        <v>#N/A</v>
      </c>
      <c r="AK339" s="673" t="e">
        <f>IF(G339="مدير ولائي",0,LOOKUP(D339,'f-travail'!A:A,'f-travail'!Q:Q))</f>
        <v>#N/A</v>
      </c>
      <c r="AL339" s="673" t="e">
        <f>IF(G339="مدير ولائي",0,LOOKUP(D339,'f-travail'!A:A,'f-travail'!R:R)*(AF339+AG339))</f>
        <v>#N/A</v>
      </c>
      <c r="AM339" s="673" t="e">
        <f>IF(G339="مدير ولائي",0,LOOKUP(D339,'f-travail'!A:A,'f-travail'!S:S)*(AF339+AG339))</f>
        <v>#N/A</v>
      </c>
      <c r="AN339" s="673" t="e">
        <f>IF(G339="مدير ولائي",0,LOOKUP(D339,'f-travail'!A:A,'f-travail'!T:T)*(AF339+AG339))</f>
        <v>#N/A</v>
      </c>
      <c r="AO339" s="673" t="e">
        <f>IF(G339="مدير ولائي",0,LOOKUP(D339,'f-travail'!A:A,'f-travail'!U:U)*(AF339+AG339))</f>
        <v>#N/A</v>
      </c>
      <c r="AP339" s="673" t="e">
        <f>IF(G339="مدير ولائي",0,LOOKUP(D339,'f-travail'!A:A,'f-travail'!V:V)*(AF339+AG339))</f>
        <v>#N/A</v>
      </c>
      <c r="AQ339" s="673" t="e">
        <f>IF(G339="مدير ولائي",0,LOOKUP(D339,'f-travail'!A:A,'f-travail'!W:W)*(AF339+AG339))</f>
        <v>#N/A</v>
      </c>
      <c r="AR339" s="673">
        <f t="shared" si="159"/>
        <v>0</v>
      </c>
      <c r="AS339" s="673" t="e">
        <f>IF(G339="مدير ولائي",0,LOOKUP(D339,'f-travail'!A:A,'f-travail'!X:X)*(AF339+AG339))</f>
        <v>#N/A</v>
      </c>
      <c r="AT339" s="673" t="e">
        <f>IF(G339="مدير ولائي",0,LOOKUP(D339,'f-travail'!Y:Y,'f-travail'!R:R)*(AF339+AG339))</f>
        <v>#N/A</v>
      </c>
      <c r="AU339" s="673">
        <f t="shared" si="149"/>
        <v>0</v>
      </c>
      <c r="AV339" s="673">
        <f t="shared" si="150"/>
        <v>0</v>
      </c>
      <c r="AW339" s="673">
        <f t="shared" si="151"/>
        <v>0</v>
      </c>
      <c r="AY339" s="640" t="e">
        <f t="shared" si="160"/>
        <v>#N/A</v>
      </c>
      <c r="AZ339" s="673" t="e">
        <f t="shared" si="152"/>
        <v>#N/A</v>
      </c>
      <c r="BA339" s="639" t="e">
        <f t="shared" si="153"/>
        <v>#N/A</v>
      </c>
      <c r="BG339" s="639">
        <f t="shared" si="161"/>
        <v>0</v>
      </c>
      <c r="BH339" s="683">
        <f t="shared" si="162"/>
        <v>0</v>
      </c>
      <c r="BI339" s="683">
        <f t="shared" si="163"/>
        <v>0</v>
      </c>
      <c r="BJ339" s="641" t="e">
        <f t="shared" si="164"/>
        <v>#N/A</v>
      </c>
      <c r="BK339" s="641" t="e">
        <f t="shared" si="165"/>
        <v>#N/A</v>
      </c>
      <c r="BL339" s="641" t="e">
        <f t="shared" si="166"/>
        <v>#N/A</v>
      </c>
      <c r="BM339" s="684" t="e">
        <f t="shared" si="167"/>
        <v>#N/A</v>
      </c>
      <c r="BO339" s="682" t="e">
        <f>CONCATENATE(Z339," ",LOOKUP(D339,'f-travail'!A:A,'f-travail'!F:F))</f>
        <v>#N/A</v>
      </c>
      <c r="BP339" s="669" t="e">
        <f t="shared" si="154"/>
        <v>#N/A</v>
      </c>
    </row>
    <row r="340" spans="1:68">
      <c r="A340" s="636">
        <f t="shared" si="168"/>
        <v>339</v>
      </c>
      <c r="B340" s="637"/>
      <c r="C340" s="637"/>
      <c r="D340" s="652"/>
      <c r="E340" s="679" t="e">
        <f>LOOKUP(D340,'f-travail'!A:A,'f-travail'!B:B)</f>
        <v>#N/A</v>
      </c>
      <c r="F340" s="650"/>
      <c r="G340" s="650"/>
      <c r="H340" s="653"/>
      <c r="I340" s="653"/>
      <c r="J340" s="654"/>
      <c r="K340" s="650"/>
      <c r="L340" s="650"/>
      <c r="M340" s="650">
        <v>0</v>
      </c>
      <c r="N340" s="654"/>
      <c r="O340" s="654"/>
      <c r="P340" s="654"/>
      <c r="Q340" s="654"/>
      <c r="R340" s="676"/>
      <c r="S340" s="654"/>
      <c r="T340" s="675"/>
      <c r="U340" s="675"/>
      <c r="V340" s="670" t="e">
        <f>LOOKUP(D340,'f-travail'!A:A,'f-travail'!E:E)</f>
        <v>#N/A</v>
      </c>
      <c r="W340" s="670" t="e">
        <f>VLOOKUP(V340,جرقمإستدلالي,'f-travail'!$AD$4+1,FALSE)</f>
        <v>#N/A</v>
      </c>
      <c r="X340" s="671" t="e">
        <f t="shared" si="144"/>
        <v>#N/A</v>
      </c>
      <c r="Y340" s="671">
        <f>IF(G340="مدير ولائي",(HLOOKUP(I340,جدروظعليا,'f-travail'!$AT$3+1,FALSE)-3200),0)</f>
        <v>0</v>
      </c>
      <c r="Z340" s="672" t="str">
        <f t="shared" si="155"/>
        <v/>
      </c>
      <c r="AA340" s="671">
        <f t="shared" si="156"/>
        <v>0</v>
      </c>
      <c r="AB340" s="677" t="b">
        <f t="shared" si="145"/>
        <v>0</v>
      </c>
      <c r="AC340" s="678">
        <f t="shared" si="157"/>
        <v>0</v>
      </c>
      <c r="AD340" s="673"/>
      <c r="AE340" s="678">
        <f t="shared" si="146"/>
        <v>0</v>
      </c>
      <c r="AF340" s="678" t="e">
        <f t="shared" si="147"/>
        <v>#N/A</v>
      </c>
      <c r="AG340" s="678" t="e">
        <f t="shared" si="148"/>
        <v>#N/A</v>
      </c>
      <c r="AH340" s="673">
        <f t="shared" si="158"/>
        <v>0</v>
      </c>
      <c r="AI340" s="674" t="e">
        <f>IF(G340="مدير ولائي",(11000*35%),LOOKUP(D340,'f-travail'!A:A,'f-travail'!I:I))</f>
        <v>#N/A</v>
      </c>
      <c r="AJ340" s="673" t="e">
        <f>IF(G340="مدير ولائي",((W340+X340)*45)*80%,IF(V340&lt;8,0,IF(F340="إليزي",(LOOKUP(D340,'f-travail'!A:A,'f-travail'!O:O))*(AF340+AG340),LOOKUP(D340,'f-travail'!A:A,'f-travail'!P:P)*(AF340+AG340))))</f>
        <v>#N/A</v>
      </c>
      <c r="AK340" s="673" t="e">
        <f>IF(G340="مدير ولائي",0,LOOKUP(D340,'f-travail'!A:A,'f-travail'!Q:Q))</f>
        <v>#N/A</v>
      </c>
      <c r="AL340" s="673" t="e">
        <f>IF(G340="مدير ولائي",0,LOOKUP(D340,'f-travail'!A:A,'f-travail'!R:R)*(AF340+AG340))</f>
        <v>#N/A</v>
      </c>
      <c r="AM340" s="673" t="e">
        <f>IF(G340="مدير ولائي",0,LOOKUP(D340,'f-travail'!A:A,'f-travail'!S:S)*(AF340+AG340))</f>
        <v>#N/A</v>
      </c>
      <c r="AN340" s="673" t="e">
        <f>IF(G340="مدير ولائي",0,LOOKUP(D340,'f-travail'!A:A,'f-travail'!T:T)*(AF340+AG340))</f>
        <v>#N/A</v>
      </c>
      <c r="AO340" s="673" t="e">
        <f>IF(G340="مدير ولائي",0,LOOKUP(D340,'f-travail'!A:A,'f-travail'!U:U)*(AF340+AG340))</f>
        <v>#N/A</v>
      </c>
      <c r="AP340" s="673" t="e">
        <f>IF(G340="مدير ولائي",0,LOOKUP(D340,'f-travail'!A:A,'f-travail'!V:V)*(AF340+AG340))</f>
        <v>#N/A</v>
      </c>
      <c r="AQ340" s="673" t="e">
        <f>IF(G340="مدير ولائي",0,LOOKUP(D340,'f-travail'!A:A,'f-travail'!W:W)*(AF340+AG340))</f>
        <v>#N/A</v>
      </c>
      <c r="AR340" s="673">
        <f t="shared" si="159"/>
        <v>0</v>
      </c>
      <c r="AS340" s="673" t="e">
        <f>IF(G340="مدير ولائي",0,LOOKUP(D340,'f-travail'!A:A,'f-travail'!X:X)*(AF340+AG340))</f>
        <v>#N/A</v>
      </c>
      <c r="AT340" s="673" t="e">
        <f>IF(G340="مدير ولائي",0,LOOKUP(D340,'f-travail'!Y:Y,'f-travail'!R:R)*(AF340+AG340))</f>
        <v>#N/A</v>
      </c>
      <c r="AU340" s="673">
        <f t="shared" si="149"/>
        <v>0</v>
      </c>
      <c r="AV340" s="673">
        <f t="shared" si="150"/>
        <v>0</v>
      </c>
      <c r="AW340" s="673">
        <f t="shared" si="151"/>
        <v>0</v>
      </c>
      <c r="AY340" s="640" t="e">
        <f t="shared" si="160"/>
        <v>#N/A</v>
      </c>
      <c r="AZ340" s="673" t="e">
        <f t="shared" si="152"/>
        <v>#N/A</v>
      </c>
      <c r="BA340" s="639" t="e">
        <f t="shared" si="153"/>
        <v>#N/A</v>
      </c>
      <c r="BG340" s="639">
        <f t="shared" si="161"/>
        <v>0</v>
      </c>
      <c r="BH340" s="683">
        <f t="shared" si="162"/>
        <v>0</v>
      </c>
      <c r="BI340" s="683">
        <f t="shared" si="163"/>
        <v>0</v>
      </c>
      <c r="BJ340" s="641" t="e">
        <f t="shared" si="164"/>
        <v>#N/A</v>
      </c>
      <c r="BK340" s="641" t="e">
        <f t="shared" si="165"/>
        <v>#N/A</v>
      </c>
      <c r="BL340" s="641" t="e">
        <f t="shared" si="166"/>
        <v>#N/A</v>
      </c>
      <c r="BM340" s="684" t="e">
        <f t="shared" si="167"/>
        <v>#N/A</v>
      </c>
      <c r="BO340" s="682" t="e">
        <f>CONCATENATE(Z340," ",LOOKUP(D340,'f-travail'!A:A,'f-travail'!F:F))</f>
        <v>#N/A</v>
      </c>
      <c r="BP340" s="669" t="e">
        <f t="shared" si="154"/>
        <v>#N/A</v>
      </c>
    </row>
    <row r="341" spans="1:68">
      <c r="A341" s="636">
        <f t="shared" si="168"/>
        <v>340</v>
      </c>
      <c r="B341" s="637"/>
      <c r="C341" s="637"/>
      <c r="D341" s="652"/>
      <c r="E341" s="679" t="e">
        <f>LOOKUP(D341,'f-travail'!A:A,'f-travail'!B:B)</f>
        <v>#N/A</v>
      </c>
      <c r="F341" s="650"/>
      <c r="G341" s="650"/>
      <c r="H341" s="653"/>
      <c r="I341" s="653"/>
      <c r="J341" s="654"/>
      <c r="K341" s="650"/>
      <c r="L341" s="650"/>
      <c r="M341" s="650">
        <v>0</v>
      </c>
      <c r="N341" s="654"/>
      <c r="O341" s="654"/>
      <c r="P341" s="654"/>
      <c r="Q341" s="654"/>
      <c r="R341" s="676"/>
      <c r="S341" s="654"/>
      <c r="T341" s="675"/>
      <c r="U341" s="675"/>
      <c r="V341" s="670" t="e">
        <f>LOOKUP(D341,'f-travail'!A:A,'f-travail'!E:E)</f>
        <v>#N/A</v>
      </c>
      <c r="W341" s="670" t="e">
        <f>VLOOKUP(V341,جرقمإستدلالي,'f-travail'!$AD$4+1,FALSE)</f>
        <v>#N/A</v>
      </c>
      <c r="X341" s="671" t="e">
        <f t="shared" si="144"/>
        <v>#N/A</v>
      </c>
      <c r="Y341" s="671">
        <f>IF(G341="مدير ولائي",(HLOOKUP(I341,جدروظعليا,'f-travail'!$AT$3+1,FALSE)-3200),0)</f>
        <v>0</v>
      </c>
      <c r="Z341" s="672" t="str">
        <f t="shared" si="155"/>
        <v/>
      </c>
      <c r="AA341" s="671">
        <f t="shared" si="156"/>
        <v>0</v>
      </c>
      <c r="AB341" s="677" t="b">
        <f t="shared" si="145"/>
        <v>0</v>
      </c>
      <c r="AC341" s="678">
        <f t="shared" si="157"/>
        <v>0</v>
      </c>
      <c r="AD341" s="673"/>
      <c r="AE341" s="678">
        <f t="shared" si="146"/>
        <v>0</v>
      </c>
      <c r="AF341" s="678" t="e">
        <f t="shared" si="147"/>
        <v>#N/A</v>
      </c>
      <c r="AG341" s="678" t="e">
        <f t="shared" si="148"/>
        <v>#N/A</v>
      </c>
      <c r="AH341" s="673">
        <f t="shared" si="158"/>
        <v>0</v>
      </c>
      <c r="AI341" s="674" t="e">
        <f>IF(G341="مدير ولائي",(11000*35%),LOOKUP(D341,'f-travail'!A:A,'f-travail'!I:I))</f>
        <v>#N/A</v>
      </c>
      <c r="AJ341" s="673" t="e">
        <f>IF(G341="مدير ولائي",((W341+X341)*45)*80%,IF(V341&lt;8,0,IF(F341="إليزي",(LOOKUP(D341,'f-travail'!A:A,'f-travail'!O:O))*(AF341+AG341),LOOKUP(D341,'f-travail'!A:A,'f-travail'!P:P)*(AF341+AG341))))</f>
        <v>#N/A</v>
      </c>
      <c r="AK341" s="673" t="e">
        <f>IF(G341="مدير ولائي",0,LOOKUP(D341,'f-travail'!A:A,'f-travail'!Q:Q))</f>
        <v>#N/A</v>
      </c>
      <c r="AL341" s="673" t="e">
        <f>IF(G341="مدير ولائي",0,LOOKUP(D341,'f-travail'!A:A,'f-travail'!R:R)*(AF341+AG341))</f>
        <v>#N/A</v>
      </c>
      <c r="AM341" s="673" t="e">
        <f>IF(G341="مدير ولائي",0,LOOKUP(D341,'f-travail'!A:A,'f-travail'!S:S)*(AF341+AG341))</f>
        <v>#N/A</v>
      </c>
      <c r="AN341" s="673" t="e">
        <f>IF(G341="مدير ولائي",0,LOOKUP(D341,'f-travail'!A:A,'f-travail'!T:T)*(AF341+AG341))</f>
        <v>#N/A</v>
      </c>
      <c r="AO341" s="673" t="e">
        <f>IF(G341="مدير ولائي",0,LOOKUP(D341,'f-travail'!A:A,'f-travail'!U:U)*(AF341+AG341))</f>
        <v>#N/A</v>
      </c>
      <c r="AP341" s="673" t="e">
        <f>IF(G341="مدير ولائي",0,LOOKUP(D341,'f-travail'!A:A,'f-travail'!V:V)*(AF341+AG341))</f>
        <v>#N/A</v>
      </c>
      <c r="AQ341" s="673" t="e">
        <f>IF(G341="مدير ولائي",0,LOOKUP(D341,'f-travail'!A:A,'f-travail'!W:W)*(AF341+AG341))</f>
        <v>#N/A</v>
      </c>
      <c r="AR341" s="673">
        <f t="shared" si="159"/>
        <v>0</v>
      </c>
      <c r="AS341" s="673" t="e">
        <f>IF(G341="مدير ولائي",0,LOOKUP(D341,'f-travail'!A:A,'f-travail'!X:X)*(AF341+AG341))</f>
        <v>#N/A</v>
      </c>
      <c r="AT341" s="673" t="e">
        <f>IF(G341="مدير ولائي",0,LOOKUP(D341,'f-travail'!Y:Y,'f-travail'!R:R)*(AF341+AG341))</f>
        <v>#N/A</v>
      </c>
      <c r="AU341" s="673">
        <f t="shared" si="149"/>
        <v>0</v>
      </c>
      <c r="AV341" s="673">
        <f t="shared" si="150"/>
        <v>0</v>
      </c>
      <c r="AW341" s="673">
        <f t="shared" si="151"/>
        <v>0</v>
      </c>
      <c r="AY341" s="640" t="e">
        <f t="shared" si="160"/>
        <v>#N/A</v>
      </c>
      <c r="AZ341" s="673" t="e">
        <f t="shared" si="152"/>
        <v>#N/A</v>
      </c>
      <c r="BA341" s="639" t="e">
        <f t="shared" si="153"/>
        <v>#N/A</v>
      </c>
      <c r="BG341" s="639">
        <f t="shared" si="161"/>
        <v>0</v>
      </c>
      <c r="BH341" s="683">
        <f t="shared" si="162"/>
        <v>0</v>
      </c>
      <c r="BI341" s="683">
        <f t="shared" si="163"/>
        <v>0</v>
      </c>
      <c r="BJ341" s="641" t="e">
        <f t="shared" si="164"/>
        <v>#N/A</v>
      </c>
      <c r="BK341" s="641" t="e">
        <f t="shared" si="165"/>
        <v>#N/A</v>
      </c>
      <c r="BL341" s="641" t="e">
        <f t="shared" si="166"/>
        <v>#N/A</v>
      </c>
      <c r="BM341" s="684" t="e">
        <f t="shared" si="167"/>
        <v>#N/A</v>
      </c>
      <c r="BO341" s="682" t="e">
        <f>CONCATENATE(Z341," ",LOOKUP(D341,'f-travail'!A:A,'f-travail'!F:F))</f>
        <v>#N/A</v>
      </c>
      <c r="BP341" s="669" t="e">
        <f t="shared" si="154"/>
        <v>#N/A</v>
      </c>
    </row>
    <row r="342" spans="1:68">
      <c r="A342" s="636">
        <f t="shared" si="168"/>
        <v>341</v>
      </c>
      <c r="B342" s="637"/>
      <c r="C342" s="637"/>
      <c r="D342" s="652"/>
      <c r="E342" s="679" t="e">
        <f>LOOKUP(D342,'f-travail'!A:A,'f-travail'!B:B)</f>
        <v>#N/A</v>
      </c>
      <c r="F342" s="650"/>
      <c r="G342" s="650"/>
      <c r="H342" s="653"/>
      <c r="I342" s="653"/>
      <c r="J342" s="654"/>
      <c r="K342" s="650"/>
      <c r="L342" s="650"/>
      <c r="M342" s="650">
        <v>0</v>
      </c>
      <c r="N342" s="654"/>
      <c r="O342" s="654"/>
      <c r="P342" s="654"/>
      <c r="Q342" s="654"/>
      <c r="R342" s="676"/>
      <c r="S342" s="654"/>
      <c r="T342" s="675"/>
      <c r="U342" s="675"/>
      <c r="V342" s="670" t="e">
        <f>LOOKUP(D342,'f-travail'!A:A,'f-travail'!E:E)</f>
        <v>#N/A</v>
      </c>
      <c r="W342" s="670" t="e">
        <f>VLOOKUP(V342,جرقمإستدلالي,'f-travail'!$AD$4+1,FALSE)</f>
        <v>#N/A</v>
      </c>
      <c r="X342" s="671" t="e">
        <f t="shared" si="144"/>
        <v>#N/A</v>
      </c>
      <c r="Y342" s="671">
        <f>IF(G342="مدير ولائي",(HLOOKUP(I342,جدروظعليا,'f-travail'!$AT$3+1,FALSE)-3200),0)</f>
        <v>0</v>
      </c>
      <c r="Z342" s="672" t="str">
        <f t="shared" si="155"/>
        <v/>
      </c>
      <c r="AA342" s="671">
        <f t="shared" si="156"/>
        <v>0</v>
      </c>
      <c r="AB342" s="677" t="b">
        <f t="shared" si="145"/>
        <v>0</v>
      </c>
      <c r="AC342" s="678">
        <f t="shared" si="157"/>
        <v>0</v>
      </c>
      <c r="AD342" s="673"/>
      <c r="AE342" s="678">
        <f t="shared" si="146"/>
        <v>0</v>
      </c>
      <c r="AF342" s="678" t="e">
        <f t="shared" si="147"/>
        <v>#N/A</v>
      </c>
      <c r="AG342" s="678" t="e">
        <f t="shared" si="148"/>
        <v>#N/A</v>
      </c>
      <c r="AH342" s="673">
        <f t="shared" si="158"/>
        <v>0</v>
      </c>
      <c r="AI342" s="674" t="e">
        <f>IF(G342="مدير ولائي",(11000*35%),LOOKUP(D342,'f-travail'!A:A,'f-travail'!I:I))</f>
        <v>#N/A</v>
      </c>
      <c r="AJ342" s="673" t="e">
        <f>IF(G342="مدير ولائي",((W342+X342)*45)*80%,IF(V342&lt;8,0,IF(F342="إليزي",(LOOKUP(D342,'f-travail'!A:A,'f-travail'!O:O))*(AF342+AG342),LOOKUP(D342,'f-travail'!A:A,'f-travail'!P:P)*(AF342+AG342))))</f>
        <v>#N/A</v>
      </c>
      <c r="AK342" s="673" t="e">
        <f>IF(G342="مدير ولائي",0,LOOKUP(D342,'f-travail'!A:A,'f-travail'!Q:Q))</f>
        <v>#N/A</v>
      </c>
      <c r="AL342" s="673" t="e">
        <f>IF(G342="مدير ولائي",0,LOOKUP(D342,'f-travail'!A:A,'f-travail'!R:R)*(AF342+AG342))</f>
        <v>#N/A</v>
      </c>
      <c r="AM342" s="673" t="e">
        <f>IF(G342="مدير ولائي",0,LOOKUP(D342,'f-travail'!A:A,'f-travail'!S:S)*(AF342+AG342))</f>
        <v>#N/A</v>
      </c>
      <c r="AN342" s="673" t="e">
        <f>IF(G342="مدير ولائي",0,LOOKUP(D342,'f-travail'!A:A,'f-travail'!T:T)*(AF342+AG342))</f>
        <v>#N/A</v>
      </c>
      <c r="AO342" s="673" t="e">
        <f>IF(G342="مدير ولائي",0,LOOKUP(D342,'f-travail'!A:A,'f-travail'!U:U)*(AF342+AG342))</f>
        <v>#N/A</v>
      </c>
      <c r="AP342" s="673" t="e">
        <f>IF(G342="مدير ولائي",0,LOOKUP(D342,'f-travail'!A:A,'f-travail'!V:V)*(AF342+AG342))</f>
        <v>#N/A</v>
      </c>
      <c r="AQ342" s="673" t="e">
        <f>IF(G342="مدير ولائي",0,LOOKUP(D342,'f-travail'!A:A,'f-travail'!W:W)*(AF342+AG342))</f>
        <v>#N/A</v>
      </c>
      <c r="AR342" s="673">
        <f t="shared" si="159"/>
        <v>0</v>
      </c>
      <c r="AS342" s="673" t="e">
        <f>IF(G342="مدير ولائي",0,LOOKUP(D342,'f-travail'!A:A,'f-travail'!X:X)*(AF342+AG342))</f>
        <v>#N/A</v>
      </c>
      <c r="AT342" s="673" t="e">
        <f>IF(G342="مدير ولائي",0,LOOKUP(D342,'f-travail'!Y:Y,'f-travail'!R:R)*(AF342+AG342))</f>
        <v>#N/A</v>
      </c>
      <c r="AU342" s="673">
        <f t="shared" si="149"/>
        <v>0</v>
      </c>
      <c r="AV342" s="673">
        <f t="shared" si="150"/>
        <v>0</v>
      </c>
      <c r="AW342" s="673">
        <f t="shared" si="151"/>
        <v>0</v>
      </c>
      <c r="AY342" s="640" t="e">
        <f t="shared" si="160"/>
        <v>#N/A</v>
      </c>
      <c r="AZ342" s="673" t="e">
        <f t="shared" si="152"/>
        <v>#N/A</v>
      </c>
      <c r="BA342" s="639" t="e">
        <f t="shared" si="153"/>
        <v>#N/A</v>
      </c>
      <c r="BG342" s="639">
        <f t="shared" si="161"/>
        <v>0</v>
      </c>
      <c r="BH342" s="683">
        <f t="shared" si="162"/>
        <v>0</v>
      </c>
      <c r="BI342" s="683">
        <f t="shared" si="163"/>
        <v>0</v>
      </c>
      <c r="BJ342" s="641" t="e">
        <f t="shared" si="164"/>
        <v>#N/A</v>
      </c>
      <c r="BK342" s="641" t="e">
        <f t="shared" si="165"/>
        <v>#N/A</v>
      </c>
      <c r="BL342" s="641" t="e">
        <f t="shared" si="166"/>
        <v>#N/A</v>
      </c>
      <c r="BM342" s="684" t="e">
        <f t="shared" si="167"/>
        <v>#N/A</v>
      </c>
      <c r="BO342" s="682" t="e">
        <f>CONCATENATE(Z342," ",LOOKUP(D342,'f-travail'!A:A,'f-travail'!F:F))</f>
        <v>#N/A</v>
      </c>
      <c r="BP342" s="669" t="e">
        <f t="shared" si="154"/>
        <v>#N/A</v>
      </c>
    </row>
    <row r="343" spans="1:68">
      <c r="A343" s="636">
        <f t="shared" si="168"/>
        <v>342</v>
      </c>
      <c r="B343" s="637"/>
      <c r="C343" s="637"/>
      <c r="D343" s="652"/>
      <c r="E343" s="679" t="e">
        <f>LOOKUP(D343,'f-travail'!A:A,'f-travail'!B:B)</f>
        <v>#N/A</v>
      </c>
      <c r="F343" s="650"/>
      <c r="G343" s="650"/>
      <c r="H343" s="653"/>
      <c r="I343" s="653"/>
      <c r="J343" s="654"/>
      <c r="K343" s="650"/>
      <c r="L343" s="650"/>
      <c r="M343" s="650">
        <v>0</v>
      </c>
      <c r="N343" s="654"/>
      <c r="O343" s="654"/>
      <c r="P343" s="654"/>
      <c r="Q343" s="654"/>
      <c r="R343" s="676"/>
      <c r="S343" s="654"/>
      <c r="T343" s="675"/>
      <c r="U343" s="675"/>
      <c r="V343" s="670" t="e">
        <f>LOOKUP(D343,'f-travail'!A:A,'f-travail'!E:E)</f>
        <v>#N/A</v>
      </c>
      <c r="W343" s="670" t="e">
        <f>VLOOKUP(V343,جرقمإستدلالي,'f-travail'!$AD$4+1,FALSE)</f>
        <v>#N/A</v>
      </c>
      <c r="X343" s="671" t="e">
        <f t="shared" si="144"/>
        <v>#N/A</v>
      </c>
      <c r="Y343" s="671">
        <f>IF(G343="مدير ولائي",(HLOOKUP(I343,جدروظعليا,'f-travail'!$AT$3+1,FALSE)-3200),0)</f>
        <v>0</v>
      </c>
      <c r="Z343" s="672" t="str">
        <f t="shared" si="155"/>
        <v/>
      </c>
      <c r="AA343" s="671">
        <f t="shared" si="156"/>
        <v>0</v>
      </c>
      <c r="AB343" s="677" t="b">
        <f t="shared" si="145"/>
        <v>0</v>
      </c>
      <c r="AC343" s="678">
        <f t="shared" si="157"/>
        <v>0</v>
      </c>
      <c r="AD343" s="673"/>
      <c r="AE343" s="678">
        <f t="shared" si="146"/>
        <v>0</v>
      </c>
      <c r="AF343" s="678" t="e">
        <f t="shared" si="147"/>
        <v>#N/A</v>
      </c>
      <c r="AG343" s="678" t="e">
        <f t="shared" si="148"/>
        <v>#N/A</v>
      </c>
      <c r="AH343" s="673">
        <f t="shared" si="158"/>
        <v>0</v>
      </c>
      <c r="AI343" s="674" t="e">
        <f>IF(G343="مدير ولائي",(11000*35%),LOOKUP(D343,'f-travail'!A:A,'f-travail'!I:I))</f>
        <v>#N/A</v>
      </c>
      <c r="AJ343" s="673" t="e">
        <f>IF(G343="مدير ولائي",((W343+X343)*45)*80%,IF(V343&lt;8,0,IF(F343="إليزي",(LOOKUP(D343,'f-travail'!A:A,'f-travail'!O:O))*(AF343+AG343),LOOKUP(D343,'f-travail'!A:A,'f-travail'!P:P)*(AF343+AG343))))</f>
        <v>#N/A</v>
      </c>
      <c r="AK343" s="673" t="e">
        <f>IF(G343="مدير ولائي",0,LOOKUP(D343,'f-travail'!A:A,'f-travail'!Q:Q))</f>
        <v>#N/A</v>
      </c>
      <c r="AL343" s="673" t="e">
        <f>IF(G343="مدير ولائي",0,LOOKUP(D343,'f-travail'!A:A,'f-travail'!R:R)*(AF343+AG343))</f>
        <v>#N/A</v>
      </c>
      <c r="AM343" s="673" t="e">
        <f>IF(G343="مدير ولائي",0,LOOKUP(D343,'f-travail'!A:A,'f-travail'!S:S)*(AF343+AG343))</f>
        <v>#N/A</v>
      </c>
      <c r="AN343" s="673" t="e">
        <f>IF(G343="مدير ولائي",0,LOOKUP(D343,'f-travail'!A:A,'f-travail'!T:T)*(AF343+AG343))</f>
        <v>#N/A</v>
      </c>
      <c r="AO343" s="673" t="e">
        <f>IF(G343="مدير ولائي",0,LOOKUP(D343,'f-travail'!A:A,'f-travail'!U:U)*(AF343+AG343))</f>
        <v>#N/A</v>
      </c>
      <c r="AP343" s="673" t="e">
        <f>IF(G343="مدير ولائي",0,LOOKUP(D343,'f-travail'!A:A,'f-travail'!V:V)*(AF343+AG343))</f>
        <v>#N/A</v>
      </c>
      <c r="AQ343" s="673" t="e">
        <f>IF(G343="مدير ولائي",0,LOOKUP(D343,'f-travail'!A:A,'f-travail'!W:W)*(AF343+AG343))</f>
        <v>#N/A</v>
      </c>
      <c r="AR343" s="673">
        <f t="shared" si="159"/>
        <v>0</v>
      </c>
      <c r="AS343" s="673" t="e">
        <f>IF(G343="مدير ولائي",0,LOOKUP(D343,'f-travail'!A:A,'f-travail'!X:X)*(AF343+AG343))</f>
        <v>#N/A</v>
      </c>
      <c r="AT343" s="673" t="e">
        <f>IF(G343="مدير ولائي",0,LOOKUP(D343,'f-travail'!Y:Y,'f-travail'!R:R)*(AF343+AG343))</f>
        <v>#N/A</v>
      </c>
      <c r="AU343" s="673">
        <f t="shared" si="149"/>
        <v>0</v>
      </c>
      <c r="AV343" s="673">
        <f t="shared" si="150"/>
        <v>0</v>
      </c>
      <c r="AW343" s="673">
        <f t="shared" si="151"/>
        <v>0</v>
      </c>
      <c r="AY343" s="640" t="e">
        <f t="shared" si="160"/>
        <v>#N/A</v>
      </c>
      <c r="AZ343" s="673" t="e">
        <f t="shared" si="152"/>
        <v>#N/A</v>
      </c>
      <c r="BA343" s="639" t="e">
        <f t="shared" si="153"/>
        <v>#N/A</v>
      </c>
      <c r="BG343" s="639">
        <f t="shared" si="161"/>
        <v>0</v>
      </c>
      <c r="BH343" s="683">
        <f t="shared" si="162"/>
        <v>0</v>
      </c>
      <c r="BI343" s="683">
        <f t="shared" si="163"/>
        <v>0</v>
      </c>
      <c r="BJ343" s="641" t="e">
        <f t="shared" si="164"/>
        <v>#N/A</v>
      </c>
      <c r="BK343" s="641" t="e">
        <f t="shared" si="165"/>
        <v>#N/A</v>
      </c>
      <c r="BL343" s="641" t="e">
        <f t="shared" si="166"/>
        <v>#N/A</v>
      </c>
      <c r="BM343" s="684" t="e">
        <f t="shared" si="167"/>
        <v>#N/A</v>
      </c>
      <c r="BO343" s="682" t="e">
        <f>CONCATENATE(Z343," ",LOOKUP(D343,'f-travail'!A:A,'f-travail'!F:F))</f>
        <v>#N/A</v>
      </c>
      <c r="BP343" s="669" t="e">
        <f t="shared" si="154"/>
        <v>#N/A</v>
      </c>
    </row>
    <row r="344" spans="1:68">
      <c r="A344" s="636">
        <f t="shared" si="168"/>
        <v>343</v>
      </c>
      <c r="B344" s="637"/>
      <c r="C344" s="637"/>
      <c r="D344" s="652"/>
      <c r="E344" s="679" t="e">
        <f>LOOKUP(D344,'f-travail'!A:A,'f-travail'!B:B)</f>
        <v>#N/A</v>
      </c>
      <c r="F344" s="650"/>
      <c r="G344" s="650"/>
      <c r="H344" s="653"/>
      <c r="I344" s="653"/>
      <c r="J344" s="654"/>
      <c r="K344" s="650"/>
      <c r="L344" s="650"/>
      <c r="M344" s="650">
        <v>0</v>
      </c>
      <c r="N344" s="654"/>
      <c r="O344" s="654"/>
      <c r="P344" s="654"/>
      <c r="Q344" s="654"/>
      <c r="R344" s="676"/>
      <c r="S344" s="654"/>
      <c r="T344" s="675"/>
      <c r="U344" s="675"/>
      <c r="V344" s="670" t="e">
        <f>LOOKUP(D344,'f-travail'!A:A,'f-travail'!E:E)</f>
        <v>#N/A</v>
      </c>
      <c r="W344" s="670" t="e">
        <f>VLOOKUP(V344,جرقمإستدلالي,'f-travail'!$AD$4+1,FALSE)</f>
        <v>#N/A</v>
      </c>
      <c r="X344" s="671" t="e">
        <f t="shared" si="144"/>
        <v>#N/A</v>
      </c>
      <c r="Y344" s="671">
        <f>IF(G344="مدير ولائي",(HLOOKUP(I344,جدروظعليا,'f-travail'!$AT$3+1,FALSE)-3200),0)</f>
        <v>0</v>
      </c>
      <c r="Z344" s="672" t="str">
        <f t="shared" si="155"/>
        <v/>
      </c>
      <c r="AA344" s="671">
        <f t="shared" si="156"/>
        <v>0</v>
      </c>
      <c r="AB344" s="677" t="b">
        <f t="shared" si="145"/>
        <v>0</v>
      </c>
      <c r="AC344" s="678">
        <f t="shared" si="157"/>
        <v>0</v>
      </c>
      <c r="AD344" s="673"/>
      <c r="AE344" s="678">
        <f t="shared" si="146"/>
        <v>0</v>
      </c>
      <c r="AF344" s="678" t="e">
        <f t="shared" si="147"/>
        <v>#N/A</v>
      </c>
      <c r="AG344" s="678" t="e">
        <f t="shared" si="148"/>
        <v>#N/A</v>
      </c>
      <c r="AH344" s="673">
        <f t="shared" si="158"/>
        <v>0</v>
      </c>
      <c r="AI344" s="674" t="e">
        <f>IF(G344="مدير ولائي",(11000*35%),LOOKUP(D344,'f-travail'!A:A,'f-travail'!I:I))</f>
        <v>#N/A</v>
      </c>
      <c r="AJ344" s="673" t="e">
        <f>IF(G344="مدير ولائي",((W344+X344)*45)*80%,IF(V344&lt;8,0,IF(F344="إليزي",(LOOKUP(D344,'f-travail'!A:A,'f-travail'!O:O))*(AF344+AG344),LOOKUP(D344,'f-travail'!A:A,'f-travail'!P:P)*(AF344+AG344))))</f>
        <v>#N/A</v>
      </c>
      <c r="AK344" s="673" t="e">
        <f>IF(G344="مدير ولائي",0,LOOKUP(D344,'f-travail'!A:A,'f-travail'!Q:Q))</f>
        <v>#N/A</v>
      </c>
      <c r="AL344" s="673" t="e">
        <f>IF(G344="مدير ولائي",0,LOOKUP(D344,'f-travail'!A:A,'f-travail'!R:R)*(AF344+AG344))</f>
        <v>#N/A</v>
      </c>
      <c r="AM344" s="673" t="e">
        <f>IF(G344="مدير ولائي",0,LOOKUP(D344,'f-travail'!A:A,'f-travail'!S:S)*(AF344+AG344))</f>
        <v>#N/A</v>
      </c>
      <c r="AN344" s="673" t="e">
        <f>IF(G344="مدير ولائي",0,LOOKUP(D344,'f-travail'!A:A,'f-travail'!T:T)*(AF344+AG344))</f>
        <v>#N/A</v>
      </c>
      <c r="AO344" s="673" t="e">
        <f>IF(G344="مدير ولائي",0,LOOKUP(D344,'f-travail'!A:A,'f-travail'!U:U)*(AF344+AG344))</f>
        <v>#N/A</v>
      </c>
      <c r="AP344" s="673" t="e">
        <f>IF(G344="مدير ولائي",0,LOOKUP(D344,'f-travail'!A:A,'f-travail'!V:V)*(AF344+AG344))</f>
        <v>#N/A</v>
      </c>
      <c r="AQ344" s="673" t="e">
        <f>IF(G344="مدير ولائي",0,LOOKUP(D344,'f-travail'!A:A,'f-travail'!W:W)*(AF344+AG344))</f>
        <v>#N/A</v>
      </c>
      <c r="AR344" s="673">
        <f t="shared" si="159"/>
        <v>0</v>
      </c>
      <c r="AS344" s="673" t="e">
        <f>IF(G344="مدير ولائي",0,LOOKUP(D344,'f-travail'!A:A,'f-travail'!X:X)*(AF344+AG344))</f>
        <v>#N/A</v>
      </c>
      <c r="AT344" s="673" t="e">
        <f>IF(G344="مدير ولائي",0,LOOKUP(D344,'f-travail'!Y:Y,'f-travail'!R:R)*(AF344+AG344))</f>
        <v>#N/A</v>
      </c>
      <c r="AU344" s="673">
        <f t="shared" si="149"/>
        <v>0</v>
      </c>
      <c r="AV344" s="673">
        <f t="shared" si="150"/>
        <v>0</v>
      </c>
      <c r="AW344" s="673">
        <f t="shared" si="151"/>
        <v>0</v>
      </c>
      <c r="AY344" s="640" t="e">
        <f t="shared" si="160"/>
        <v>#N/A</v>
      </c>
      <c r="AZ344" s="673" t="e">
        <f t="shared" si="152"/>
        <v>#N/A</v>
      </c>
      <c r="BA344" s="639" t="e">
        <f t="shared" si="153"/>
        <v>#N/A</v>
      </c>
      <c r="BG344" s="639">
        <f t="shared" si="161"/>
        <v>0</v>
      </c>
      <c r="BH344" s="683">
        <f t="shared" si="162"/>
        <v>0</v>
      </c>
      <c r="BI344" s="683">
        <f t="shared" si="163"/>
        <v>0</v>
      </c>
      <c r="BJ344" s="641" t="e">
        <f t="shared" si="164"/>
        <v>#N/A</v>
      </c>
      <c r="BK344" s="641" t="e">
        <f t="shared" si="165"/>
        <v>#N/A</v>
      </c>
      <c r="BL344" s="641" t="e">
        <f t="shared" si="166"/>
        <v>#N/A</v>
      </c>
      <c r="BM344" s="684" t="e">
        <f t="shared" si="167"/>
        <v>#N/A</v>
      </c>
      <c r="BO344" s="682" t="e">
        <f>CONCATENATE(Z344," ",LOOKUP(D344,'f-travail'!A:A,'f-travail'!F:F))</f>
        <v>#N/A</v>
      </c>
      <c r="BP344" s="669" t="e">
        <f t="shared" si="154"/>
        <v>#N/A</v>
      </c>
    </row>
    <row r="345" spans="1:68">
      <c r="A345" s="636">
        <f t="shared" si="168"/>
        <v>344</v>
      </c>
      <c r="B345" s="637"/>
      <c r="C345" s="637"/>
      <c r="D345" s="652"/>
      <c r="E345" s="679" t="e">
        <f>LOOKUP(D345,'f-travail'!A:A,'f-travail'!B:B)</f>
        <v>#N/A</v>
      </c>
      <c r="F345" s="650"/>
      <c r="G345" s="650"/>
      <c r="H345" s="653"/>
      <c r="I345" s="653"/>
      <c r="J345" s="654"/>
      <c r="K345" s="650"/>
      <c r="L345" s="650"/>
      <c r="M345" s="650">
        <v>0</v>
      </c>
      <c r="N345" s="654"/>
      <c r="O345" s="654"/>
      <c r="P345" s="654"/>
      <c r="Q345" s="654"/>
      <c r="R345" s="676"/>
      <c r="S345" s="654"/>
      <c r="T345" s="675"/>
      <c r="U345" s="675"/>
      <c r="V345" s="670" t="e">
        <f>LOOKUP(D345,'f-travail'!A:A,'f-travail'!E:E)</f>
        <v>#N/A</v>
      </c>
      <c r="W345" s="670" t="e">
        <f>VLOOKUP(V345,جرقمإستدلالي,'f-travail'!$AD$4+1,FALSE)</f>
        <v>#N/A</v>
      </c>
      <c r="X345" s="671" t="e">
        <f t="shared" si="144"/>
        <v>#N/A</v>
      </c>
      <c r="Y345" s="671">
        <f>IF(G345="مدير ولائي",(HLOOKUP(I345,جدروظعليا,'f-travail'!$AT$3+1,FALSE)-3200),0)</f>
        <v>0</v>
      </c>
      <c r="Z345" s="672" t="str">
        <f t="shared" si="155"/>
        <v/>
      </c>
      <c r="AA345" s="671">
        <f t="shared" si="156"/>
        <v>0</v>
      </c>
      <c r="AB345" s="677" t="b">
        <f t="shared" si="145"/>
        <v>0</v>
      </c>
      <c r="AC345" s="678">
        <f t="shared" si="157"/>
        <v>0</v>
      </c>
      <c r="AD345" s="673"/>
      <c r="AE345" s="678">
        <f t="shared" si="146"/>
        <v>0</v>
      </c>
      <c r="AF345" s="678" t="e">
        <f t="shared" si="147"/>
        <v>#N/A</v>
      </c>
      <c r="AG345" s="678" t="e">
        <f t="shared" si="148"/>
        <v>#N/A</v>
      </c>
      <c r="AH345" s="673">
        <f t="shared" si="158"/>
        <v>0</v>
      </c>
      <c r="AI345" s="674" t="e">
        <f>IF(G345="مدير ولائي",(11000*35%),LOOKUP(D345,'f-travail'!A:A,'f-travail'!I:I))</f>
        <v>#N/A</v>
      </c>
      <c r="AJ345" s="673" t="e">
        <f>IF(G345="مدير ولائي",((W345+X345)*45)*80%,IF(V345&lt;8,0,IF(F345="إليزي",(LOOKUP(D345,'f-travail'!A:A,'f-travail'!O:O))*(AF345+AG345),LOOKUP(D345,'f-travail'!A:A,'f-travail'!P:P)*(AF345+AG345))))</f>
        <v>#N/A</v>
      </c>
      <c r="AK345" s="673" t="e">
        <f>IF(G345="مدير ولائي",0,LOOKUP(D345,'f-travail'!A:A,'f-travail'!Q:Q))</f>
        <v>#N/A</v>
      </c>
      <c r="AL345" s="673" t="e">
        <f>IF(G345="مدير ولائي",0,LOOKUP(D345,'f-travail'!A:A,'f-travail'!R:R)*(AF345+AG345))</f>
        <v>#N/A</v>
      </c>
      <c r="AM345" s="673" t="e">
        <f>IF(G345="مدير ولائي",0,LOOKUP(D345,'f-travail'!A:A,'f-travail'!S:S)*(AF345+AG345))</f>
        <v>#N/A</v>
      </c>
      <c r="AN345" s="673" t="e">
        <f>IF(G345="مدير ولائي",0,LOOKUP(D345,'f-travail'!A:A,'f-travail'!T:T)*(AF345+AG345))</f>
        <v>#N/A</v>
      </c>
      <c r="AO345" s="673" t="e">
        <f>IF(G345="مدير ولائي",0,LOOKUP(D345,'f-travail'!A:A,'f-travail'!U:U)*(AF345+AG345))</f>
        <v>#N/A</v>
      </c>
      <c r="AP345" s="673" t="e">
        <f>IF(G345="مدير ولائي",0,LOOKUP(D345,'f-travail'!A:A,'f-travail'!V:V)*(AF345+AG345))</f>
        <v>#N/A</v>
      </c>
      <c r="AQ345" s="673" t="e">
        <f>IF(G345="مدير ولائي",0,LOOKUP(D345,'f-travail'!A:A,'f-travail'!W:W)*(AF345+AG345))</f>
        <v>#N/A</v>
      </c>
      <c r="AR345" s="673">
        <f t="shared" si="159"/>
        <v>0</v>
      </c>
      <c r="AS345" s="673" t="e">
        <f>IF(G345="مدير ولائي",0,LOOKUP(D345,'f-travail'!A:A,'f-travail'!X:X)*(AF345+AG345))</f>
        <v>#N/A</v>
      </c>
      <c r="AT345" s="673" t="e">
        <f>IF(G345="مدير ولائي",0,LOOKUP(D345,'f-travail'!Y:Y,'f-travail'!R:R)*(AF345+AG345))</f>
        <v>#N/A</v>
      </c>
      <c r="AU345" s="673">
        <f t="shared" si="149"/>
        <v>0</v>
      </c>
      <c r="AV345" s="673">
        <f t="shared" si="150"/>
        <v>0</v>
      </c>
      <c r="AW345" s="673">
        <f t="shared" si="151"/>
        <v>0</v>
      </c>
      <c r="AY345" s="640" t="e">
        <f t="shared" si="160"/>
        <v>#N/A</v>
      </c>
      <c r="AZ345" s="673" t="e">
        <f t="shared" si="152"/>
        <v>#N/A</v>
      </c>
      <c r="BA345" s="639" t="e">
        <f t="shared" si="153"/>
        <v>#N/A</v>
      </c>
      <c r="BG345" s="639">
        <f t="shared" si="161"/>
        <v>0</v>
      </c>
      <c r="BH345" s="683">
        <f t="shared" si="162"/>
        <v>0</v>
      </c>
      <c r="BI345" s="683">
        <f t="shared" si="163"/>
        <v>0</v>
      </c>
      <c r="BJ345" s="641" t="e">
        <f t="shared" si="164"/>
        <v>#N/A</v>
      </c>
      <c r="BK345" s="641" t="e">
        <f t="shared" si="165"/>
        <v>#N/A</v>
      </c>
      <c r="BL345" s="641" t="e">
        <f t="shared" si="166"/>
        <v>#N/A</v>
      </c>
      <c r="BM345" s="684" t="e">
        <f t="shared" si="167"/>
        <v>#N/A</v>
      </c>
      <c r="BO345" s="682" t="e">
        <f>CONCATENATE(Z345," ",LOOKUP(D345,'f-travail'!A:A,'f-travail'!F:F))</f>
        <v>#N/A</v>
      </c>
      <c r="BP345" s="669" t="e">
        <f t="shared" si="154"/>
        <v>#N/A</v>
      </c>
    </row>
    <row r="346" spans="1:68">
      <c r="A346" s="636">
        <f t="shared" si="168"/>
        <v>345</v>
      </c>
      <c r="B346" s="637"/>
      <c r="C346" s="637"/>
      <c r="D346" s="652"/>
      <c r="E346" s="679" t="e">
        <f>LOOKUP(D346,'f-travail'!A:A,'f-travail'!B:B)</f>
        <v>#N/A</v>
      </c>
      <c r="F346" s="650"/>
      <c r="G346" s="650"/>
      <c r="H346" s="653"/>
      <c r="I346" s="653"/>
      <c r="J346" s="654"/>
      <c r="K346" s="650"/>
      <c r="L346" s="650"/>
      <c r="M346" s="650">
        <v>0</v>
      </c>
      <c r="N346" s="654"/>
      <c r="O346" s="654"/>
      <c r="P346" s="654"/>
      <c r="Q346" s="654"/>
      <c r="R346" s="676"/>
      <c r="S346" s="654"/>
      <c r="T346" s="675"/>
      <c r="U346" s="675"/>
      <c r="V346" s="670" t="e">
        <f>LOOKUP(D346,'f-travail'!A:A,'f-travail'!E:E)</f>
        <v>#N/A</v>
      </c>
      <c r="W346" s="670" t="e">
        <f>VLOOKUP(V346,جرقمإستدلالي,'f-travail'!$AD$4+1,FALSE)</f>
        <v>#N/A</v>
      </c>
      <c r="X346" s="671" t="e">
        <f t="shared" si="144"/>
        <v>#N/A</v>
      </c>
      <c r="Y346" s="671">
        <f>IF(G346="مدير ولائي",(HLOOKUP(I346,جدروظعليا,'f-travail'!$AT$3+1,FALSE)-3200),0)</f>
        <v>0</v>
      </c>
      <c r="Z346" s="672" t="str">
        <f t="shared" si="155"/>
        <v/>
      </c>
      <c r="AA346" s="671">
        <f t="shared" si="156"/>
        <v>0</v>
      </c>
      <c r="AB346" s="677" t="b">
        <f t="shared" si="145"/>
        <v>0</v>
      </c>
      <c r="AC346" s="678">
        <f t="shared" si="157"/>
        <v>0</v>
      </c>
      <c r="AD346" s="673"/>
      <c r="AE346" s="678">
        <f t="shared" si="146"/>
        <v>0</v>
      </c>
      <c r="AF346" s="678" t="e">
        <f t="shared" si="147"/>
        <v>#N/A</v>
      </c>
      <c r="AG346" s="678" t="e">
        <f t="shared" si="148"/>
        <v>#N/A</v>
      </c>
      <c r="AH346" s="673">
        <f t="shared" si="158"/>
        <v>0</v>
      </c>
      <c r="AI346" s="674" t="e">
        <f>IF(G346="مدير ولائي",(11000*35%),LOOKUP(D346,'f-travail'!A:A,'f-travail'!I:I))</f>
        <v>#N/A</v>
      </c>
      <c r="AJ346" s="673" t="e">
        <f>IF(G346="مدير ولائي",((W346+X346)*45)*80%,IF(V346&lt;8,0,IF(F346="إليزي",(LOOKUP(D346,'f-travail'!A:A,'f-travail'!O:O))*(AF346+AG346),LOOKUP(D346,'f-travail'!A:A,'f-travail'!P:P)*(AF346+AG346))))</f>
        <v>#N/A</v>
      </c>
      <c r="AK346" s="673" t="e">
        <f>IF(G346="مدير ولائي",0,LOOKUP(D346,'f-travail'!A:A,'f-travail'!Q:Q))</f>
        <v>#N/A</v>
      </c>
      <c r="AL346" s="673" t="e">
        <f>IF(G346="مدير ولائي",0,LOOKUP(D346,'f-travail'!A:A,'f-travail'!R:R)*(AF346+AG346))</f>
        <v>#N/A</v>
      </c>
      <c r="AM346" s="673" t="e">
        <f>IF(G346="مدير ولائي",0,LOOKUP(D346,'f-travail'!A:A,'f-travail'!S:S)*(AF346+AG346))</f>
        <v>#N/A</v>
      </c>
      <c r="AN346" s="673" t="e">
        <f>IF(G346="مدير ولائي",0,LOOKUP(D346,'f-travail'!A:A,'f-travail'!T:T)*(AF346+AG346))</f>
        <v>#N/A</v>
      </c>
      <c r="AO346" s="673" t="e">
        <f>IF(G346="مدير ولائي",0,LOOKUP(D346,'f-travail'!A:A,'f-travail'!U:U)*(AF346+AG346))</f>
        <v>#N/A</v>
      </c>
      <c r="AP346" s="673" t="e">
        <f>IF(G346="مدير ولائي",0,LOOKUP(D346,'f-travail'!A:A,'f-travail'!V:V)*(AF346+AG346))</f>
        <v>#N/A</v>
      </c>
      <c r="AQ346" s="673" t="e">
        <f>IF(G346="مدير ولائي",0,LOOKUP(D346,'f-travail'!A:A,'f-travail'!W:W)*(AF346+AG346))</f>
        <v>#N/A</v>
      </c>
      <c r="AR346" s="673">
        <f t="shared" si="159"/>
        <v>0</v>
      </c>
      <c r="AS346" s="673" t="e">
        <f>IF(G346="مدير ولائي",0,LOOKUP(D346,'f-travail'!A:A,'f-travail'!X:X)*(AF346+AG346))</f>
        <v>#N/A</v>
      </c>
      <c r="AT346" s="673" t="e">
        <f>IF(G346="مدير ولائي",0,LOOKUP(D346,'f-travail'!Y:Y,'f-travail'!R:R)*(AF346+AG346))</f>
        <v>#N/A</v>
      </c>
      <c r="AU346" s="673">
        <f t="shared" si="149"/>
        <v>0</v>
      </c>
      <c r="AV346" s="673">
        <f t="shared" si="150"/>
        <v>0</v>
      </c>
      <c r="AW346" s="673">
        <f t="shared" si="151"/>
        <v>0</v>
      </c>
      <c r="AY346" s="640" t="e">
        <f t="shared" si="160"/>
        <v>#N/A</v>
      </c>
      <c r="AZ346" s="673" t="e">
        <f t="shared" si="152"/>
        <v>#N/A</v>
      </c>
      <c r="BA346" s="639" t="e">
        <f t="shared" si="153"/>
        <v>#N/A</v>
      </c>
      <c r="BG346" s="639">
        <f t="shared" si="161"/>
        <v>0</v>
      </c>
      <c r="BH346" s="683">
        <f t="shared" si="162"/>
        <v>0</v>
      </c>
      <c r="BI346" s="683">
        <f t="shared" si="163"/>
        <v>0</v>
      </c>
      <c r="BJ346" s="641" t="e">
        <f t="shared" si="164"/>
        <v>#N/A</v>
      </c>
      <c r="BK346" s="641" t="e">
        <f t="shared" si="165"/>
        <v>#N/A</v>
      </c>
      <c r="BL346" s="641" t="e">
        <f t="shared" si="166"/>
        <v>#N/A</v>
      </c>
      <c r="BM346" s="684" t="e">
        <f t="shared" si="167"/>
        <v>#N/A</v>
      </c>
      <c r="BO346" s="682" t="e">
        <f>CONCATENATE(Z346," ",LOOKUP(D346,'f-travail'!A:A,'f-travail'!F:F))</f>
        <v>#N/A</v>
      </c>
      <c r="BP346" s="669" t="e">
        <f t="shared" si="154"/>
        <v>#N/A</v>
      </c>
    </row>
    <row r="347" spans="1:68">
      <c r="A347" s="636">
        <f t="shared" si="168"/>
        <v>346</v>
      </c>
      <c r="B347" s="637"/>
      <c r="C347" s="637"/>
      <c r="D347" s="652"/>
      <c r="E347" s="679" t="e">
        <f>LOOKUP(D347,'f-travail'!A:A,'f-travail'!B:B)</f>
        <v>#N/A</v>
      </c>
      <c r="F347" s="650"/>
      <c r="G347" s="650"/>
      <c r="H347" s="653"/>
      <c r="I347" s="653"/>
      <c r="J347" s="654"/>
      <c r="K347" s="650"/>
      <c r="L347" s="650"/>
      <c r="M347" s="650">
        <v>0</v>
      </c>
      <c r="N347" s="654"/>
      <c r="O347" s="654"/>
      <c r="P347" s="654"/>
      <c r="Q347" s="654"/>
      <c r="R347" s="676"/>
      <c r="S347" s="654"/>
      <c r="T347" s="675"/>
      <c r="U347" s="675"/>
      <c r="V347" s="670" t="e">
        <f>LOOKUP(D347,'f-travail'!A:A,'f-travail'!E:E)</f>
        <v>#N/A</v>
      </c>
      <c r="W347" s="670" t="e">
        <f>VLOOKUP(V347,جرقمإستدلالي,'f-travail'!$AD$4+1,FALSE)</f>
        <v>#N/A</v>
      </c>
      <c r="X347" s="671" t="e">
        <f t="shared" si="144"/>
        <v>#N/A</v>
      </c>
      <c r="Y347" s="671">
        <f>IF(G347="مدير ولائي",(HLOOKUP(I347,جدروظعليا,'f-travail'!$AT$3+1,FALSE)-3200),0)</f>
        <v>0</v>
      </c>
      <c r="Z347" s="672" t="str">
        <f t="shared" si="155"/>
        <v/>
      </c>
      <c r="AA347" s="671">
        <f t="shared" si="156"/>
        <v>0</v>
      </c>
      <c r="AB347" s="677" t="b">
        <f t="shared" si="145"/>
        <v>0</v>
      </c>
      <c r="AC347" s="678">
        <f t="shared" si="157"/>
        <v>0</v>
      </c>
      <c r="AD347" s="673"/>
      <c r="AE347" s="678">
        <f t="shared" si="146"/>
        <v>0</v>
      </c>
      <c r="AF347" s="678" t="e">
        <f t="shared" si="147"/>
        <v>#N/A</v>
      </c>
      <c r="AG347" s="678" t="e">
        <f t="shared" si="148"/>
        <v>#N/A</v>
      </c>
      <c r="AH347" s="673">
        <f t="shared" si="158"/>
        <v>0</v>
      </c>
      <c r="AI347" s="674" t="e">
        <f>IF(G347="مدير ولائي",(11000*35%),LOOKUP(D347,'f-travail'!A:A,'f-travail'!I:I))</f>
        <v>#N/A</v>
      </c>
      <c r="AJ347" s="673" t="e">
        <f>IF(G347="مدير ولائي",((W347+X347)*45)*80%,IF(V347&lt;8,0,IF(F347="إليزي",(LOOKUP(D347,'f-travail'!A:A,'f-travail'!O:O))*(AF347+AG347),LOOKUP(D347,'f-travail'!A:A,'f-travail'!P:P)*(AF347+AG347))))</f>
        <v>#N/A</v>
      </c>
      <c r="AK347" s="673" t="e">
        <f>IF(G347="مدير ولائي",0,LOOKUP(D347,'f-travail'!A:A,'f-travail'!Q:Q))</f>
        <v>#N/A</v>
      </c>
      <c r="AL347" s="673" t="e">
        <f>IF(G347="مدير ولائي",0,LOOKUP(D347,'f-travail'!A:A,'f-travail'!R:R)*(AF347+AG347))</f>
        <v>#N/A</v>
      </c>
      <c r="AM347" s="673" t="e">
        <f>IF(G347="مدير ولائي",0,LOOKUP(D347,'f-travail'!A:A,'f-travail'!S:S)*(AF347+AG347))</f>
        <v>#N/A</v>
      </c>
      <c r="AN347" s="673" t="e">
        <f>IF(G347="مدير ولائي",0,LOOKUP(D347,'f-travail'!A:A,'f-travail'!T:T)*(AF347+AG347))</f>
        <v>#N/A</v>
      </c>
      <c r="AO347" s="673" t="e">
        <f>IF(G347="مدير ولائي",0,LOOKUP(D347,'f-travail'!A:A,'f-travail'!U:U)*(AF347+AG347))</f>
        <v>#N/A</v>
      </c>
      <c r="AP347" s="673" t="e">
        <f>IF(G347="مدير ولائي",0,LOOKUP(D347,'f-travail'!A:A,'f-travail'!V:V)*(AF347+AG347))</f>
        <v>#N/A</v>
      </c>
      <c r="AQ347" s="673" t="e">
        <f>IF(G347="مدير ولائي",0,LOOKUP(D347,'f-travail'!A:A,'f-travail'!W:W)*(AF347+AG347))</f>
        <v>#N/A</v>
      </c>
      <c r="AR347" s="673">
        <f t="shared" si="159"/>
        <v>0</v>
      </c>
      <c r="AS347" s="673" t="e">
        <f>IF(G347="مدير ولائي",0,LOOKUP(D347,'f-travail'!A:A,'f-travail'!X:X)*(AF347+AG347))</f>
        <v>#N/A</v>
      </c>
      <c r="AT347" s="673" t="e">
        <f>IF(G347="مدير ولائي",0,LOOKUP(D347,'f-travail'!Y:Y,'f-travail'!R:R)*(AF347+AG347))</f>
        <v>#N/A</v>
      </c>
      <c r="AU347" s="673">
        <f t="shared" si="149"/>
        <v>0</v>
      </c>
      <c r="AV347" s="673">
        <f t="shared" si="150"/>
        <v>0</v>
      </c>
      <c r="AW347" s="673">
        <f t="shared" si="151"/>
        <v>0</v>
      </c>
      <c r="AY347" s="640" t="e">
        <f t="shared" si="160"/>
        <v>#N/A</v>
      </c>
      <c r="AZ347" s="673" t="e">
        <f t="shared" si="152"/>
        <v>#N/A</v>
      </c>
      <c r="BA347" s="639" t="e">
        <f t="shared" si="153"/>
        <v>#N/A</v>
      </c>
      <c r="BG347" s="639">
        <f t="shared" si="161"/>
        <v>0</v>
      </c>
      <c r="BH347" s="683">
        <f t="shared" si="162"/>
        <v>0</v>
      </c>
      <c r="BI347" s="683">
        <f t="shared" si="163"/>
        <v>0</v>
      </c>
      <c r="BJ347" s="641" t="e">
        <f t="shared" si="164"/>
        <v>#N/A</v>
      </c>
      <c r="BK347" s="641" t="e">
        <f t="shared" si="165"/>
        <v>#N/A</v>
      </c>
      <c r="BL347" s="641" t="e">
        <f t="shared" si="166"/>
        <v>#N/A</v>
      </c>
      <c r="BM347" s="684" t="e">
        <f t="shared" si="167"/>
        <v>#N/A</v>
      </c>
      <c r="BO347" s="682" t="e">
        <f>CONCATENATE(Z347," ",LOOKUP(D347,'f-travail'!A:A,'f-travail'!F:F))</f>
        <v>#N/A</v>
      </c>
      <c r="BP347" s="669" t="e">
        <f t="shared" si="154"/>
        <v>#N/A</v>
      </c>
    </row>
    <row r="348" spans="1:68">
      <c r="A348" s="636">
        <f t="shared" si="168"/>
        <v>347</v>
      </c>
      <c r="B348" s="637"/>
      <c r="C348" s="637"/>
      <c r="D348" s="652"/>
      <c r="E348" s="679" t="e">
        <f>LOOKUP(D348,'f-travail'!A:A,'f-travail'!B:B)</f>
        <v>#N/A</v>
      </c>
      <c r="F348" s="650"/>
      <c r="G348" s="650"/>
      <c r="H348" s="653"/>
      <c r="I348" s="653"/>
      <c r="J348" s="654"/>
      <c r="K348" s="650"/>
      <c r="L348" s="650"/>
      <c r="M348" s="650">
        <v>0</v>
      </c>
      <c r="N348" s="654"/>
      <c r="O348" s="654"/>
      <c r="P348" s="654"/>
      <c r="Q348" s="654"/>
      <c r="R348" s="676"/>
      <c r="S348" s="654"/>
      <c r="T348" s="675"/>
      <c r="U348" s="675"/>
      <c r="V348" s="670" t="e">
        <f>LOOKUP(D348,'f-travail'!A:A,'f-travail'!E:E)</f>
        <v>#N/A</v>
      </c>
      <c r="W348" s="670" t="e">
        <f>VLOOKUP(V348,جرقمإستدلالي,'f-travail'!$AD$4+1,FALSE)</f>
        <v>#N/A</v>
      </c>
      <c r="X348" s="671" t="e">
        <f t="shared" si="144"/>
        <v>#N/A</v>
      </c>
      <c r="Y348" s="671">
        <f>IF(G348="مدير ولائي",(HLOOKUP(I348,جدروظعليا,'f-travail'!$AT$3+1,FALSE)-3200),0)</f>
        <v>0</v>
      </c>
      <c r="Z348" s="672" t="str">
        <f t="shared" si="155"/>
        <v/>
      </c>
      <c r="AA348" s="671">
        <f t="shared" si="156"/>
        <v>0</v>
      </c>
      <c r="AB348" s="677" t="b">
        <f t="shared" si="145"/>
        <v>0</v>
      </c>
      <c r="AC348" s="678">
        <f t="shared" si="157"/>
        <v>0</v>
      </c>
      <c r="AD348" s="673"/>
      <c r="AE348" s="678">
        <f t="shared" si="146"/>
        <v>0</v>
      </c>
      <c r="AF348" s="678" t="e">
        <f t="shared" si="147"/>
        <v>#N/A</v>
      </c>
      <c r="AG348" s="678" t="e">
        <f t="shared" si="148"/>
        <v>#N/A</v>
      </c>
      <c r="AH348" s="673">
        <f t="shared" si="158"/>
        <v>0</v>
      </c>
      <c r="AI348" s="674" t="e">
        <f>IF(G348="مدير ولائي",(11000*35%),LOOKUP(D348,'f-travail'!A:A,'f-travail'!I:I))</f>
        <v>#N/A</v>
      </c>
      <c r="AJ348" s="673" t="e">
        <f>IF(G348="مدير ولائي",((W348+X348)*45)*80%,IF(V348&lt;8,0,IF(F348="إليزي",(LOOKUP(D348,'f-travail'!A:A,'f-travail'!O:O))*(AF348+AG348),LOOKUP(D348,'f-travail'!A:A,'f-travail'!P:P)*(AF348+AG348))))</f>
        <v>#N/A</v>
      </c>
      <c r="AK348" s="673" t="e">
        <f>IF(G348="مدير ولائي",0,LOOKUP(D348,'f-travail'!A:A,'f-travail'!Q:Q))</f>
        <v>#N/A</v>
      </c>
      <c r="AL348" s="673" t="e">
        <f>IF(G348="مدير ولائي",0,LOOKUP(D348,'f-travail'!A:A,'f-travail'!R:R)*(AF348+AG348))</f>
        <v>#N/A</v>
      </c>
      <c r="AM348" s="673" t="e">
        <f>IF(G348="مدير ولائي",0,LOOKUP(D348,'f-travail'!A:A,'f-travail'!S:S)*(AF348+AG348))</f>
        <v>#N/A</v>
      </c>
      <c r="AN348" s="673" t="e">
        <f>IF(G348="مدير ولائي",0,LOOKUP(D348,'f-travail'!A:A,'f-travail'!T:T)*(AF348+AG348))</f>
        <v>#N/A</v>
      </c>
      <c r="AO348" s="673" t="e">
        <f>IF(G348="مدير ولائي",0,LOOKUP(D348,'f-travail'!A:A,'f-travail'!U:U)*(AF348+AG348))</f>
        <v>#N/A</v>
      </c>
      <c r="AP348" s="673" t="e">
        <f>IF(G348="مدير ولائي",0,LOOKUP(D348,'f-travail'!A:A,'f-travail'!V:V)*(AF348+AG348))</f>
        <v>#N/A</v>
      </c>
      <c r="AQ348" s="673" t="e">
        <f>IF(G348="مدير ولائي",0,LOOKUP(D348,'f-travail'!A:A,'f-travail'!W:W)*(AF348+AG348))</f>
        <v>#N/A</v>
      </c>
      <c r="AR348" s="673">
        <f t="shared" si="159"/>
        <v>0</v>
      </c>
      <c r="AS348" s="673" t="e">
        <f>IF(G348="مدير ولائي",0,LOOKUP(D348,'f-travail'!A:A,'f-travail'!X:X)*(AF348+AG348))</f>
        <v>#N/A</v>
      </c>
      <c r="AT348" s="673" t="e">
        <f>IF(G348="مدير ولائي",0,LOOKUP(D348,'f-travail'!Y:Y,'f-travail'!R:R)*(AF348+AG348))</f>
        <v>#N/A</v>
      </c>
      <c r="AU348" s="673">
        <f t="shared" si="149"/>
        <v>0</v>
      </c>
      <c r="AV348" s="673">
        <f t="shared" si="150"/>
        <v>0</v>
      </c>
      <c r="AW348" s="673">
        <f t="shared" si="151"/>
        <v>0</v>
      </c>
      <c r="AY348" s="640" t="e">
        <f t="shared" si="160"/>
        <v>#N/A</v>
      </c>
      <c r="AZ348" s="673" t="e">
        <f t="shared" si="152"/>
        <v>#N/A</v>
      </c>
      <c r="BA348" s="639" t="e">
        <f t="shared" si="153"/>
        <v>#N/A</v>
      </c>
      <c r="BG348" s="639">
        <f t="shared" si="161"/>
        <v>0</v>
      </c>
      <c r="BH348" s="683">
        <f t="shared" si="162"/>
        <v>0</v>
      </c>
      <c r="BI348" s="683">
        <f t="shared" si="163"/>
        <v>0</v>
      </c>
      <c r="BJ348" s="641" t="e">
        <f t="shared" si="164"/>
        <v>#N/A</v>
      </c>
      <c r="BK348" s="641" t="e">
        <f t="shared" si="165"/>
        <v>#N/A</v>
      </c>
      <c r="BL348" s="641" t="e">
        <f t="shared" si="166"/>
        <v>#N/A</v>
      </c>
      <c r="BM348" s="684" t="e">
        <f t="shared" si="167"/>
        <v>#N/A</v>
      </c>
      <c r="BO348" s="682" t="e">
        <f>CONCATENATE(Z348," ",LOOKUP(D348,'f-travail'!A:A,'f-travail'!F:F))</f>
        <v>#N/A</v>
      </c>
      <c r="BP348" s="669" t="e">
        <f t="shared" si="154"/>
        <v>#N/A</v>
      </c>
    </row>
    <row r="349" spans="1:68">
      <c r="A349" s="636">
        <f t="shared" si="168"/>
        <v>348</v>
      </c>
      <c r="B349" s="637"/>
      <c r="C349" s="637"/>
      <c r="D349" s="652"/>
      <c r="E349" s="679" t="e">
        <f>LOOKUP(D349,'f-travail'!A:A,'f-travail'!B:B)</f>
        <v>#N/A</v>
      </c>
      <c r="F349" s="650"/>
      <c r="G349" s="650"/>
      <c r="H349" s="653"/>
      <c r="I349" s="653"/>
      <c r="J349" s="654"/>
      <c r="K349" s="650"/>
      <c r="L349" s="650"/>
      <c r="M349" s="650">
        <v>0</v>
      </c>
      <c r="N349" s="654"/>
      <c r="O349" s="654"/>
      <c r="P349" s="654"/>
      <c r="Q349" s="654"/>
      <c r="R349" s="676"/>
      <c r="S349" s="654"/>
      <c r="T349" s="675"/>
      <c r="U349" s="675"/>
      <c r="V349" s="670" t="e">
        <f>LOOKUP(D349,'f-travail'!A:A,'f-travail'!E:E)</f>
        <v>#N/A</v>
      </c>
      <c r="W349" s="670" t="e">
        <f>VLOOKUP(V349,جرقمإستدلالي,'f-travail'!$AD$4+1,FALSE)</f>
        <v>#N/A</v>
      </c>
      <c r="X349" s="671" t="e">
        <f t="shared" si="144"/>
        <v>#N/A</v>
      </c>
      <c r="Y349" s="671">
        <f>IF(G349="مدير ولائي",(HLOOKUP(I349,جدروظعليا,'f-travail'!$AT$3+1,FALSE)-3200),0)</f>
        <v>0</v>
      </c>
      <c r="Z349" s="672" t="str">
        <f t="shared" si="155"/>
        <v/>
      </c>
      <c r="AA349" s="671">
        <f t="shared" si="156"/>
        <v>0</v>
      </c>
      <c r="AB349" s="677" t="b">
        <f t="shared" si="145"/>
        <v>0</v>
      </c>
      <c r="AC349" s="678">
        <f t="shared" si="157"/>
        <v>0</v>
      </c>
      <c r="AD349" s="673"/>
      <c r="AE349" s="678">
        <f t="shared" si="146"/>
        <v>0</v>
      </c>
      <c r="AF349" s="678" t="e">
        <f t="shared" si="147"/>
        <v>#N/A</v>
      </c>
      <c r="AG349" s="678" t="e">
        <f t="shared" si="148"/>
        <v>#N/A</v>
      </c>
      <c r="AH349" s="673">
        <f t="shared" si="158"/>
        <v>0</v>
      </c>
      <c r="AI349" s="674" t="e">
        <f>IF(G349="مدير ولائي",(11000*35%),LOOKUP(D349,'f-travail'!A:A,'f-travail'!I:I))</f>
        <v>#N/A</v>
      </c>
      <c r="AJ349" s="673" t="e">
        <f>IF(G349="مدير ولائي",((W349+X349)*45)*80%,IF(V349&lt;8,0,IF(F349="إليزي",(LOOKUP(D349,'f-travail'!A:A,'f-travail'!O:O))*(AF349+AG349),LOOKUP(D349,'f-travail'!A:A,'f-travail'!P:P)*(AF349+AG349))))</f>
        <v>#N/A</v>
      </c>
      <c r="AK349" s="673" t="e">
        <f>IF(G349="مدير ولائي",0,LOOKUP(D349,'f-travail'!A:A,'f-travail'!Q:Q))</f>
        <v>#N/A</v>
      </c>
      <c r="AL349" s="673" t="e">
        <f>IF(G349="مدير ولائي",0,LOOKUP(D349,'f-travail'!A:A,'f-travail'!R:R)*(AF349+AG349))</f>
        <v>#N/A</v>
      </c>
      <c r="AM349" s="673" t="e">
        <f>IF(G349="مدير ولائي",0,LOOKUP(D349,'f-travail'!A:A,'f-travail'!S:S)*(AF349+AG349))</f>
        <v>#N/A</v>
      </c>
      <c r="AN349" s="673" t="e">
        <f>IF(G349="مدير ولائي",0,LOOKUP(D349,'f-travail'!A:A,'f-travail'!T:T)*(AF349+AG349))</f>
        <v>#N/A</v>
      </c>
      <c r="AO349" s="673" t="e">
        <f>IF(G349="مدير ولائي",0,LOOKUP(D349,'f-travail'!A:A,'f-travail'!U:U)*(AF349+AG349))</f>
        <v>#N/A</v>
      </c>
      <c r="AP349" s="673" t="e">
        <f>IF(G349="مدير ولائي",0,LOOKUP(D349,'f-travail'!A:A,'f-travail'!V:V)*(AF349+AG349))</f>
        <v>#N/A</v>
      </c>
      <c r="AQ349" s="673" t="e">
        <f>IF(G349="مدير ولائي",0,LOOKUP(D349,'f-travail'!A:A,'f-travail'!W:W)*(AF349+AG349))</f>
        <v>#N/A</v>
      </c>
      <c r="AR349" s="673">
        <f t="shared" si="159"/>
        <v>0</v>
      </c>
      <c r="AS349" s="673" t="e">
        <f>IF(G349="مدير ولائي",0,LOOKUP(D349,'f-travail'!A:A,'f-travail'!X:X)*(AF349+AG349))</f>
        <v>#N/A</v>
      </c>
      <c r="AT349" s="673" t="e">
        <f>IF(G349="مدير ولائي",0,LOOKUP(D349,'f-travail'!Y:Y,'f-travail'!R:R)*(AF349+AG349))</f>
        <v>#N/A</v>
      </c>
      <c r="AU349" s="673">
        <f t="shared" si="149"/>
        <v>0</v>
      </c>
      <c r="AV349" s="673">
        <f t="shared" si="150"/>
        <v>0</v>
      </c>
      <c r="AW349" s="673">
        <f t="shared" si="151"/>
        <v>0</v>
      </c>
      <c r="AY349" s="640" t="e">
        <f t="shared" si="160"/>
        <v>#N/A</v>
      </c>
      <c r="AZ349" s="673" t="e">
        <f t="shared" si="152"/>
        <v>#N/A</v>
      </c>
      <c r="BA349" s="639" t="e">
        <f t="shared" si="153"/>
        <v>#N/A</v>
      </c>
      <c r="BG349" s="639">
        <f t="shared" si="161"/>
        <v>0</v>
      </c>
      <c r="BH349" s="683">
        <f t="shared" si="162"/>
        <v>0</v>
      </c>
      <c r="BI349" s="683">
        <f t="shared" si="163"/>
        <v>0</v>
      </c>
      <c r="BJ349" s="641" t="e">
        <f t="shared" si="164"/>
        <v>#N/A</v>
      </c>
      <c r="BK349" s="641" t="e">
        <f t="shared" si="165"/>
        <v>#N/A</v>
      </c>
      <c r="BL349" s="641" t="e">
        <f t="shared" si="166"/>
        <v>#N/A</v>
      </c>
      <c r="BM349" s="684" t="e">
        <f t="shared" si="167"/>
        <v>#N/A</v>
      </c>
      <c r="BO349" s="682" t="e">
        <f>CONCATENATE(Z349," ",LOOKUP(D349,'f-travail'!A:A,'f-travail'!F:F))</f>
        <v>#N/A</v>
      </c>
      <c r="BP349" s="669" t="e">
        <f t="shared" si="154"/>
        <v>#N/A</v>
      </c>
    </row>
    <row r="350" spans="1:68">
      <c r="A350" s="636">
        <f t="shared" si="168"/>
        <v>349</v>
      </c>
      <c r="B350" s="637"/>
      <c r="C350" s="637"/>
      <c r="D350" s="652"/>
      <c r="E350" s="679" t="e">
        <f>LOOKUP(D350,'f-travail'!A:A,'f-travail'!B:B)</f>
        <v>#N/A</v>
      </c>
      <c r="F350" s="650"/>
      <c r="G350" s="650"/>
      <c r="H350" s="653"/>
      <c r="I350" s="653"/>
      <c r="J350" s="654"/>
      <c r="K350" s="650"/>
      <c r="L350" s="650"/>
      <c r="M350" s="650">
        <v>0</v>
      </c>
      <c r="N350" s="654"/>
      <c r="O350" s="654"/>
      <c r="P350" s="654"/>
      <c r="Q350" s="654"/>
      <c r="R350" s="676"/>
      <c r="S350" s="654"/>
      <c r="T350" s="675"/>
      <c r="U350" s="675"/>
      <c r="V350" s="670" t="e">
        <f>LOOKUP(D350,'f-travail'!A:A,'f-travail'!E:E)</f>
        <v>#N/A</v>
      </c>
      <c r="W350" s="670" t="e">
        <f>VLOOKUP(V350,جرقمإستدلالي,'f-travail'!$AD$4+1,FALSE)</f>
        <v>#N/A</v>
      </c>
      <c r="X350" s="671" t="e">
        <f t="shared" si="144"/>
        <v>#N/A</v>
      </c>
      <c r="Y350" s="671">
        <f>IF(G350="مدير ولائي",(HLOOKUP(I350,جدروظعليا,'f-travail'!$AT$3+1,FALSE)-3200),0)</f>
        <v>0</v>
      </c>
      <c r="Z350" s="672" t="str">
        <f t="shared" si="155"/>
        <v/>
      </c>
      <c r="AA350" s="671">
        <f t="shared" si="156"/>
        <v>0</v>
      </c>
      <c r="AB350" s="677" t="b">
        <f t="shared" si="145"/>
        <v>0</v>
      </c>
      <c r="AC350" s="678">
        <f t="shared" si="157"/>
        <v>0</v>
      </c>
      <c r="AD350" s="673"/>
      <c r="AE350" s="678">
        <f t="shared" si="146"/>
        <v>0</v>
      </c>
      <c r="AF350" s="678" t="e">
        <f t="shared" si="147"/>
        <v>#N/A</v>
      </c>
      <c r="AG350" s="678" t="e">
        <f t="shared" si="148"/>
        <v>#N/A</v>
      </c>
      <c r="AH350" s="673">
        <f t="shared" si="158"/>
        <v>0</v>
      </c>
      <c r="AI350" s="674" t="e">
        <f>IF(G350="مدير ولائي",(11000*35%),LOOKUP(D350,'f-travail'!A:A,'f-travail'!I:I))</f>
        <v>#N/A</v>
      </c>
      <c r="AJ350" s="673" t="e">
        <f>IF(G350="مدير ولائي",((W350+X350)*45)*80%,IF(V350&lt;8,0,IF(F350="إليزي",(LOOKUP(D350,'f-travail'!A:A,'f-travail'!O:O))*(AF350+AG350),LOOKUP(D350,'f-travail'!A:A,'f-travail'!P:P)*(AF350+AG350))))</f>
        <v>#N/A</v>
      </c>
      <c r="AK350" s="673" t="e">
        <f>IF(G350="مدير ولائي",0,LOOKUP(D350,'f-travail'!A:A,'f-travail'!Q:Q))</f>
        <v>#N/A</v>
      </c>
      <c r="AL350" s="673" t="e">
        <f>IF(G350="مدير ولائي",0,LOOKUP(D350,'f-travail'!A:A,'f-travail'!R:R)*(AF350+AG350))</f>
        <v>#N/A</v>
      </c>
      <c r="AM350" s="673" t="e">
        <f>IF(G350="مدير ولائي",0,LOOKUP(D350,'f-travail'!A:A,'f-travail'!S:S)*(AF350+AG350))</f>
        <v>#N/A</v>
      </c>
      <c r="AN350" s="673" t="e">
        <f>IF(G350="مدير ولائي",0,LOOKUP(D350,'f-travail'!A:A,'f-travail'!T:T)*(AF350+AG350))</f>
        <v>#N/A</v>
      </c>
      <c r="AO350" s="673" t="e">
        <f>IF(G350="مدير ولائي",0,LOOKUP(D350,'f-travail'!A:A,'f-travail'!U:U)*(AF350+AG350))</f>
        <v>#N/A</v>
      </c>
      <c r="AP350" s="673" t="e">
        <f>IF(G350="مدير ولائي",0,LOOKUP(D350,'f-travail'!A:A,'f-travail'!V:V)*(AF350+AG350))</f>
        <v>#N/A</v>
      </c>
      <c r="AQ350" s="673" t="e">
        <f>IF(G350="مدير ولائي",0,LOOKUP(D350,'f-travail'!A:A,'f-travail'!W:W)*(AF350+AG350))</f>
        <v>#N/A</v>
      </c>
      <c r="AR350" s="673">
        <f t="shared" si="159"/>
        <v>0</v>
      </c>
      <c r="AS350" s="673" t="e">
        <f>IF(G350="مدير ولائي",0,LOOKUP(D350,'f-travail'!A:A,'f-travail'!X:X)*(AF350+AG350))</f>
        <v>#N/A</v>
      </c>
      <c r="AT350" s="673" t="e">
        <f>IF(G350="مدير ولائي",0,LOOKUP(D350,'f-travail'!Y:Y,'f-travail'!R:R)*(AF350+AG350))</f>
        <v>#N/A</v>
      </c>
      <c r="AU350" s="673">
        <f t="shared" si="149"/>
        <v>0</v>
      </c>
      <c r="AV350" s="673">
        <f t="shared" si="150"/>
        <v>0</v>
      </c>
      <c r="AW350" s="673">
        <f t="shared" si="151"/>
        <v>0</v>
      </c>
      <c r="AY350" s="640" t="e">
        <f t="shared" si="160"/>
        <v>#N/A</v>
      </c>
      <c r="AZ350" s="673" t="e">
        <f t="shared" si="152"/>
        <v>#N/A</v>
      </c>
      <c r="BA350" s="639" t="e">
        <f t="shared" si="153"/>
        <v>#N/A</v>
      </c>
      <c r="BG350" s="639">
        <f t="shared" si="161"/>
        <v>0</v>
      </c>
      <c r="BH350" s="683">
        <f t="shared" si="162"/>
        <v>0</v>
      </c>
      <c r="BI350" s="683">
        <f t="shared" si="163"/>
        <v>0</v>
      </c>
      <c r="BJ350" s="641" t="e">
        <f t="shared" si="164"/>
        <v>#N/A</v>
      </c>
      <c r="BK350" s="641" t="e">
        <f t="shared" si="165"/>
        <v>#N/A</v>
      </c>
      <c r="BL350" s="641" t="e">
        <f t="shared" si="166"/>
        <v>#N/A</v>
      </c>
      <c r="BM350" s="684" t="e">
        <f t="shared" si="167"/>
        <v>#N/A</v>
      </c>
      <c r="BO350" s="682" t="e">
        <f>CONCATENATE(Z350," ",LOOKUP(D350,'f-travail'!A:A,'f-travail'!F:F))</f>
        <v>#N/A</v>
      </c>
      <c r="BP350" s="669" t="e">
        <f t="shared" si="154"/>
        <v>#N/A</v>
      </c>
    </row>
    <row r="351" spans="1:68">
      <c r="A351" s="636">
        <f t="shared" si="168"/>
        <v>350</v>
      </c>
      <c r="B351" s="637"/>
      <c r="C351" s="637"/>
      <c r="D351" s="652"/>
      <c r="E351" s="679" t="e">
        <f>LOOKUP(D351,'f-travail'!A:A,'f-travail'!B:B)</f>
        <v>#N/A</v>
      </c>
      <c r="F351" s="650"/>
      <c r="G351" s="650"/>
      <c r="H351" s="653"/>
      <c r="I351" s="653"/>
      <c r="J351" s="654"/>
      <c r="K351" s="650"/>
      <c r="L351" s="650"/>
      <c r="M351" s="650">
        <v>0</v>
      </c>
      <c r="N351" s="654"/>
      <c r="O351" s="654"/>
      <c r="P351" s="654"/>
      <c r="Q351" s="654"/>
      <c r="R351" s="676"/>
      <c r="S351" s="654"/>
      <c r="T351" s="675"/>
      <c r="U351" s="675"/>
      <c r="V351" s="670" t="e">
        <f>LOOKUP(D351,'f-travail'!A:A,'f-travail'!E:E)</f>
        <v>#N/A</v>
      </c>
      <c r="W351" s="670" t="e">
        <f>VLOOKUP(V351,جرقمإستدلالي,'f-travail'!$AD$4+1,FALSE)</f>
        <v>#N/A</v>
      </c>
      <c r="X351" s="671" t="e">
        <f t="shared" si="144"/>
        <v>#N/A</v>
      </c>
      <c r="Y351" s="671">
        <f>IF(G351="مدير ولائي",(HLOOKUP(I351,جدروظعليا,'f-travail'!$AT$3+1,FALSE)-3200),0)</f>
        <v>0</v>
      </c>
      <c r="Z351" s="672" t="str">
        <f t="shared" si="155"/>
        <v/>
      </c>
      <c r="AA351" s="671">
        <f t="shared" si="156"/>
        <v>0</v>
      </c>
      <c r="AB351" s="677" t="b">
        <f t="shared" si="145"/>
        <v>0</v>
      </c>
      <c r="AC351" s="678">
        <f t="shared" si="157"/>
        <v>0</v>
      </c>
      <c r="AD351" s="673"/>
      <c r="AE351" s="678">
        <f t="shared" si="146"/>
        <v>0</v>
      </c>
      <c r="AF351" s="678" t="e">
        <f t="shared" si="147"/>
        <v>#N/A</v>
      </c>
      <c r="AG351" s="678" t="e">
        <f t="shared" si="148"/>
        <v>#N/A</v>
      </c>
      <c r="AH351" s="673">
        <f t="shared" si="158"/>
        <v>0</v>
      </c>
      <c r="AI351" s="674" t="e">
        <f>IF(G351="مدير ولائي",(11000*35%),LOOKUP(D351,'f-travail'!A:A,'f-travail'!I:I))</f>
        <v>#N/A</v>
      </c>
      <c r="AJ351" s="673" t="e">
        <f>IF(G351="مدير ولائي",((W351+X351)*45)*80%,IF(V351&lt;8,0,IF(F351="إليزي",(LOOKUP(D351,'f-travail'!A:A,'f-travail'!O:O))*(AF351+AG351),LOOKUP(D351,'f-travail'!A:A,'f-travail'!P:P)*(AF351+AG351))))</f>
        <v>#N/A</v>
      </c>
      <c r="AK351" s="673" t="e">
        <f>IF(G351="مدير ولائي",0,LOOKUP(D351,'f-travail'!A:A,'f-travail'!Q:Q))</f>
        <v>#N/A</v>
      </c>
      <c r="AL351" s="673" t="e">
        <f>IF(G351="مدير ولائي",0,LOOKUP(D351,'f-travail'!A:A,'f-travail'!R:R)*(AF351+AG351))</f>
        <v>#N/A</v>
      </c>
      <c r="AM351" s="673" t="e">
        <f>IF(G351="مدير ولائي",0,LOOKUP(D351,'f-travail'!A:A,'f-travail'!S:S)*(AF351+AG351))</f>
        <v>#N/A</v>
      </c>
      <c r="AN351" s="673" t="e">
        <f>IF(G351="مدير ولائي",0,LOOKUP(D351,'f-travail'!A:A,'f-travail'!T:T)*(AF351+AG351))</f>
        <v>#N/A</v>
      </c>
      <c r="AO351" s="673" t="e">
        <f>IF(G351="مدير ولائي",0,LOOKUP(D351,'f-travail'!A:A,'f-travail'!U:U)*(AF351+AG351))</f>
        <v>#N/A</v>
      </c>
      <c r="AP351" s="673" t="e">
        <f>IF(G351="مدير ولائي",0,LOOKUP(D351,'f-travail'!A:A,'f-travail'!V:V)*(AF351+AG351))</f>
        <v>#N/A</v>
      </c>
      <c r="AQ351" s="673" t="e">
        <f>IF(G351="مدير ولائي",0,LOOKUP(D351,'f-travail'!A:A,'f-travail'!W:W)*(AF351+AG351))</f>
        <v>#N/A</v>
      </c>
      <c r="AR351" s="673">
        <f t="shared" si="159"/>
        <v>0</v>
      </c>
      <c r="AS351" s="673" t="e">
        <f>IF(G351="مدير ولائي",0,LOOKUP(D351,'f-travail'!A:A,'f-travail'!X:X)*(AF351+AG351))</f>
        <v>#N/A</v>
      </c>
      <c r="AT351" s="673" t="e">
        <f>IF(G351="مدير ولائي",0,LOOKUP(D351,'f-travail'!Y:Y,'f-travail'!R:R)*(AF351+AG351))</f>
        <v>#N/A</v>
      </c>
      <c r="AU351" s="673">
        <f t="shared" si="149"/>
        <v>0</v>
      </c>
      <c r="AV351" s="673">
        <f t="shared" si="150"/>
        <v>0</v>
      </c>
      <c r="AW351" s="673">
        <f t="shared" si="151"/>
        <v>0</v>
      </c>
      <c r="AY351" s="640" t="e">
        <f t="shared" si="160"/>
        <v>#N/A</v>
      </c>
      <c r="AZ351" s="673" t="e">
        <f t="shared" si="152"/>
        <v>#N/A</v>
      </c>
      <c r="BA351" s="639" t="e">
        <f t="shared" si="153"/>
        <v>#N/A</v>
      </c>
      <c r="BG351" s="639">
        <f t="shared" si="161"/>
        <v>0</v>
      </c>
      <c r="BH351" s="683">
        <f t="shared" si="162"/>
        <v>0</v>
      </c>
      <c r="BI351" s="683">
        <f t="shared" si="163"/>
        <v>0</v>
      </c>
      <c r="BJ351" s="641" t="e">
        <f t="shared" si="164"/>
        <v>#N/A</v>
      </c>
      <c r="BK351" s="641" t="e">
        <f t="shared" si="165"/>
        <v>#N/A</v>
      </c>
      <c r="BL351" s="641" t="e">
        <f t="shared" si="166"/>
        <v>#N/A</v>
      </c>
      <c r="BM351" s="684" t="e">
        <f t="shared" si="167"/>
        <v>#N/A</v>
      </c>
      <c r="BO351" s="682" t="e">
        <f>CONCATENATE(Z351," ",LOOKUP(D351,'f-travail'!A:A,'f-travail'!F:F))</f>
        <v>#N/A</v>
      </c>
      <c r="BP351" s="669" t="e">
        <f t="shared" si="154"/>
        <v>#N/A</v>
      </c>
    </row>
    <row r="352" spans="1:68">
      <c r="A352" s="636">
        <f t="shared" si="168"/>
        <v>351</v>
      </c>
      <c r="B352" s="637"/>
      <c r="C352" s="637"/>
      <c r="D352" s="652"/>
      <c r="E352" s="679" t="e">
        <f>LOOKUP(D352,'f-travail'!A:A,'f-travail'!B:B)</f>
        <v>#N/A</v>
      </c>
      <c r="F352" s="650"/>
      <c r="G352" s="650"/>
      <c r="H352" s="653"/>
      <c r="I352" s="653"/>
      <c r="J352" s="654"/>
      <c r="K352" s="650"/>
      <c r="L352" s="650"/>
      <c r="M352" s="650">
        <v>0</v>
      </c>
      <c r="N352" s="654"/>
      <c r="O352" s="654"/>
      <c r="P352" s="654"/>
      <c r="Q352" s="654"/>
      <c r="R352" s="676"/>
      <c r="S352" s="654"/>
      <c r="T352" s="675"/>
      <c r="U352" s="675"/>
      <c r="V352" s="670" t="e">
        <f>LOOKUP(D352,'f-travail'!A:A,'f-travail'!E:E)</f>
        <v>#N/A</v>
      </c>
      <c r="W352" s="670" t="e">
        <f>VLOOKUP(V352,جرقمإستدلالي,'f-travail'!$AD$4+1,FALSE)</f>
        <v>#N/A</v>
      </c>
      <c r="X352" s="671" t="e">
        <f t="shared" si="144"/>
        <v>#N/A</v>
      </c>
      <c r="Y352" s="671">
        <f>IF(G352="مدير ولائي",(HLOOKUP(I352,جدروظعليا,'f-travail'!$AT$3+1,FALSE)-3200),0)</f>
        <v>0</v>
      </c>
      <c r="Z352" s="672" t="str">
        <f t="shared" si="155"/>
        <v/>
      </c>
      <c r="AA352" s="671">
        <f t="shared" si="156"/>
        <v>0</v>
      </c>
      <c r="AB352" s="677" t="b">
        <f t="shared" si="145"/>
        <v>0</v>
      </c>
      <c r="AC352" s="678">
        <f t="shared" si="157"/>
        <v>0</v>
      </c>
      <c r="AD352" s="673"/>
      <c r="AE352" s="678">
        <f t="shared" si="146"/>
        <v>0</v>
      </c>
      <c r="AF352" s="678" t="e">
        <f t="shared" si="147"/>
        <v>#N/A</v>
      </c>
      <c r="AG352" s="678" t="e">
        <f t="shared" si="148"/>
        <v>#N/A</v>
      </c>
      <c r="AH352" s="673">
        <f t="shared" si="158"/>
        <v>0</v>
      </c>
      <c r="AI352" s="674" t="e">
        <f>IF(G352="مدير ولائي",(11000*35%),LOOKUP(D352,'f-travail'!A:A,'f-travail'!I:I))</f>
        <v>#N/A</v>
      </c>
      <c r="AJ352" s="673" t="e">
        <f>IF(G352="مدير ولائي",((W352+X352)*45)*80%,IF(V352&lt;8,0,IF(F352="إليزي",(LOOKUP(D352,'f-travail'!A:A,'f-travail'!O:O))*(AF352+AG352),LOOKUP(D352,'f-travail'!A:A,'f-travail'!P:P)*(AF352+AG352))))</f>
        <v>#N/A</v>
      </c>
      <c r="AK352" s="673" t="e">
        <f>IF(G352="مدير ولائي",0,LOOKUP(D352,'f-travail'!A:A,'f-travail'!Q:Q))</f>
        <v>#N/A</v>
      </c>
      <c r="AL352" s="673" t="e">
        <f>IF(G352="مدير ولائي",0,LOOKUP(D352,'f-travail'!A:A,'f-travail'!R:R)*(AF352+AG352))</f>
        <v>#N/A</v>
      </c>
      <c r="AM352" s="673" t="e">
        <f>IF(G352="مدير ولائي",0,LOOKUP(D352,'f-travail'!A:A,'f-travail'!S:S)*(AF352+AG352))</f>
        <v>#N/A</v>
      </c>
      <c r="AN352" s="673" t="e">
        <f>IF(G352="مدير ولائي",0,LOOKUP(D352,'f-travail'!A:A,'f-travail'!T:T)*(AF352+AG352))</f>
        <v>#N/A</v>
      </c>
      <c r="AO352" s="673" t="e">
        <f>IF(G352="مدير ولائي",0,LOOKUP(D352,'f-travail'!A:A,'f-travail'!U:U)*(AF352+AG352))</f>
        <v>#N/A</v>
      </c>
      <c r="AP352" s="673" t="e">
        <f>IF(G352="مدير ولائي",0,LOOKUP(D352,'f-travail'!A:A,'f-travail'!V:V)*(AF352+AG352))</f>
        <v>#N/A</v>
      </c>
      <c r="AQ352" s="673" t="e">
        <f>IF(G352="مدير ولائي",0,LOOKUP(D352,'f-travail'!A:A,'f-travail'!W:W)*(AF352+AG352))</f>
        <v>#N/A</v>
      </c>
      <c r="AR352" s="673">
        <f t="shared" si="159"/>
        <v>0</v>
      </c>
      <c r="AS352" s="673" t="e">
        <f>IF(G352="مدير ولائي",0,LOOKUP(D352,'f-travail'!A:A,'f-travail'!X:X)*(AF352+AG352))</f>
        <v>#N/A</v>
      </c>
      <c r="AT352" s="673" t="e">
        <f>IF(G352="مدير ولائي",0,LOOKUP(D352,'f-travail'!Y:Y,'f-travail'!R:R)*(AF352+AG352))</f>
        <v>#N/A</v>
      </c>
      <c r="AU352" s="673">
        <f t="shared" si="149"/>
        <v>0</v>
      </c>
      <c r="AV352" s="673">
        <f t="shared" si="150"/>
        <v>0</v>
      </c>
      <c r="AW352" s="673">
        <f t="shared" si="151"/>
        <v>0</v>
      </c>
      <c r="AY352" s="640" t="e">
        <f t="shared" si="160"/>
        <v>#N/A</v>
      </c>
      <c r="AZ352" s="673" t="e">
        <f t="shared" si="152"/>
        <v>#N/A</v>
      </c>
      <c r="BA352" s="639" t="e">
        <f t="shared" si="153"/>
        <v>#N/A</v>
      </c>
      <c r="BG352" s="639">
        <f t="shared" si="161"/>
        <v>0</v>
      </c>
      <c r="BH352" s="683">
        <f t="shared" si="162"/>
        <v>0</v>
      </c>
      <c r="BI352" s="683">
        <f t="shared" si="163"/>
        <v>0</v>
      </c>
      <c r="BJ352" s="641" t="e">
        <f t="shared" si="164"/>
        <v>#N/A</v>
      </c>
      <c r="BK352" s="641" t="e">
        <f t="shared" si="165"/>
        <v>#N/A</v>
      </c>
      <c r="BL352" s="641" t="e">
        <f t="shared" si="166"/>
        <v>#N/A</v>
      </c>
      <c r="BM352" s="684" t="e">
        <f t="shared" si="167"/>
        <v>#N/A</v>
      </c>
      <c r="BO352" s="682" t="e">
        <f>CONCATENATE(Z352," ",LOOKUP(D352,'f-travail'!A:A,'f-travail'!F:F))</f>
        <v>#N/A</v>
      </c>
      <c r="BP352" s="669" t="e">
        <f t="shared" si="154"/>
        <v>#N/A</v>
      </c>
    </row>
    <row r="353" spans="1:68">
      <c r="A353" s="636">
        <f t="shared" si="168"/>
        <v>352</v>
      </c>
      <c r="B353" s="637"/>
      <c r="C353" s="637"/>
      <c r="D353" s="652"/>
      <c r="E353" s="679" t="e">
        <f>LOOKUP(D353,'f-travail'!A:A,'f-travail'!B:B)</f>
        <v>#N/A</v>
      </c>
      <c r="F353" s="650"/>
      <c r="G353" s="650"/>
      <c r="H353" s="653"/>
      <c r="I353" s="653"/>
      <c r="J353" s="654"/>
      <c r="K353" s="650"/>
      <c r="L353" s="650"/>
      <c r="M353" s="650">
        <v>0</v>
      </c>
      <c r="N353" s="654"/>
      <c r="O353" s="654"/>
      <c r="P353" s="654"/>
      <c r="Q353" s="654"/>
      <c r="R353" s="676"/>
      <c r="S353" s="654"/>
      <c r="T353" s="675"/>
      <c r="U353" s="675"/>
      <c r="V353" s="670" t="e">
        <f>LOOKUP(D353,'f-travail'!A:A,'f-travail'!E:E)</f>
        <v>#N/A</v>
      </c>
      <c r="W353" s="670" t="e">
        <f>VLOOKUP(V353,جرقمإستدلالي,'f-travail'!$AD$4+1,FALSE)</f>
        <v>#N/A</v>
      </c>
      <c r="X353" s="671" t="e">
        <f t="shared" si="144"/>
        <v>#N/A</v>
      </c>
      <c r="Y353" s="671">
        <f>IF(G353="مدير ولائي",(HLOOKUP(I353,جدروظعليا,'f-travail'!$AT$3+1,FALSE)-3200),0)</f>
        <v>0</v>
      </c>
      <c r="Z353" s="672" t="str">
        <f t="shared" si="155"/>
        <v/>
      </c>
      <c r="AA353" s="671">
        <f t="shared" si="156"/>
        <v>0</v>
      </c>
      <c r="AB353" s="677" t="b">
        <f t="shared" si="145"/>
        <v>0</v>
      </c>
      <c r="AC353" s="678">
        <f t="shared" si="157"/>
        <v>0</v>
      </c>
      <c r="AD353" s="673"/>
      <c r="AE353" s="678">
        <f t="shared" si="146"/>
        <v>0</v>
      </c>
      <c r="AF353" s="678" t="e">
        <f t="shared" si="147"/>
        <v>#N/A</v>
      </c>
      <c r="AG353" s="678" t="e">
        <f t="shared" si="148"/>
        <v>#N/A</v>
      </c>
      <c r="AH353" s="673">
        <f t="shared" si="158"/>
        <v>0</v>
      </c>
      <c r="AI353" s="674" t="e">
        <f>IF(G353="مدير ولائي",(11000*35%),LOOKUP(D353,'f-travail'!A:A,'f-travail'!I:I))</f>
        <v>#N/A</v>
      </c>
      <c r="AJ353" s="673" t="e">
        <f>IF(G353="مدير ولائي",((W353+X353)*45)*80%,IF(V353&lt;8,0,IF(F353="إليزي",(LOOKUP(D353,'f-travail'!A:A,'f-travail'!O:O))*(AF353+AG353),LOOKUP(D353,'f-travail'!A:A,'f-travail'!P:P)*(AF353+AG353))))</f>
        <v>#N/A</v>
      </c>
      <c r="AK353" s="673" t="e">
        <f>IF(G353="مدير ولائي",0,LOOKUP(D353,'f-travail'!A:A,'f-travail'!Q:Q))</f>
        <v>#N/A</v>
      </c>
      <c r="AL353" s="673" t="e">
        <f>IF(G353="مدير ولائي",0,LOOKUP(D353,'f-travail'!A:A,'f-travail'!R:R)*(AF353+AG353))</f>
        <v>#N/A</v>
      </c>
      <c r="AM353" s="673" t="e">
        <f>IF(G353="مدير ولائي",0,LOOKUP(D353,'f-travail'!A:A,'f-travail'!S:S)*(AF353+AG353))</f>
        <v>#N/A</v>
      </c>
      <c r="AN353" s="673" t="e">
        <f>IF(G353="مدير ولائي",0,LOOKUP(D353,'f-travail'!A:A,'f-travail'!T:T)*(AF353+AG353))</f>
        <v>#N/A</v>
      </c>
      <c r="AO353" s="673" t="e">
        <f>IF(G353="مدير ولائي",0,LOOKUP(D353,'f-travail'!A:A,'f-travail'!U:U)*(AF353+AG353))</f>
        <v>#N/A</v>
      </c>
      <c r="AP353" s="673" t="e">
        <f>IF(G353="مدير ولائي",0,LOOKUP(D353,'f-travail'!A:A,'f-travail'!V:V)*(AF353+AG353))</f>
        <v>#N/A</v>
      </c>
      <c r="AQ353" s="673" t="e">
        <f>IF(G353="مدير ولائي",0,LOOKUP(D353,'f-travail'!A:A,'f-travail'!W:W)*(AF353+AG353))</f>
        <v>#N/A</v>
      </c>
      <c r="AR353" s="673">
        <f t="shared" si="159"/>
        <v>0</v>
      </c>
      <c r="AS353" s="673" t="e">
        <f>IF(G353="مدير ولائي",0,LOOKUP(D353,'f-travail'!A:A,'f-travail'!X:X)*(AF353+AG353))</f>
        <v>#N/A</v>
      </c>
      <c r="AT353" s="673" t="e">
        <f>IF(G353="مدير ولائي",0,LOOKUP(D353,'f-travail'!Y:Y,'f-travail'!R:R)*(AF353+AG353))</f>
        <v>#N/A</v>
      </c>
      <c r="AU353" s="673">
        <f t="shared" si="149"/>
        <v>0</v>
      </c>
      <c r="AV353" s="673">
        <f t="shared" si="150"/>
        <v>0</v>
      </c>
      <c r="AW353" s="673">
        <f t="shared" si="151"/>
        <v>0</v>
      </c>
      <c r="AY353" s="640" t="e">
        <f t="shared" si="160"/>
        <v>#N/A</v>
      </c>
      <c r="AZ353" s="673" t="e">
        <f t="shared" si="152"/>
        <v>#N/A</v>
      </c>
      <c r="BA353" s="639" t="e">
        <f t="shared" si="153"/>
        <v>#N/A</v>
      </c>
      <c r="BG353" s="639">
        <f t="shared" si="161"/>
        <v>0</v>
      </c>
      <c r="BH353" s="683">
        <f t="shared" si="162"/>
        <v>0</v>
      </c>
      <c r="BI353" s="683">
        <f t="shared" si="163"/>
        <v>0</v>
      </c>
      <c r="BJ353" s="641" t="e">
        <f t="shared" si="164"/>
        <v>#N/A</v>
      </c>
      <c r="BK353" s="641" t="e">
        <f t="shared" si="165"/>
        <v>#N/A</v>
      </c>
      <c r="BL353" s="641" t="e">
        <f t="shared" si="166"/>
        <v>#N/A</v>
      </c>
      <c r="BM353" s="684" t="e">
        <f t="shared" si="167"/>
        <v>#N/A</v>
      </c>
      <c r="BO353" s="682" t="e">
        <f>CONCATENATE(Z353," ",LOOKUP(D353,'f-travail'!A:A,'f-travail'!F:F))</f>
        <v>#N/A</v>
      </c>
      <c r="BP353" s="669" t="e">
        <f t="shared" si="154"/>
        <v>#N/A</v>
      </c>
    </row>
    <row r="354" spans="1:68">
      <c r="A354" s="636">
        <f t="shared" si="168"/>
        <v>353</v>
      </c>
      <c r="B354" s="637"/>
      <c r="C354" s="637"/>
      <c r="D354" s="652"/>
      <c r="E354" s="679" t="e">
        <f>LOOKUP(D354,'f-travail'!A:A,'f-travail'!B:B)</f>
        <v>#N/A</v>
      </c>
      <c r="F354" s="650"/>
      <c r="G354" s="650"/>
      <c r="H354" s="653"/>
      <c r="I354" s="653"/>
      <c r="J354" s="654"/>
      <c r="K354" s="650"/>
      <c r="L354" s="650"/>
      <c r="M354" s="650">
        <v>0</v>
      </c>
      <c r="N354" s="654"/>
      <c r="O354" s="654"/>
      <c r="P354" s="654"/>
      <c r="Q354" s="654"/>
      <c r="R354" s="676"/>
      <c r="S354" s="654"/>
      <c r="T354" s="675"/>
      <c r="U354" s="675"/>
      <c r="V354" s="670" t="e">
        <f>LOOKUP(D354,'f-travail'!A:A,'f-travail'!E:E)</f>
        <v>#N/A</v>
      </c>
      <c r="W354" s="670" t="e">
        <f>VLOOKUP(V354,جرقمإستدلالي,'f-travail'!$AD$4+1,FALSE)</f>
        <v>#N/A</v>
      </c>
      <c r="X354" s="671" t="e">
        <f t="shared" si="144"/>
        <v>#N/A</v>
      </c>
      <c r="Y354" s="671">
        <f>IF(G354="مدير ولائي",(HLOOKUP(I354,جدروظعليا,'f-travail'!$AT$3+1,FALSE)-3200),0)</f>
        <v>0</v>
      </c>
      <c r="Z354" s="672" t="str">
        <f t="shared" si="155"/>
        <v/>
      </c>
      <c r="AA354" s="671">
        <f t="shared" si="156"/>
        <v>0</v>
      </c>
      <c r="AB354" s="677" t="b">
        <f t="shared" si="145"/>
        <v>0</v>
      </c>
      <c r="AC354" s="678">
        <f t="shared" si="157"/>
        <v>0</v>
      </c>
      <c r="AD354" s="673"/>
      <c r="AE354" s="678">
        <f t="shared" si="146"/>
        <v>0</v>
      </c>
      <c r="AF354" s="678" t="e">
        <f t="shared" si="147"/>
        <v>#N/A</v>
      </c>
      <c r="AG354" s="678" t="e">
        <f t="shared" si="148"/>
        <v>#N/A</v>
      </c>
      <c r="AH354" s="673">
        <f t="shared" si="158"/>
        <v>0</v>
      </c>
      <c r="AI354" s="674" t="e">
        <f>IF(G354="مدير ولائي",(11000*35%),LOOKUP(D354,'f-travail'!A:A,'f-travail'!I:I))</f>
        <v>#N/A</v>
      </c>
      <c r="AJ354" s="673" t="e">
        <f>IF(G354="مدير ولائي",((W354+X354)*45)*80%,IF(V354&lt;8,0,IF(F354="إليزي",(LOOKUP(D354,'f-travail'!A:A,'f-travail'!O:O))*(AF354+AG354),LOOKUP(D354,'f-travail'!A:A,'f-travail'!P:P)*(AF354+AG354))))</f>
        <v>#N/A</v>
      </c>
      <c r="AK354" s="673" t="e">
        <f>IF(G354="مدير ولائي",0,LOOKUP(D354,'f-travail'!A:A,'f-travail'!Q:Q))</f>
        <v>#N/A</v>
      </c>
      <c r="AL354" s="673" t="e">
        <f>IF(G354="مدير ولائي",0,LOOKUP(D354,'f-travail'!A:A,'f-travail'!R:R)*(AF354+AG354))</f>
        <v>#N/A</v>
      </c>
      <c r="AM354" s="673" t="e">
        <f>IF(G354="مدير ولائي",0,LOOKUP(D354,'f-travail'!A:A,'f-travail'!S:S)*(AF354+AG354))</f>
        <v>#N/A</v>
      </c>
      <c r="AN354" s="673" t="e">
        <f>IF(G354="مدير ولائي",0,LOOKUP(D354,'f-travail'!A:A,'f-travail'!T:T)*(AF354+AG354))</f>
        <v>#N/A</v>
      </c>
      <c r="AO354" s="673" t="e">
        <f>IF(G354="مدير ولائي",0,LOOKUP(D354,'f-travail'!A:A,'f-travail'!U:U)*(AF354+AG354))</f>
        <v>#N/A</v>
      </c>
      <c r="AP354" s="673" t="e">
        <f>IF(G354="مدير ولائي",0,LOOKUP(D354,'f-travail'!A:A,'f-travail'!V:V)*(AF354+AG354))</f>
        <v>#N/A</v>
      </c>
      <c r="AQ354" s="673" t="e">
        <f>IF(G354="مدير ولائي",0,LOOKUP(D354,'f-travail'!A:A,'f-travail'!W:W)*(AF354+AG354))</f>
        <v>#N/A</v>
      </c>
      <c r="AR354" s="673">
        <f t="shared" si="159"/>
        <v>0</v>
      </c>
      <c r="AS354" s="673" t="e">
        <f>IF(G354="مدير ولائي",0,LOOKUP(D354,'f-travail'!A:A,'f-travail'!X:X)*(AF354+AG354))</f>
        <v>#N/A</v>
      </c>
      <c r="AT354" s="673" t="e">
        <f>IF(G354="مدير ولائي",0,LOOKUP(D354,'f-travail'!Y:Y,'f-travail'!R:R)*(AF354+AG354))</f>
        <v>#N/A</v>
      </c>
      <c r="AU354" s="673">
        <f t="shared" si="149"/>
        <v>0</v>
      </c>
      <c r="AV354" s="673">
        <f t="shared" si="150"/>
        <v>0</v>
      </c>
      <c r="AW354" s="673">
        <f t="shared" si="151"/>
        <v>0</v>
      </c>
      <c r="AY354" s="640" t="e">
        <f t="shared" si="160"/>
        <v>#N/A</v>
      </c>
      <c r="AZ354" s="673" t="e">
        <f t="shared" si="152"/>
        <v>#N/A</v>
      </c>
      <c r="BA354" s="639" t="e">
        <f t="shared" si="153"/>
        <v>#N/A</v>
      </c>
      <c r="BG354" s="639">
        <f t="shared" si="161"/>
        <v>0</v>
      </c>
      <c r="BH354" s="683">
        <f t="shared" si="162"/>
        <v>0</v>
      </c>
      <c r="BI354" s="683">
        <f t="shared" si="163"/>
        <v>0</v>
      </c>
      <c r="BJ354" s="641" t="e">
        <f t="shared" si="164"/>
        <v>#N/A</v>
      </c>
      <c r="BK354" s="641" t="e">
        <f t="shared" si="165"/>
        <v>#N/A</v>
      </c>
      <c r="BL354" s="641" t="e">
        <f t="shared" si="166"/>
        <v>#N/A</v>
      </c>
      <c r="BM354" s="684" t="e">
        <f t="shared" si="167"/>
        <v>#N/A</v>
      </c>
      <c r="BO354" s="682" t="e">
        <f>CONCATENATE(Z354," ",LOOKUP(D354,'f-travail'!A:A,'f-travail'!F:F))</f>
        <v>#N/A</v>
      </c>
      <c r="BP354" s="669" t="e">
        <f t="shared" si="154"/>
        <v>#N/A</v>
      </c>
    </row>
    <row r="355" spans="1:68">
      <c r="A355" s="636">
        <f t="shared" si="168"/>
        <v>354</v>
      </c>
      <c r="B355" s="637"/>
      <c r="C355" s="637"/>
      <c r="D355" s="652"/>
      <c r="E355" s="679" t="e">
        <f>LOOKUP(D355,'f-travail'!A:A,'f-travail'!B:B)</f>
        <v>#N/A</v>
      </c>
      <c r="F355" s="650"/>
      <c r="G355" s="650"/>
      <c r="H355" s="653"/>
      <c r="I355" s="653"/>
      <c r="J355" s="654"/>
      <c r="K355" s="650"/>
      <c r="L355" s="650"/>
      <c r="M355" s="650">
        <v>0</v>
      </c>
      <c r="N355" s="654"/>
      <c r="O355" s="654"/>
      <c r="P355" s="654"/>
      <c r="Q355" s="654"/>
      <c r="R355" s="676"/>
      <c r="S355" s="654"/>
      <c r="T355" s="675"/>
      <c r="U355" s="675"/>
      <c r="V355" s="670" t="e">
        <f>LOOKUP(D355,'f-travail'!A:A,'f-travail'!E:E)</f>
        <v>#N/A</v>
      </c>
      <c r="W355" s="670" t="e">
        <f>VLOOKUP(V355,جرقمإستدلالي,'f-travail'!$AD$4+1,FALSE)</f>
        <v>#N/A</v>
      </c>
      <c r="X355" s="671" t="e">
        <f t="shared" si="144"/>
        <v>#N/A</v>
      </c>
      <c r="Y355" s="671">
        <f>IF(G355="مدير ولائي",(HLOOKUP(I355,جدروظعليا,'f-travail'!$AT$3+1,FALSE)-3200),0)</f>
        <v>0</v>
      </c>
      <c r="Z355" s="672" t="str">
        <f t="shared" si="155"/>
        <v/>
      </c>
      <c r="AA355" s="671">
        <f t="shared" si="156"/>
        <v>0</v>
      </c>
      <c r="AB355" s="677" t="b">
        <f t="shared" si="145"/>
        <v>0</v>
      </c>
      <c r="AC355" s="678">
        <f t="shared" si="157"/>
        <v>0</v>
      </c>
      <c r="AD355" s="673"/>
      <c r="AE355" s="678">
        <f t="shared" si="146"/>
        <v>0</v>
      </c>
      <c r="AF355" s="678" t="e">
        <f t="shared" si="147"/>
        <v>#N/A</v>
      </c>
      <c r="AG355" s="678" t="e">
        <f t="shared" si="148"/>
        <v>#N/A</v>
      </c>
      <c r="AH355" s="673">
        <f t="shared" si="158"/>
        <v>0</v>
      </c>
      <c r="AI355" s="674" t="e">
        <f>IF(G355="مدير ولائي",(11000*35%),LOOKUP(D355,'f-travail'!A:A,'f-travail'!I:I))</f>
        <v>#N/A</v>
      </c>
      <c r="AJ355" s="673" t="e">
        <f>IF(G355="مدير ولائي",((W355+X355)*45)*80%,IF(V355&lt;8,0,IF(F355="إليزي",(LOOKUP(D355,'f-travail'!A:A,'f-travail'!O:O))*(AF355+AG355),LOOKUP(D355,'f-travail'!A:A,'f-travail'!P:P)*(AF355+AG355))))</f>
        <v>#N/A</v>
      </c>
      <c r="AK355" s="673" t="e">
        <f>IF(G355="مدير ولائي",0,LOOKUP(D355,'f-travail'!A:A,'f-travail'!Q:Q))</f>
        <v>#N/A</v>
      </c>
      <c r="AL355" s="673" t="e">
        <f>IF(G355="مدير ولائي",0,LOOKUP(D355,'f-travail'!A:A,'f-travail'!R:R)*(AF355+AG355))</f>
        <v>#N/A</v>
      </c>
      <c r="AM355" s="673" t="e">
        <f>IF(G355="مدير ولائي",0,LOOKUP(D355,'f-travail'!A:A,'f-travail'!S:S)*(AF355+AG355))</f>
        <v>#N/A</v>
      </c>
      <c r="AN355" s="673" t="e">
        <f>IF(G355="مدير ولائي",0,LOOKUP(D355,'f-travail'!A:A,'f-travail'!T:T)*(AF355+AG355))</f>
        <v>#N/A</v>
      </c>
      <c r="AO355" s="673" t="e">
        <f>IF(G355="مدير ولائي",0,LOOKUP(D355,'f-travail'!A:A,'f-travail'!U:U)*(AF355+AG355))</f>
        <v>#N/A</v>
      </c>
      <c r="AP355" s="673" t="e">
        <f>IF(G355="مدير ولائي",0,LOOKUP(D355,'f-travail'!A:A,'f-travail'!V:V)*(AF355+AG355))</f>
        <v>#N/A</v>
      </c>
      <c r="AQ355" s="673" t="e">
        <f>IF(G355="مدير ولائي",0,LOOKUP(D355,'f-travail'!A:A,'f-travail'!W:W)*(AF355+AG355))</f>
        <v>#N/A</v>
      </c>
      <c r="AR355" s="673">
        <f t="shared" si="159"/>
        <v>0</v>
      </c>
      <c r="AS355" s="673" t="e">
        <f>IF(G355="مدير ولائي",0,LOOKUP(D355,'f-travail'!A:A,'f-travail'!X:X)*(AF355+AG355))</f>
        <v>#N/A</v>
      </c>
      <c r="AT355" s="673" t="e">
        <f>IF(G355="مدير ولائي",0,LOOKUP(D355,'f-travail'!Y:Y,'f-travail'!R:R)*(AF355+AG355))</f>
        <v>#N/A</v>
      </c>
      <c r="AU355" s="673">
        <f t="shared" si="149"/>
        <v>0</v>
      </c>
      <c r="AV355" s="673">
        <f t="shared" si="150"/>
        <v>0</v>
      </c>
      <c r="AW355" s="673">
        <f t="shared" si="151"/>
        <v>0</v>
      </c>
      <c r="AY355" s="640" t="e">
        <f t="shared" si="160"/>
        <v>#N/A</v>
      </c>
      <c r="AZ355" s="673" t="e">
        <f t="shared" si="152"/>
        <v>#N/A</v>
      </c>
      <c r="BA355" s="639" t="e">
        <f t="shared" si="153"/>
        <v>#N/A</v>
      </c>
      <c r="BG355" s="639">
        <f t="shared" si="161"/>
        <v>0</v>
      </c>
      <c r="BH355" s="683">
        <f t="shared" si="162"/>
        <v>0</v>
      </c>
      <c r="BI355" s="683">
        <f t="shared" si="163"/>
        <v>0</v>
      </c>
      <c r="BJ355" s="641" t="e">
        <f t="shared" si="164"/>
        <v>#N/A</v>
      </c>
      <c r="BK355" s="641" t="e">
        <f t="shared" si="165"/>
        <v>#N/A</v>
      </c>
      <c r="BL355" s="641" t="e">
        <f t="shared" si="166"/>
        <v>#N/A</v>
      </c>
      <c r="BM355" s="684" t="e">
        <f t="shared" si="167"/>
        <v>#N/A</v>
      </c>
      <c r="BO355" s="682" t="e">
        <f>CONCATENATE(Z355," ",LOOKUP(D355,'f-travail'!A:A,'f-travail'!F:F))</f>
        <v>#N/A</v>
      </c>
      <c r="BP355" s="669" t="e">
        <f t="shared" si="154"/>
        <v>#N/A</v>
      </c>
    </row>
    <row r="356" spans="1:68">
      <c r="A356" s="636">
        <f t="shared" si="168"/>
        <v>355</v>
      </c>
      <c r="B356" s="637"/>
      <c r="C356" s="637"/>
      <c r="D356" s="652"/>
      <c r="E356" s="679" t="e">
        <f>LOOKUP(D356,'f-travail'!A:A,'f-travail'!B:B)</f>
        <v>#N/A</v>
      </c>
      <c r="F356" s="650"/>
      <c r="G356" s="650"/>
      <c r="H356" s="653"/>
      <c r="I356" s="653"/>
      <c r="J356" s="654"/>
      <c r="K356" s="650"/>
      <c r="L356" s="650"/>
      <c r="M356" s="650">
        <v>0</v>
      </c>
      <c r="N356" s="654"/>
      <c r="O356" s="654"/>
      <c r="P356" s="654"/>
      <c r="Q356" s="654"/>
      <c r="R356" s="676"/>
      <c r="S356" s="654"/>
      <c r="T356" s="675"/>
      <c r="U356" s="675"/>
      <c r="V356" s="670" t="e">
        <f>LOOKUP(D356,'f-travail'!A:A,'f-travail'!E:E)</f>
        <v>#N/A</v>
      </c>
      <c r="W356" s="670" t="e">
        <f>VLOOKUP(V356,جرقمإستدلالي,'f-travail'!$AD$4+1,FALSE)</f>
        <v>#N/A</v>
      </c>
      <c r="X356" s="671" t="e">
        <f t="shared" si="144"/>
        <v>#N/A</v>
      </c>
      <c r="Y356" s="671">
        <f>IF(G356="مدير ولائي",(HLOOKUP(I356,جدروظعليا,'f-travail'!$AT$3+1,FALSE)-3200),0)</f>
        <v>0</v>
      </c>
      <c r="Z356" s="672" t="str">
        <f t="shared" si="155"/>
        <v/>
      </c>
      <c r="AA356" s="671">
        <f t="shared" si="156"/>
        <v>0</v>
      </c>
      <c r="AB356" s="677" t="b">
        <f t="shared" si="145"/>
        <v>0</v>
      </c>
      <c r="AC356" s="678">
        <f t="shared" si="157"/>
        <v>0</v>
      </c>
      <c r="AD356" s="673"/>
      <c r="AE356" s="678">
        <f t="shared" si="146"/>
        <v>0</v>
      </c>
      <c r="AF356" s="678" t="e">
        <f t="shared" si="147"/>
        <v>#N/A</v>
      </c>
      <c r="AG356" s="678" t="e">
        <f t="shared" si="148"/>
        <v>#N/A</v>
      </c>
      <c r="AH356" s="673">
        <f t="shared" si="158"/>
        <v>0</v>
      </c>
      <c r="AI356" s="674" t="e">
        <f>IF(G356="مدير ولائي",(11000*35%),LOOKUP(D356,'f-travail'!A:A,'f-travail'!I:I))</f>
        <v>#N/A</v>
      </c>
      <c r="AJ356" s="673" t="e">
        <f>IF(G356="مدير ولائي",((W356+X356)*45)*80%,IF(V356&lt;8,0,IF(F356="إليزي",(LOOKUP(D356,'f-travail'!A:A,'f-travail'!O:O))*(AF356+AG356),LOOKUP(D356,'f-travail'!A:A,'f-travail'!P:P)*(AF356+AG356))))</f>
        <v>#N/A</v>
      </c>
      <c r="AK356" s="673" t="e">
        <f>IF(G356="مدير ولائي",0,LOOKUP(D356,'f-travail'!A:A,'f-travail'!Q:Q))</f>
        <v>#N/A</v>
      </c>
      <c r="AL356" s="673" t="e">
        <f>IF(G356="مدير ولائي",0,LOOKUP(D356,'f-travail'!A:A,'f-travail'!R:R)*(AF356+AG356))</f>
        <v>#N/A</v>
      </c>
      <c r="AM356" s="673" t="e">
        <f>IF(G356="مدير ولائي",0,LOOKUP(D356,'f-travail'!A:A,'f-travail'!S:S)*(AF356+AG356))</f>
        <v>#N/A</v>
      </c>
      <c r="AN356" s="673" t="e">
        <f>IF(G356="مدير ولائي",0,LOOKUP(D356,'f-travail'!A:A,'f-travail'!T:T)*(AF356+AG356))</f>
        <v>#N/A</v>
      </c>
      <c r="AO356" s="673" t="e">
        <f>IF(G356="مدير ولائي",0,LOOKUP(D356,'f-travail'!A:A,'f-travail'!U:U)*(AF356+AG356))</f>
        <v>#N/A</v>
      </c>
      <c r="AP356" s="673" t="e">
        <f>IF(G356="مدير ولائي",0,LOOKUP(D356,'f-travail'!A:A,'f-travail'!V:V)*(AF356+AG356))</f>
        <v>#N/A</v>
      </c>
      <c r="AQ356" s="673" t="e">
        <f>IF(G356="مدير ولائي",0,LOOKUP(D356,'f-travail'!A:A,'f-travail'!W:W)*(AF356+AG356))</f>
        <v>#N/A</v>
      </c>
      <c r="AR356" s="673">
        <f t="shared" si="159"/>
        <v>0</v>
      </c>
      <c r="AS356" s="673" t="e">
        <f>IF(G356="مدير ولائي",0,LOOKUP(D356,'f-travail'!A:A,'f-travail'!X:X)*(AF356+AG356))</f>
        <v>#N/A</v>
      </c>
      <c r="AT356" s="673" t="e">
        <f>IF(G356="مدير ولائي",0,LOOKUP(D356,'f-travail'!Y:Y,'f-travail'!R:R)*(AF356+AG356))</f>
        <v>#N/A</v>
      </c>
      <c r="AU356" s="673">
        <f t="shared" si="149"/>
        <v>0</v>
      </c>
      <c r="AV356" s="673">
        <f t="shared" si="150"/>
        <v>0</v>
      </c>
      <c r="AW356" s="673">
        <f t="shared" si="151"/>
        <v>0</v>
      </c>
      <c r="AY356" s="640" t="e">
        <f t="shared" si="160"/>
        <v>#N/A</v>
      </c>
      <c r="AZ356" s="673" t="e">
        <f t="shared" si="152"/>
        <v>#N/A</v>
      </c>
      <c r="BA356" s="639" t="e">
        <f t="shared" si="153"/>
        <v>#N/A</v>
      </c>
      <c r="BG356" s="639">
        <f t="shared" si="161"/>
        <v>0</v>
      </c>
      <c r="BH356" s="683">
        <f t="shared" si="162"/>
        <v>0</v>
      </c>
      <c r="BI356" s="683">
        <f t="shared" si="163"/>
        <v>0</v>
      </c>
      <c r="BJ356" s="641" t="e">
        <f t="shared" si="164"/>
        <v>#N/A</v>
      </c>
      <c r="BK356" s="641" t="e">
        <f t="shared" si="165"/>
        <v>#N/A</v>
      </c>
      <c r="BL356" s="641" t="e">
        <f t="shared" si="166"/>
        <v>#N/A</v>
      </c>
      <c r="BM356" s="684" t="e">
        <f t="shared" si="167"/>
        <v>#N/A</v>
      </c>
      <c r="BO356" s="682" t="e">
        <f>CONCATENATE(Z356," ",LOOKUP(D356,'f-travail'!A:A,'f-travail'!F:F))</f>
        <v>#N/A</v>
      </c>
      <c r="BP356" s="669" t="e">
        <f t="shared" si="154"/>
        <v>#N/A</v>
      </c>
    </row>
    <row r="357" spans="1:68">
      <c r="A357" s="636">
        <f t="shared" si="168"/>
        <v>356</v>
      </c>
      <c r="B357" s="637"/>
      <c r="C357" s="637"/>
      <c r="D357" s="652"/>
      <c r="E357" s="679" t="e">
        <f>LOOKUP(D357,'f-travail'!A:A,'f-travail'!B:B)</f>
        <v>#N/A</v>
      </c>
      <c r="F357" s="650"/>
      <c r="G357" s="650"/>
      <c r="H357" s="653"/>
      <c r="I357" s="653"/>
      <c r="J357" s="654"/>
      <c r="K357" s="650"/>
      <c r="L357" s="650"/>
      <c r="M357" s="650">
        <v>0</v>
      </c>
      <c r="N357" s="654"/>
      <c r="O357" s="654"/>
      <c r="P357" s="654"/>
      <c r="Q357" s="654"/>
      <c r="R357" s="676"/>
      <c r="S357" s="654"/>
      <c r="T357" s="675"/>
      <c r="U357" s="675"/>
      <c r="V357" s="670" t="e">
        <f>LOOKUP(D357,'f-travail'!A:A,'f-travail'!E:E)</f>
        <v>#N/A</v>
      </c>
      <c r="W357" s="670" t="e">
        <f>VLOOKUP(V357,جرقمإستدلالي,'f-travail'!$AD$4+1,FALSE)</f>
        <v>#N/A</v>
      </c>
      <c r="X357" s="671" t="e">
        <f t="shared" si="144"/>
        <v>#N/A</v>
      </c>
      <c r="Y357" s="671">
        <f>IF(G357="مدير ولائي",(HLOOKUP(I357,جدروظعليا,'f-travail'!$AT$3+1,FALSE)-3200),0)</f>
        <v>0</v>
      </c>
      <c r="Z357" s="672" t="str">
        <f t="shared" si="155"/>
        <v/>
      </c>
      <c r="AA357" s="671">
        <f t="shared" si="156"/>
        <v>0</v>
      </c>
      <c r="AB357" s="677" t="b">
        <f t="shared" si="145"/>
        <v>0</v>
      </c>
      <c r="AC357" s="678">
        <f t="shared" si="157"/>
        <v>0</v>
      </c>
      <c r="AD357" s="673"/>
      <c r="AE357" s="678">
        <f t="shared" si="146"/>
        <v>0</v>
      </c>
      <c r="AF357" s="678" t="e">
        <f t="shared" si="147"/>
        <v>#N/A</v>
      </c>
      <c r="AG357" s="678" t="e">
        <f t="shared" si="148"/>
        <v>#N/A</v>
      </c>
      <c r="AH357" s="673">
        <f t="shared" si="158"/>
        <v>0</v>
      </c>
      <c r="AI357" s="674" t="e">
        <f>IF(G357="مدير ولائي",(11000*35%),LOOKUP(D357,'f-travail'!A:A,'f-travail'!I:I))</f>
        <v>#N/A</v>
      </c>
      <c r="AJ357" s="673" t="e">
        <f>IF(G357="مدير ولائي",((W357+X357)*45)*80%,IF(V357&lt;8,0,IF(F357="إليزي",(LOOKUP(D357,'f-travail'!A:A,'f-travail'!O:O))*(AF357+AG357),LOOKUP(D357,'f-travail'!A:A,'f-travail'!P:P)*(AF357+AG357))))</f>
        <v>#N/A</v>
      </c>
      <c r="AK357" s="673" t="e">
        <f>IF(G357="مدير ولائي",0,LOOKUP(D357,'f-travail'!A:A,'f-travail'!Q:Q))</f>
        <v>#N/A</v>
      </c>
      <c r="AL357" s="673" t="e">
        <f>IF(G357="مدير ولائي",0,LOOKUP(D357,'f-travail'!A:A,'f-travail'!R:R)*(AF357+AG357))</f>
        <v>#N/A</v>
      </c>
      <c r="AM357" s="673" t="e">
        <f>IF(G357="مدير ولائي",0,LOOKUP(D357,'f-travail'!A:A,'f-travail'!S:S)*(AF357+AG357))</f>
        <v>#N/A</v>
      </c>
      <c r="AN357" s="673" t="e">
        <f>IF(G357="مدير ولائي",0,LOOKUP(D357,'f-travail'!A:A,'f-travail'!T:T)*(AF357+AG357))</f>
        <v>#N/A</v>
      </c>
      <c r="AO357" s="673" t="e">
        <f>IF(G357="مدير ولائي",0,LOOKUP(D357,'f-travail'!A:A,'f-travail'!U:U)*(AF357+AG357))</f>
        <v>#N/A</v>
      </c>
      <c r="AP357" s="673" t="e">
        <f>IF(G357="مدير ولائي",0,LOOKUP(D357,'f-travail'!A:A,'f-travail'!V:V)*(AF357+AG357))</f>
        <v>#N/A</v>
      </c>
      <c r="AQ357" s="673" t="e">
        <f>IF(G357="مدير ولائي",0,LOOKUP(D357,'f-travail'!A:A,'f-travail'!W:W)*(AF357+AG357))</f>
        <v>#N/A</v>
      </c>
      <c r="AR357" s="673">
        <f t="shared" si="159"/>
        <v>0</v>
      </c>
      <c r="AS357" s="673" t="e">
        <f>IF(G357="مدير ولائي",0,LOOKUP(D357,'f-travail'!A:A,'f-travail'!X:X)*(AF357+AG357))</f>
        <v>#N/A</v>
      </c>
      <c r="AT357" s="673" t="e">
        <f>IF(G357="مدير ولائي",0,LOOKUP(D357,'f-travail'!Y:Y,'f-travail'!R:R)*(AF357+AG357))</f>
        <v>#N/A</v>
      </c>
      <c r="AU357" s="673">
        <f t="shared" si="149"/>
        <v>0</v>
      </c>
      <c r="AV357" s="673">
        <f t="shared" si="150"/>
        <v>0</v>
      </c>
      <c r="AW357" s="673">
        <f t="shared" si="151"/>
        <v>0</v>
      </c>
      <c r="AY357" s="640" t="e">
        <f t="shared" si="160"/>
        <v>#N/A</v>
      </c>
      <c r="AZ357" s="673" t="e">
        <f t="shared" si="152"/>
        <v>#N/A</v>
      </c>
      <c r="BA357" s="639" t="e">
        <f t="shared" si="153"/>
        <v>#N/A</v>
      </c>
      <c r="BG357" s="639">
        <f t="shared" si="161"/>
        <v>0</v>
      </c>
      <c r="BH357" s="683">
        <f t="shared" si="162"/>
        <v>0</v>
      </c>
      <c r="BI357" s="683">
        <f t="shared" si="163"/>
        <v>0</v>
      </c>
      <c r="BJ357" s="641" t="e">
        <f t="shared" si="164"/>
        <v>#N/A</v>
      </c>
      <c r="BK357" s="641" t="e">
        <f t="shared" si="165"/>
        <v>#N/A</v>
      </c>
      <c r="BL357" s="641" t="e">
        <f t="shared" si="166"/>
        <v>#N/A</v>
      </c>
      <c r="BM357" s="684" t="e">
        <f t="shared" si="167"/>
        <v>#N/A</v>
      </c>
      <c r="BO357" s="682" t="e">
        <f>CONCATENATE(Z357," ",LOOKUP(D357,'f-travail'!A:A,'f-travail'!F:F))</f>
        <v>#N/A</v>
      </c>
      <c r="BP357" s="669" t="e">
        <f t="shared" si="154"/>
        <v>#N/A</v>
      </c>
    </row>
    <row r="358" spans="1:68">
      <c r="A358" s="636">
        <f t="shared" si="168"/>
        <v>357</v>
      </c>
      <c r="B358" s="637"/>
      <c r="C358" s="637"/>
      <c r="D358" s="652"/>
      <c r="E358" s="679" t="e">
        <f>LOOKUP(D358,'f-travail'!A:A,'f-travail'!B:B)</f>
        <v>#N/A</v>
      </c>
      <c r="F358" s="650"/>
      <c r="G358" s="650"/>
      <c r="H358" s="653"/>
      <c r="I358" s="653"/>
      <c r="J358" s="654"/>
      <c r="K358" s="650"/>
      <c r="L358" s="650"/>
      <c r="M358" s="650">
        <v>0</v>
      </c>
      <c r="N358" s="654"/>
      <c r="O358" s="654"/>
      <c r="P358" s="654"/>
      <c r="Q358" s="654"/>
      <c r="R358" s="676"/>
      <c r="S358" s="654"/>
      <c r="T358" s="675"/>
      <c r="U358" s="675"/>
      <c r="V358" s="670" t="e">
        <f>LOOKUP(D358,'f-travail'!A:A,'f-travail'!E:E)</f>
        <v>#N/A</v>
      </c>
      <c r="W358" s="670" t="e">
        <f>VLOOKUP(V358,جرقمإستدلالي,'f-travail'!$AD$4+1,FALSE)</f>
        <v>#N/A</v>
      </c>
      <c r="X358" s="671" t="e">
        <f t="shared" si="144"/>
        <v>#N/A</v>
      </c>
      <c r="Y358" s="671">
        <f>IF(G358="مدير ولائي",(HLOOKUP(I358,جدروظعليا,'f-travail'!$AT$3+1,FALSE)-3200),0)</f>
        <v>0</v>
      </c>
      <c r="Z358" s="672" t="str">
        <f t="shared" si="155"/>
        <v/>
      </c>
      <c r="AA358" s="671">
        <f t="shared" si="156"/>
        <v>0</v>
      </c>
      <c r="AB358" s="677" t="b">
        <f t="shared" si="145"/>
        <v>0</v>
      </c>
      <c r="AC358" s="678">
        <f t="shared" si="157"/>
        <v>0</v>
      </c>
      <c r="AD358" s="673"/>
      <c r="AE358" s="678">
        <f t="shared" si="146"/>
        <v>0</v>
      </c>
      <c r="AF358" s="678" t="e">
        <f t="shared" si="147"/>
        <v>#N/A</v>
      </c>
      <c r="AG358" s="678" t="e">
        <f t="shared" si="148"/>
        <v>#N/A</v>
      </c>
      <c r="AH358" s="673">
        <f t="shared" si="158"/>
        <v>0</v>
      </c>
      <c r="AI358" s="674" t="e">
        <f>IF(G358="مدير ولائي",(11000*35%),LOOKUP(D358,'f-travail'!A:A,'f-travail'!I:I))</f>
        <v>#N/A</v>
      </c>
      <c r="AJ358" s="673" t="e">
        <f>IF(G358="مدير ولائي",((W358+X358)*45)*80%,IF(V358&lt;8,0,IF(F358="إليزي",(LOOKUP(D358,'f-travail'!A:A,'f-travail'!O:O))*(AF358+AG358),LOOKUP(D358,'f-travail'!A:A,'f-travail'!P:P)*(AF358+AG358))))</f>
        <v>#N/A</v>
      </c>
      <c r="AK358" s="673" t="e">
        <f>IF(G358="مدير ولائي",0,LOOKUP(D358,'f-travail'!A:A,'f-travail'!Q:Q))</f>
        <v>#N/A</v>
      </c>
      <c r="AL358" s="673" t="e">
        <f>IF(G358="مدير ولائي",0,LOOKUP(D358,'f-travail'!A:A,'f-travail'!R:R)*(AF358+AG358))</f>
        <v>#N/A</v>
      </c>
      <c r="AM358" s="673" t="e">
        <f>IF(G358="مدير ولائي",0,LOOKUP(D358,'f-travail'!A:A,'f-travail'!S:S)*(AF358+AG358))</f>
        <v>#N/A</v>
      </c>
      <c r="AN358" s="673" t="e">
        <f>IF(G358="مدير ولائي",0,LOOKUP(D358,'f-travail'!A:A,'f-travail'!T:T)*(AF358+AG358))</f>
        <v>#N/A</v>
      </c>
      <c r="AO358" s="673" t="e">
        <f>IF(G358="مدير ولائي",0,LOOKUP(D358,'f-travail'!A:A,'f-travail'!U:U)*(AF358+AG358))</f>
        <v>#N/A</v>
      </c>
      <c r="AP358" s="673" t="e">
        <f>IF(G358="مدير ولائي",0,LOOKUP(D358,'f-travail'!A:A,'f-travail'!V:V)*(AF358+AG358))</f>
        <v>#N/A</v>
      </c>
      <c r="AQ358" s="673" t="e">
        <f>IF(G358="مدير ولائي",0,LOOKUP(D358,'f-travail'!A:A,'f-travail'!W:W)*(AF358+AG358))</f>
        <v>#N/A</v>
      </c>
      <c r="AR358" s="673">
        <f t="shared" si="159"/>
        <v>0</v>
      </c>
      <c r="AS358" s="673" t="e">
        <f>IF(G358="مدير ولائي",0,LOOKUP(D358,'f-travail'!A:A,'f-travail'!X:X)*(AF358+AG358))</f>
        <v>#N/A</v>
      </c>
      <c r="AT358" s="673" t="e">
        <f>IF(G358="مدير ولائي",0,LOOKUP(D358,'f-travail'!Y:Y,'f-travail'!R:R)*(AF358+AG358))</f>
        <v>#N/A</v>
      </c>
      <c r="AU358" s="673">
        <f t="shared" si="149"/>
        <v>0</v>
      </c>
      <c r="AV358" s="673">
        <f t="shared" si="150"/>
        <v>0</v>
      </c>
      <c r="AW358" s="673">
        <f t="shared" si="151"/>
        <v>0</v>
      </c>
      <c r="AY358" s="640" t="e">
        <f t="shared" si="160"/>
        <v>#N/A</v>
      </c>
      <c r="AZ358" s="673" t="e">
        <f t="shared" si="152"/>
        <v>#N/A</v>
      </c>
      <c r="BA358" s="639" t="e">
        <f t="shared" si="153"/>
        <v>#N/A</v>
      </c>
      <c r="BG358" s="639">
        <f t="shared" si="161"/>
        <v>0</v>
      </c>
      <c r="BH358" s="683">
        <f t="shared" si="162"/>
        <v>0</v>
      </c>
      <c r="BI358" s="683">
        <f t="shared" si="163"/>
        <v>0</v>
      </c>
      <c r="BJ358" s="641" t="e">
        <f t="shared" si="164"/>
        <v>#N/A</v>
      </c>
      <c r="BK358" s="641" t="e">
        <f t="shared" si="165"/>
        <v>#N/A</v>
      </c>
      <c r="BL358" s="641" t="e">
        <f t="shared" si="166"/>
        <v>#N/A</v>
      </c>
      <c r="BM358" s="684" t="e">
        <f t="shared" si="167"/>
        <v>#N/A</v>
      </c>
      <c r="BO358" s="682" t="e">
        <f>CONCATENATE(Z358," ",LOOKUP(D358,'f-travail'!A:A,'f-travail'!F:F))</f>
        <v>#N/A</v>
      </c>
      <c r="BP358" s="669" t="e">
        <f t="shared" si="154"/>
        <v>#N/A</v>
      </c>
    </row>
    <row r="359" spans="1:68">
      <c r="A359" s="636">
        <f t="shared" si="168"/>
        <v>358</v>
      </c>
      <c r="B359" s="637"/>
      <c r="C359" s="637"/>
      <c r="D359" s="652"/>
      <c r="E359" s="679" t="e">
        <f>LOOKUP(D359,'f-travail'!A:A,'f-travail'!B:B)</f>
        <v>#N/A</v>
      </c>
      <c r="F359" s="650"/>
      <c r="G359" s="650"/>
      <c r="H359" s="653"/>
      <c r="I359" s="653"/>
      <c r="J359" s="654"/>
      <c r="K359" s="650"/>
      <c r="L359" s="650"/>
      <c r="M359" s="650">
        <v>0</v>
      </c>
      <c r="N359" s="654"/>
      <c r="O359" s="654"/>
      <c r="P359" s="654"/>
      <c r="Q359" s="654"/>
      <c r="R359" s="676"/>
      <c r="S359" s="654"/>
      <c r="T359" s="675"/>
      <c r="U359" s="675"/>
      <c r="V359" s="670" t="e">
        <f>LOOKUP(D359,'f-travail'!A:A,'f-travail'!E:E)</f>
        <v>#N/A</v>
      </c>
      <c r="W359" s="670" t="e">
        <f>VLOOKUP(V359,جرقمإستدلالي,'f-travail'!$AD$4+1,FALSE)</f>
        <v>#N/A</v>
      </c>
      <c r="X359" s="671" t="e">
        <f t="shared" si="144"/>
        <v>#N/A</v>
      </c>
      <c r="Y359" s="671">
        <f>IF(G359="مدير ولائي",(HLOOKUP(I359,جدروظعليا,'f-travail'!$AT$3+1,FALSE)-3200),0)</f>
        <v>0</v>
      </c>
      <c r="Z359" s="672" t="str">
        <f t="shared" si="155"/>
        <v/>
      </c>
      <c r="AA359" s="671">
        <f t="shared" si="156"/>
        <v>0</v>
      </c>
      <c r="AB359" s="677" t="b">
        <f t="shared" si="145"/>
        <v>0</v>
      </c>
      <c r="AC359" s="678">
        <f t="shared" si="157"/>
        <v>0</v>
      </c>
      <c r="AD359" s="673"/>
      <c r="AE359" s="678">
        <f t="shared" si="146"/>
        <v>0</v>
      </c>
      <c r="AF359" s="678" t="e">
        <f t="shared" si="147"/>
        <v>#N/A</v>
      </c>
      <c r="AG359" s="678" t="e">
        <f t="shared" si="148"/>
        <v>#N/A</v>
      </c>
      <c r="AH359" s="673">
        <f t="shared" si="158"/>
        <v>0</v>
      </c>
      <c r="AI359" s="674" t="e">
        <f>IF(G359="مدير ولائي",(11000*35%),LOOKUP(D359,'f-travail'!A:A,'f-travail'!I:I))</f>
        <v>#N/A</v>
      </c>
      <c r="AJ359" s="673" t="e">
        <f>IF(G359="مدير ولائي",((W359+X359)*45)*80%,IF(V359&lt;8,0,IF(F359="إليزي",(LOOKUP(D359,'f-travail'!A:A,'f-travail'!O:O))*(AF359+AG359),LOOKUP(D359,'f-travail'!A:A,'f-travail'!P:P)*(AF359+AG359))))</f>
        <v>#N/A</v>
      </c>
      <c r="AK359" s="673" t="e">
        <f>IF(G359="مدير ولائي",0,LOOKUP(D359,'f-travail'!A:A,'f-travail'!Q:Q))</f>
        <v>#N/A</v>
      </c>
      <c r="AL359" s="673" t="e">
        <f>IF(G359="مدير ولائي",0,LOOKUP(D359,'f-travail'!A:A,'f-travail'!R:R)*(AF359+AG359))</f>
        <v>#N/A</v>
      </c>
      <c r="AM359" s="673" t="e">
        <f>IF(G359="مدير ولائي",0,LOOKUP(D359,'f-travail'!A:A,'f-travail'!S:S)*(AF359+AG359))</f>
        <v>#N/A</v>
      </c>
      <c r="AN359" s="673" t="e">
        <f>IF(G359="مدير ولائي",0,LOOKUP(D359,'f-travail'!A:A,'f-travail'!T:T)*(AF359+AG359))</f>
        <v>#N/A</v>
      </c>
      <c r="AO359" s="673" t="e">
        <f>IF(G359="مدير ولائي",0,LOOKUP(D359,'f-travail'!A:A,'f-travail'!U:U)*(AF359+AG359))</f>
        <v>#N/A</v>
      </c>
      <c r="AP359" s="673" t="e">
        <f>IF(G359="مدير ولائي",0,LOOKUP(D359,'f-travail'!A:A,'f-travail'!V:V)*(AF359+AG359))</f>
        <v>#N/A</v>
      </c>
      <c r="AQ359" s="673" t="e">
        <f>IF(G359="مدير ولائي",0,LOOKUP(D359,'f-travail'!A:A,'f-travail'!W:W)*(AF359+AG359))</f>
        <v>#N/A</v>
      </c>
      <c r="AR359" s="673">
        <f t="shared" si="159"/>
        <v>0</v>
      </c>
      <c r="AS359" s="673" t="e">
        <f>IF(G359="مدير ولائي",0,LOOKUP(D359,'f-travail'!A:A,'f-travail'!X:X)*(AF359+AG359))</f>
        <v>#N/A</v>
      </c>
      <c r="AT359" s="673" t="e">
        <f>IF(G359="مدير ولائي",0,LOOKUP(D359,'f-travail'!Y:Y,'f-travail'!R:R)*(AF359+AG359))</f>
        <v>#N/A</v>
      </c>
      <c r="AU359" s="673">
        <f t="shared" si="149"/>
        <v>0</v>
      </c>
      <c r="AV359" s="673">
        <f t="shared" si="150"/>
        <v>0</v>
      </c>
      <c r="AW359" s="673">
        <f t="shared" si="151"/>
        <v>0</v>
      </c>
      <c r="AY359" s="640" t="e">
        <f t="shared" si="160"/>
        <v>#N/A</v>
      </c>
      <c r="AZ359" s="673" t="e">
        <f t="shared" si="152"/>
        <v>#N/A</v>
      </c>
      <c r="BA359" s="639" t="e">
        <f t="shared" si="153"/>
        <v>#N/A</v>
      </c>
      <c r="BG359" s="639">
        <f t="shared" si="161"/>
        <v>0</v>
      </c>
      <c r="BH359" s="683">
        <f t="shared" si="162"/>
        <v>0</v>
      </c>
      <c r="BI359" s="683">
        <f t="shared" si="163"/>
        <v>0</v>
      </c>
      <c r="BJ359" s="641" t="e">
        <f t="shared" si="164"/>
        <v>#N/A</v>
      </c>
      <c r="BK359" s="641" t="e">
        <f t="shared" si="165"/>
        <v>#N/A</v>
      </c>
      <c r="BL359" s="641" t="e">
        <f t="shared" si="166"/>
        <v>#N/A</v>
      </c>
      <c r="BM359" s="684" t="e">
        <f t="shared" si="167"/>
        <v>#N/A</v>
      </c>
      <c r="BO359" s="682" t="e">
        <f>CONCATENATE(Z359," ",LOOKUP(D359,'f-travail'!A:A,'f-travail'!F:F))</f>
        <v>#N/A</v>
      </c>
      <c r="BP359" s="669" t="e">
        <f t="shared" si="154"/>
        <v>#N/A</v>
      </c>
    </row>
    <row r="360" spans="1:68">
      <c r="A360" s="636">
        <f t="shared" si="168"/>
        <v>359</v>
      </c>
      <c r="B360" s="637"/>
      <c r="C360" s="637"/>
      <c r="D360" s="652"/>
      <c r="E360" s="679" t="e">
        <f>LOOKUP(D360,'f-travail'!A:A,'f-travail'!B:B)</f>
        <v>#N/A</v>
      </c>
      <c r="F360" s="650"/>
      <c r="G360" s="650"/>
      <c r="H360" s="653"/>
      <c r="I360" s="653"/>
      <c r="J360" s="654"/>
      <c r="K360" s="650"/>
      <c r="L360" s="650"/>
      <c r="M360" s="650">
        <v>0</v>
      </c>
      <c r="N360" s="654"/>
      <c r="O360" s="654"/>
      <c r="P360" s="654"/>
      <c r="Q360" s="654"/>
      <c r="R360" s="676"/>
      <c r="S360" s="654"/>
      <c r="T360" s="675"/>
      <c r="U360" s="675"/>
      <c r="V360" s="670" t="e">
        <f>LOOKUP(D360,'f-travail'!A:A,'f-travail'!E:E)</f>
        <v>#N/A</v>
      </c>
      <c r="W360" s="670" t="e">
        <f>VLOOKUP(V360,جرقمإستدلالي,'f-travail'!$AD$4+1,FALSE)</f>
        <v>#N/A</v>
      </c>
      <c r="X360" s="671" t="e">
        <f t="shared" si="144"/>
        <v>#N/A</v>
      </c>
      <c r="Y360" s="671">
        <f>IF(G360="مدير ولائي",(HLOOKUP(I360,جدروظعليا,'f-travail'!$AT$3+1,FALSE)-3200),0)</f>
        <v>0</v>
      </c>
      <c r="Z360" s="672" t="str">
        <f t="shared" si="155"/>
        <v/>
      </c>
      <c r="AA360" s="671">
        <f t="shared" si="156"/>
        <v>0</v>
      </c>
      <c r="AB360" s="677" t="b">
        <f t="shared" si="145"/>
        <v>0</v>
      </c>
      <c r="AC360" s="678">
        <f t="shared" si="157"/>
        <v>0</v>
      </c>
      <c r="AD360" s="673"/>
      <c r="AE360" s="678">
        <f t="shared" si="146"/>
        <v>0</v>
      </c>
      <c r="AF360" s="678" t="e">
        <f t="shared" si="147"/>
        <v>#N/A</v>
      </c>
      <c r="AG360" s="678" t="e">
        <f t="shared" si="148"/>
        <v>#N/A</v>
      </c>
      <c r="AH360" s="673">
        <f t="shared" si="158"/>
        <v>0</v>
      </c>
      <c r="AI360" s="674" t="e">
        <f>IF(G360="مدير ولائي",(11000*35%),LOOKUP(D360,'f-travail'!A:A,'f-travail'!I:I))</f>
        <v>#N/A</v>
      </c>
      <c r="AJ360" s="673" t="e">
        <f>IF(G360="مدير ولائي",((W360+X360)*45)*80%,IF(V360&lt;8,0,IF(F360="إليزي",(LOOKUP(D360,'f-travail'!A:A,'f-travail'!O:O))*(AF360+AG360),LOOKUP(D360,'f-travail'!A:A,'f-travail'!P:P)*(AF360+AG360))))</f>
        <v>#N/A</v>
      </c>
      <c r="AK360" s="673" t="e">
        <f>IF(G360="مدير ولائي",0,LOOKUP(D360,'f-travail'!A:A,'f-travail'!Q:Q))</f>
        <v>#N/A</v>
      </c>
      <c r="AL360" s="673" t="e">
        <f>IF(G360="مدير ولائي",0,LOOKUP(D360,'f-travail'!A:A,'f-travail'!R:R)*(AF360+AG360))</f>
        <v>#N/A</v>
      </c>
      <c r="AM360" s="673" t="e">
        <f>IF(G360="مدير ولائي",0,LOOKUP(D360,'f-travail'!A:A,'f-travail'!S:S)*(AF360+AG360))</f>
        <v>#N/A</v>
      </c>
      <c r="AN360" s="673" t="e">
        <f>IF(G360="مدير ولائي",0,LOOKUP(D360,'f-travail'!A:A,'f-travail'!T:T)*(AF360+AG360))</f>
        <v>#N/A</v>
      </c>
      <c r="AO360" s="673" t="e">
        <f>IF(G360="مدير ولائي",0,LOOKUP(D360,'f-travail'!A:A,'f-travail'!U:U)*(AF360+AG360))</f>
        <v>#N/A</v>
      </c>
      <c r="AP360" s="673" t="e">
        <f>IF(G360="مدير ولائي",0,LOOKUP(D360,'f-travail'!A:A,'f-travail'!V:V)*(AF360+AG360))</f>
        <v>#N/A</v>
      </c>
      <c r="AQ360" s="673" t="e">
        <f>IF(G360="مدير ولائي",0,LOOKUP(D360,'f-travail'!A:A,'f-travail'!W:W)*(AF360+AG360))</f>
        <v>#N/A</v>
      </c>
      <c r="AR360" s="673">
        <f t="shared" si="159"/>
        <v>0</v>
      </c>
      <c r="AS360" s="673" t="e">
        <f>IF(G360="مدير ولائي",0,LOOKUP(D360,'f-travail'!A:A,'f-travail'!X:X)*(AF360+AG360))</f>
        <v>#N/A</v>
      </c>
      <c r="AT360" s="673" t="e">
        <f>IF(G360="مدير ولائي",0,LOOKUP(D360,'f-travail'!Y:Y,'f-travail'!R:R)*(AF360+AG360))</f>
        <v>#N/A</v>
      </c>
      <c r="AU360" s="673">
        <f t="shared" si="149"/>
        <v>0</v>
      </c>
      <c r="AV360" s="673">
        <f t="shared" si="150"/>
        <v>0</v>
      </c>
      <c r="AW360" s="673">
        <f t="shared" si="151"/>
        <v>0</v>
      </c>
      <c r="AY360" s="640" t="e">
        <f t="shared" si="160"/>
        <v>#N/A</v>
      </c>
      <c r="AZ360" s="673" t="e">
        <f t="shared" si="152"/>
        <v>#N/A</v>
      </c>
      <c r="BA360" s="639" t="e">
        <f t="shared" si="153"/>
        <v>#N/A</v>
      </c>
      <c r="BG360" s="639">
        <f t="shared" si="161"/>
        <v>0</v>
      </c>
      <c r="BH360" s="683">
        <f t="shared" si="162"/>
        <v>0</v>
      </c>
      <c r="BI360" s="683">
        <f t="shared" si="163"/>
        <v>0</v>
      </c>
      <c r="BJ360" s="641" t="e">
        <f t="shared" si="164"/>
        <v>#N/A</v>
      </c>
      <c r="BK360" s="641" t="e">
        <f t="shared" si="165"/>
        <v>#N/A</v>
      </c>
      <c r="BL360" s="641" t="e">
        <f t="shared" si="166"/>
        <v>#N/A</v>
      </c>
      <c r="BM360" s="684" t="e">
        <f t="shared" si="167"/>
        <v>#N/A</v>
      </c>
      <c r="BO360" s="682" t="e">
        <f>CONCATENATE(Z360," ",LOOKUP(D360,'f-travail'!A:A,'f-travail'!F:F))</f>
        <v>#N/A</v>
      </c>
      <c r="BP360" s="669" t="e">
        <f t="shared" si="154"/>
        <v>#N/A</v>
      </c>
    </row>
    <row r="361" spans="1:68">
      <c r="A361" s="636">
        <f t="shared" si="168"/>
        <v>360</v>
      </c>
      <c r="B361" s="637"/>
      <c r="C361" s="637"/>
      <c r="D361" s="652"/>
      <c r="E361" s="679" t="e">
        <f>LOOKUP(D361,'f-travail'!A:A,'f-travail'!B:B)</f>
        <v>#N/A</v>
      </c>
      <c r="F361" s="650"/>
      <c r="G361" s="650"/>
      <c r="H361" s="653"/>
      <c r="I361" s="653"/>
      <c r="J361" s="654"/>
      <c r="K361" s="650"/>
      <c r="L361" s="650"/>
      <c r="M361" s="650">
        <v>0</v>
      </c>
      <c r="N361" s="654"/>
      <c r="O361" s="654"/>
      <c r="P361" s="654"/>
      <c r="Q361" s="654"/>
      <c r="R361" s="676"/>
      <c r="S361" s="654"/>
      <c r="T361" s="675"/>
      <c r="U361" s="675"/>
      <c r="V361" s="670" t="e">
        <f>LOOKUP(D361,'f-travail'!A:A,'f-travail'!E:E)</f>
        <v>#N/A</v>
      </c>
      <c r="W361" s="670" t="e">
        <f>VLOOKUP(V361,جرقمإستدلالي,'f-travail'!$AD$4+1,FALSE)</f>
        <v>#N/A</v>
      </c>
      <c r="X361" s="671" t="e">
        <f t="shared" si="144"/>
        <v>#N/A</v>
      </c>
      <c r="Y361" s="671">
        <f>IF(G361="مدير ولائي",(HLOOKUP(I361,جدروظعليا,'f-travail'!$AT$3+1,FALSE)-3200),0)</f>
        <v>0</v>
      </c>
      <c r="Z361" s="672" t="str">
        <f t="shared" si="155"/>
        <v/>
      </c>
      <c r="AA361" s="671">
        <f t="shared" si="156"/>
        <v>0</v>
      </c>
      <c r="AB361" s="677" t="b">
        <f t="shared" si="145"/>
        <v>0</v>
      </c>
      <c r="AC361" s="678">
        <f t="shared" si="157"/>
        <v>0</v>
      </c>
      <c r="AD361" s="673"/>
      <c r="AE361" s="678">
        <f t="shared" si="146"/>
        <v>0</v>
      </c>
      <c r="AF361" s="678" t="e">
        <f t="shared" si="147"/>
        <v>#N/A</v>
      </c>
      <c r="AG361" s="678" t="e">
        <f t="shared" si="148"/>
        <v>#N/A</v>
      </c>
      <c r="AH361" s="673">
        <f t="shared" si="158"/>
        <v>0</v>
      </c>
      <c r="AI361" s="674" t="e">
        <f>IF(G361="مدير ولائي",(11000*35%),LOOKUP(D361,'f-travail'!A:A,'f-travail'!I:I))</f>
        <v>#N/A</v>
      </c>
      <c r="AJ361" s="673" t="e">
        <f>IF(G361="مدير ولائي",((W361+X361)*45)*80%,IF(V361&lt;8,0,IF(F361="إليزي",(LOOKUP(D361,'f-travail'!A:A,'f-travail'!O:O))*(AF361+AG361),LOOKUP(D361,'f-travail'!A:A,'f-travail'!P:P)*(AF361+AG361))))</f>
        <v>#N/A</v>
      </c>
      <c r="AK361" s="673" t="e">
        <f>IF(G361="مدير ولائي",0,LOOKUP(D361,'f-travail'!A:A,'f-travail'!Q:Q))</f>
        <v>#N/A</v>
      </c>
      <c r="AL361" s="673" t="e">
        <f>IF(G361="مدير ولائي",0,LOOKUP(D361,'f-travail'!A:A,'f-travail'!R:R)*(AF361+AG361))</f>
        <v>#N/A</v>
      </c>
      <c r="AM361" s="673" t="e">
        <f>IF(G361="مدير ولائي",0,LOOKUP(D361,'f-travail'!A:A,'f-travail'!S:S)*(AF361+AG361))</f>
        <v>#N/A</v>
      </c>
      <c r="AN361" s="673" t="e">
        <f>IF(G361="مدير ولائي",0,LOOKUP(D361,'f-travail'!A:A,'f-travail'!T:T)*(AF361+AG361))</f>
        <v>#N/A</v>
      </c>
      <c r="AO361" s="673" t="e">
        <f>IF(G361="مدير ولائي",0,LOOKUP(D361,'f-travail'!A:A,'f-travail'!U:U)*(AF361+AG361))</f>
        <v>#N/A</v>
      </c>
      <c r="AP361" s="673" t="e">
        <f>IF(G361="مدير ولائي",0,LOOKUP(D361,'f-travail'!A:A,'f-travail'!V:V)*(AF361+AG361))</f>
        <v>#N/A</v>
      </c>
      <c r="AQ361" s="673" t="e">
        <f>IF(G361="مدير ولائي",0,LOOKUP(D361,'f-travail'!A:A,'f-travail'!W:W)*(AF361+AG361))</f>
        <v>#N/A</v>
      </c>
      <c r="AR361" s="673">
        <f t="shared" si="159"/>
        <v>0</v>
      </c>
      <c r="AS361" s="673" t="e">
        <f>IF(G361="مدير ولائي",0,LOOKUP(D361,'f-travail'!A:A,'f-travail'!X:X)*(AF361+AG361))</f>
        <v>#N/A</v>
      </c>
      <c r="AT361" s="673" t="e">
        <f>IF(G361="مدير ولائي",0,LOOKUP(D361,'f-travail'!Y:Y,'f-travail'!R:R)*(AF361+AG361))</f>
        <v>#N/A</v>
      </c>
      <c r="AU361" s="673">
        <f t="shared" si="149"/>
        <v>0</v>
      </c>
      <c r="AV361" s="673">
        <f t="shared" si="150"/>
        <v>0</v>
      </c>
      <c r="AW361" s="673">
        <f t="shared" si="151"/>
        <v>0</v>
      </c>
      <c r="AY361" s="640" t="e">
        <f t="shared" si="160"/>
        <v>#N/A</v>
      </c>
      <c r="AZ361" s="673" t="e">
        <f t="shared" si="152"/>
        <v>#N/A</v>
      </c>
      <c r="BA361" s="639" t="e">
        <f t="shared" si="153"/>
        <v>#N/A</v>
      </c>
      <c r="BG361" s="639">
        <f t="shared" si="161"/>
        <v>0</v>
      </c>
      <c r="BH361" s="683">
        <f t="shared" si="162"/>
        <v>0</v>
      </c>
      <c r="BI361" s="683">
        <f t="shared" si="163"/>
        <v>0</v>
      </c>
      <c r="BJ361" s="641" t="e">
        <f t="shared" si="164"/>
        <v>#N/A</v>
      </c>
      <c r="BK361" s="641" t="e">
        <f t="shared" si="165"/>
        <v>#N/A</v>
      </c>
      <c r="BL361" s="641" t="e">
        <f t="shared" si="166"/>
        <v>#N/A</v>
      </c>
      <c r="BM361" s="684" t="e">
        <f t="shared" si="167"/>
        <v>#N/A</v>
      </c>
      <c r="BO361" s="682" t="e">
        <f>CONCATENATE(Z361," ",LOOKUP(D361,'f-travail'!A:A,'f-travail'!F:F))</f>
        <v>#N/A</v>
      </c>
      <c r="BP361" s="669" t="e">
        <f t="shared" si="154"/>
        <v>#N/A</v>
      </c>
    </row>
    <row r="362" spans="1:68">
      <c r="A362" s="636">
        <f t="shared" si="168"/>
        <v>361</v>
      </c>
      <c r="B362" s="637"/>
      <c r="C362" s="637"/>
      <c r="D362" s="652"/>
      <c r="E362" s="679" t="e">
        <f>LOOKUP(D362,'f-travail'!A:A,'f-travail'!B:B)</f>
        <v>#N/A</v>
      </c>
      <c r="F362" s="650"/>
      <c r="G362" s="650"/>
      <c r="H362" s="653"/>
      <c r="I362" s="653"/>
      <c r="J362" s="654"/>
      <c r="K362" s="650"/>
      <c r="L362" s="650"/>
      <c r="M362" s="650">
        <v>0</v>
      </c>
      <c r="N362" s="654"/>
      <c r="O362" s="654"/>
      <c r="P362" s="654"/>
      <c r="Q362" s="654"/>
      <c r="R362" s="676"/>
      <c r="S362" s="654"/>
      <c r="T362" s="675"/>
      <c r="U362" s="675"/>
      <c r="V362" s="670" t="e">
        <f>LOOKUP(D362,'f-travail'!A:A,'f-travail'!E:E)</f>
        <v>#N/A</v>
      </c>
      <c r="W362" s="670" t="e">
        <f>VLOOKUP(V362,جرقمإستدلالي,'f-travail'!$AD$4+1,FALSE)</f>
        <v>#N/A</v>
      </c>
      <c r="X362" s="671" t="e">
        <f t="shared" si="144"/>
        <v>#N/A</v>
      </c>
      <c r="Y362" s="671">
        <f>IF(G362="مدير ولائي",(HLOOKUP(I362,جدروظعليا,'f-travail'!$AT$3+1,FALSE)-3200),0)</f>
        <v>0</v>
      </c>
      <c r="Z362" s="672" t="str">
        <f t="shared" si="155"/>
        <v/>
      </c>
      <c r="AA362" s="671">
        <f t="shared" si="156"/>
        <v>0</v>
      </c>
      <c r="AB362" s="677" t="b">
        <f t="shared" si="145"/>
        <v>0</v>
      </c>
      <c r="AC362" s="678">
        <f t="shared" si="157"/>
        <v>0</v>
      </c>
      <c r="AD362" s="673"/>
      <c r="AE362" s="678">
        <f t="shared" si="146"/>
        <v>0</v>
      </c>
      <c r="AF362" s="678" t="e">
        <f t="shared" si="147"/>
        <v>#N/A</v>
      </c>
      <c r="AG362" s="678" t="e">
        <f t="shared" si="148"/>
        <v>#N/A</v>
      </c>
      <c r="AH362" s="673">
        <f t="shared" si="158"/>
        <v>0</v>
      </c>
      <c r="AI362" s="674" t="e">
        <f>IF(G362="مدير ولائي",(11000*35%),LOOKUP(D362,'f-travail'!A:A,'f-travail'!I:I))</f>
        <v>#N/A</v>
      </c>
      <c r="AJ362" s="673" t="e">
        <f>IF(G362="مدير ولائي",((W362+X362)*45)*80%,IF(V362&lt;8,0,IF(F362="إليزي",(LOOKUP(D362,'f-travail'!A:A,'f-travail'!O:O))*(AF362+AG362),LOOKUP(D362,'f-travail'!A:A,'f-travail'!P:P)*(AF362+AG362))))</f>
        <v>#N/A</v>
      </c>
      <c r="AK362" s="673" t="e">
        <f>IF(G362="مدير ولائي",0,LOOKUP(D362,'f-travail'!A:A,'f-travail'!Q:Q))</f>
        <v>#N/A</v>
      </c>
      <c r="AL362" s="673" t="e">
        <f>IF(G362="مدير ولائي",0,LOOKUP(D362,'f-travail'!A:A,'f-travail'!R:R)*(AF362+AG362))</f>
        <v>#N/A</v>
      </c>
      <c r="AM362" s="673" t="e">
        <f>IF(G362="مدير ولائي",0,LOOKUP(D362,'f-travail'!A:A,'f-travail'!S:S)*(AF362+AG362))</f>
        <v>#N/A</v>
      </c>
      <c r="AN362" s="673" t="e">
        <f>IF(G362="مدير ولائي",0,LOOKUP(D362,'f-travail'!A:A,'f-travail'!T:T)*(AF362+AG362))</f>
        <v>#N/A</v>
      </c>
      <c r="AO362" s="673" t="e">
        <f>IF(G362="مدير ولائي",0,LOOKUP(D362,'f-travail'!A:A,'f-travail'!U:U)*(AF362+AG362))</f>
        <v>#N/A</v>
      </c>
      <c r="AP362" s="673" t="e">
        <f>IF(G362="مدير ولائي",0,LOOKUP(D362,'f-travail'!A:A,'f-travail'!V:V)*(AF362+AG362))</f>
        <v>#N/A</v>
      </c>
      <c r="AQ362" s="673" t="e">
        <f>IF(G362="مدير ولائي",0,LOOKUP(D362,'f-travail'!A:A,'f-travail'!W:W)*(AF362+AG362))</f>
        <v>#N/A</v>
      </c>
      <c r="AR362" s="673">
        <f t="shared" si="159"/>
        <v>0</v>
      </c>
      <c r="AS362" s="673" t="e">
        <f>IF(G362="مدير ولائي",0,LOOKUP(D362,'f-travail'!A:A,'f-travail'!X:X)*(AF362+AG362))</f>
        <v>#N/A</v>
      </c>
      <c r="AT362" s="673" t="e">
        <f>IF(G362="مدير ولائي",0,LOOKUP(D362,'f-travail'!Y:Y,'f-travail'!R:R)*(AF362+AG362))</f>
        <v>#N/A</v>
      </c>
      <c r="AU362" s="673">
        <f t="shared" si="149"/>
        <v>0</v>
      </c>
      <c r="AV362" s="673">
        <f t="shared" si="150"/>
        <v>0</v>
      </c>
      <c r="AW362" s="673">
        <f t="shared" si="151"/>
        <v>0</v>
      </c>
      <c r="AY362" s="640" t="e">
        <f t="shared" si="160"/>
        <v>#N/A</v>
      </c>
      <c r="AZ362" s="673" t="e">
        <f t="shared" si="152"/>
        <v>#N/A</v>
      </c>
      <c r="BA362" s="639" t="e">
        <f t="shared" si="153"/>
        <v>#N/A</v>
      </c>
      <c r="BG362" s="639">
        <f t="shared" si="161"/>
        <v>0</v>
      </c>
      <c r="BH362" s="683">
        <f t="shared" si="162"/>
        <v>0</v>
      </c>
      <c r="BI362" s="683">
        <f t="shared" si="163"/>
        <v>0</v>
      </c>
      <c r="BJ362" s="641" t="e">
        <f t="shared" si="164"/>
        <v>#N/A</v>
      </c>
      <c r="BK362" s="641" t="e">
        <f t="shared" si="165"/>
        <v>#N/A</v>
      </c>
      <c r="BL362" s="641" t="e">
        <f t="shared" si="166"/>
        <v>#N/A</v>
      </c>
      <c r="BM362" s="684" t="e">
        <f t="shared" si="167"/>
        <v>#N/A</v>
      </c>
      <c r="BO362" s="682" t="e">
        <f>CONCATENATE(Z362," ",LOOKUP(D362,'f-travail'!A:A,'f-travail'!F:F))</f>
        <v>#N/A</v>
      </c>
      <c r="BP362" s="669" t="e">
        <f t="shared" si="154"/>
        <v>#N/A</v>
      </c>
    </row>
    <row r="363" spans="1:68">
      <c r="A363" s="636">
        <f t="shared" si="168"/>
        <v>362</v>
      </c>
      <c r="B363" s="637"/>
      <c r="C363" s="637"/>
      <c r="D363" s="652"/>
      <c r="E363" s="679" t="e">
        <f>LOOKUP(D363,'f-travail'!A:A,'f-travail'!B:B)</f>
        <v>#N/A</v>
      </c>
      <c r="F363" s="650"/>
      <c r="G363" s="650"/>
      <c r="H363" s="653"/>
      <c r="I363" s="653"/>
      <c r="J363" s="654"/>
      <c r="K363" s="650"/>
      <c r="L363" s="650"/>
      <c r="M363" s="650">
        <v>0</v>
      </c>
      <c r="N363" s="654"/>
      <c r="O363" s="654"/>
      <c r="P363" s="654"/>
      <c r="Q363" s="654"/>
      <c r="R363" s="676"/>
      <c r="S363" s="654"/>
      <c r="T363" s="675"/>
      <c r="U363" s="675"/>
      <c r="V363" s="670" t="e">
        <f>LOOKUP(D363,'f-travail'!A:A,'f-travail'!E:E)</f>
        <v>#N/A</v>
      </c>
      <c r="W363" s="670" t="e">
        <f>VLOOKUP(V363,جرقمإستدلالي,'f-travail'!$AD$4+1,FALSE)</f>
        <v>#N/A</v>
      </c>
      <c r="X363" s="671" t="e">
        <f t="shared" si="144"/>
        <v>#N/A</v>
      </c>
      <c r="Y363" s="671">
        <f>IF(G363="مدير ولائي",(HLOOKUP(I363,جدروظعليا,'f-travail'!$AT$3+1,FALSE)-3200),0)</f>
        <v>0</v>
      </c>
      <c r="Z363" s="672" t="str">
        <f t="shared" si="155"/>
        <v/>
      </c>
      <c r="AA363" s="671">
        <f t="shared" si="156"/>
        <v>0</v>
      </c>
      <c r="AB363" s="677" t="b">
        <f t="shared" si="145"/>
        <v>0</v>
      </c>
      <c r="AC363" s="678">
        <f t="shared" si="157"/>
        <v>0</v>
      </c>
      <c r="AD363" s="673"/>
      <c r="AE363" s="678">
        <f t="shared" si="146"/>
        <v>0</v>
      </c>
      <c r="AF363" s="678" t="e">
        <f t="shared" si="147"/>
        <v>#N/A</v>
      </c>
      <c r="AG363" s="678" t="e">
        <f t="shared" si="148"/>
        <v>#N/A</v>
      </c>
      <c r="AH363" s="673">
        <f t="shared" si="158"/>
        <v>0</v>
      </c>
      <c r="AI363" s="674" t="e">
        <f>IF(G363="مدير ولائي",(11000*35%),LOOKUP(D363,'f-travail'!A:A,'f-travail'!I:I))</f>
        <v>#N/A</v>
      </c>
      <c r="AJ363" s="673" t="e">
        <f>IF(G363="مدير ولائي",((W363+X363)*45)*80%,IF(V363&lt;8,0,IF(F363="إليزي",(LOOKUP(D363,'f-travail'!A:A,'f-travail'!O:O))*(AF363+AG363),LOOKUP(D363,'f-travail'!A:A,'f-travail'!P:P)*(AF363+AG363))))</f>
        <v>#N/A</v>
      </c>
      <c r="AK363" s="673" t="e">
        <f>IF(G363="مدير ولائي",0,LOOKUP(D363,'f-travail'!A:A,'f-travail'!Q:Q))</f>
        <v>#N/A</v>
      </c>
      <c r="AL363" s="673" t="e">
        <f>IF(G363="مدير ولائي",0,LOOKUP(D363,'f-travail'!A:A,'f-travail'!R:R)*(AF363+AG363))</f>
        <v>#N/A</v>
      </c>
      <c r="AM363" s="673" t="e">
        <f>IF(G363="مدير ولائي",0,LOOKUP(D363,'f-travail'!A:A,'f-travail'!S:S)*(AF363+AG363))</f>
        <v>#N/A</v>
      </c>
      <c r="AN363" s="673" t="e">
        <f>IF(G363="مدير ولائي",0,LOOKUP(D363,'f-travail'!A:A,'f-travail'!T:T)*(AF363+AG363))</f>
        <v>#N/A</v>
      </c>
      <c r="AO363" s="673" t="e">
        <f>IF(G363="مدير ولائي",0,LOOKUP(D363,'f-travail'!A:A,'f-travail'!U:U)*(AF363+AG363))</f>
        <v>#N/A</v>
      </c>
      <c r="AP363" s="673" t="e">
        <f>IF(G363="مدير ولائي",0,LOOKUP(D363,'f-travail'!A:A,'f-travail'!V:V)*(AF363+AG363))</f>
        <v>#N/A</v>
      </c>
      <c r="AQ363" s="673" t="e">
        <f>IF(G363="مدير ولائي",0,LOOKUP(D363,'f-travail'!A:A,'f-travail'!W:W)*(AF363+AG363))</f>
        <v>#N/A</v>
      </c>
      <c r="AR363" s="673">
        <f t="shared" si="159"/>
        <v>0</v>
      </c>
      <c r="AS363" s="673" t="e">
        <f>IF(G363="مدير ولائي",0,LOOKUP(D363,'f-travail'!A:A,'f-travail'!X:X)*(AF363+AG363))</f>
        <v>#N/A</v>
      </c>
      <c r="AT363" s="673" t="e">
        <f>IF(G363="مدير ولائي",0,LOOKUP(D363,'f-travail'!Y:Y,'f-travail'!R:R)*(AF363+AG363))</f>
        <v>#N/A</v>
      </c>
      <c r="AU363" s="673">
        <f t="shared" si="149"/>
        <v>0</v>
      </c>
      <c r="AV363" s="673">
        <f t="shared" si="150"/>
        <v>0</v>
      </c>
      <c r="AW363" s="673">
        <f t="shared" si="151"/>
        <v>0</v>
      </c>
      <c r="AY363" s="640" t="e">
        <f t="shared" si="160"/>
        <v>#N/A</v>
      </c>
      <c r="AZ363" s="673" t="e">
        <f t="shared" si="152"/>
        <v>#N/A</v>
      </c>
      <c r="BA363" s="639" t="e">
        <f t="shared" si="153"/>
        <v>#N/A</v>
      </c>
      <c r="BG363" s="639">
        <f t="shared" si="161"/>
        <v>0</v>
      </c>
      <c r="BH363" s="683">
        <f t="shared" si="162"/>
        <v>0</v>
      </c>
      <c r="BI363" s="683">
        <f t="shared" si="163"/>
        <v>0</v>
      </c>
      <c r="BJ363" s="641" t="e">
        <f t="shared" si="164"/>
        <v>#N/A</v>
      </c>
      <c r="BK363" s="641" t="e">
        <f t="shared" si="165"/>
        <v>#N/A</v>
      </c>
      <c r="BL363" s="641" t="e">
        <f t="shared" si="166"/>
        <v>#N/A</v>
      </c>
      <c r="BM363" s="684" t="e">
        <f t="shared" si="167"/>
        <v>#N/A</v>
      </c>
      <c r="BO363" s="682" t="e">
        <f>CONCATENATE(Z363," ",LOOKUP(D363,'f-travail'!A:A,'f-travail'!F:F))</f>
        <v>#N/A</v>
      </c>
      <c r="BP363" s="669" t="e">
        <f t="shared" si="154"/>
        <v>#N/A</v>
      </c>
    </row>
    <row r="364" spans="1:68">
      <c r="A364" s="636">
        <f t="shared" si="168"/>
        <v>363</v>
      </c>
      <c r="B364" s="637"/>
      <c r="C364" s="637"/>
      <c r="D364" s="652"/>
      <c r="E364" s="679" t="e">
        <f>LOOKUP(D364,'f-travail'!A:A,'f-travail'!B:B)</f>
        <v>#N/A</v>
      </c>
      <c r="F364" s="650"/>
      <c r="G364" s="650"/>
      <c r="H364" s="653"/>
      <c r="I364" s="653"/>
      <c r="J364" s="654"/>
      <c r="K364" s="650"/>
      <c r="L364" s="650"/>
      <c r="M364" s="650">
        <v>0</v>
      </c>
      <c r="N364" s="654"/>
      <c r="O364" s="654"/>
      <c r="P364" s="654"/>
      <c r="Q364" s="654"/>
      <c r="R364" s="676"/>
      <c r="S364" s="654"/>
      <c r="T364" s="675"/>
      <c r="U364" s="675"/>
      <c r="V364" s="670" t="e">
        <f>LOOKUP(D364,'f-travail'!A:A,'f-travail'!E:E)</f>
        <v>#N/A</v>
      </c>
      <c r="W364" s="670" t="e">
        <f>VLOOKUP(V364,جرقمإستدلالي,'f-travail'!$AD$4+1,FALSE)</f>
        <v>#N/A</v>
      </c>
      <c r="X364" s="671" t="e">
        <f t="shared" si="144"/>
        <v>#N/A</v>
      </c>
      <c r="Y364" s="671">
        <f>IF(G364="مدير ولائي",(HLOOKUP(I364,جدروظعليا,'f-travail'!$AT$3+1,FALSE)-3200),0)</f>
        <v>0</v>
      </c>
      <c r="Z364" s="672" t="str">
        <f t="shared" si="155"/>
        <v/>
      </c>
      <c r="AA364" s="671">
        <f t="shared" si="156"/>
        <v>0</v>
      </c>
      <c r="AB364" s="677" t="b">
        <f t="shared" si="145"/>
        <v>0</v>
      </c>
      <c r="AC364" s="678">
        <f t="shared" si="157"/>
        <v>0</v>
      </c>
      <c r="AD364" s="673"/>
      <c r="AE364" s="678">
        <f t="shared" si="146"/>
        <v>0</v>
      </c>
      <c r="AF364" s="678" t="e">
        <f t="shared" si="147"/>
        <v>#N/A</v>
      </c>
      <c r="AG364" s="678" t="e">
        <f t="shared" si="148"/>
        <v>#N/A</v>
      </c>
      <c r="AH364" s="673">
        <f t="shared" si="158"/>
        <v>0</v>
      </c>
      <c r="AI364" s="674" t="e">
        <f>IF(G364="مدير ولائي",(11000*35%),LOOKUP(D364,'f-travail'!A:A,'f-travail'!I:I))</f>
        <v>#N/A</v>
      </c>
      <c r="AJ364" s="673" t="e">
        <f>IF(G364="مدير ولائي",((W364+X364)*45)*80%,IF(V364&lt;8,0,IF(F364="إليزي",(LOOKUP(D364,'f-travail'!A:A,'f-travail'!O:O))*(AF364+AG364),LOOKUP(D364,'f-travail'!A:A,'f-travail'!P:P)*(AF364+AG364))))</f>
        <v>#N/A</v>
      </c>
      <c r="AK364" s="673" t="e">
        <f>IF(G364="مدير ولائي",0,LOOKUP(D364,'f-travail'!A:A,'f-travail'!Q:Q))</f>
        <v>#N/A</v>
      </c>
      <c r="AL364" s="673" t="e">
        <f>IF(G364="مدير ولائي",0,LOOKUP(D364,'f-travail'!A:A,'f-travail'!R:R)*(AF364+AG364))</f>
        <v>#N/A</v>
      </c>
      <c r="AM364" s="673" t="e">
        <f>IF(G364="مدير ولائي",0,LOOKUP(D364,'f-travail'!A:A,'f-travail'!S:S)*(AF364+AG364))</f>
        <v>#N/A</v>
      </c>
      <c r="AN364" s="673" t="e">
        <f>IF(G364="مدير ولائي",0,LOOKUP(D364,'f-travail'!A:A,'f-travail'!T:T)*(AF364+AG364))</f>
        <v>#N/A</v>
      </c>
      <c r="AO364" s="673" t="e">
        <f>IF(G364="مدير ولائي",0,LOOKUP(D364,'f-travail'!A:A,'f-travail'!U:U)*(AF364+AG364))</f>
        <v>#N/A</v>
      </c>
      <c r="AP364" s="673" t="e">
        <f>IF(G364="مدير ولائي",0,LOOKUP(D364,'f-travail'!A:A,'f-travail'!V:V)*(AF364+AG364))</f>
        <v>#N/A</v>
      </c>
      <c r="AQ364" s="673" t="e">
        <f>IF(G364="مدير ولائي",0,LOOKUP(D364,'f-travail'!A:A,'f-travail'!W:W)*(AF364+AG364))</f>
        <v>#N/A</v>
      </c>
      <c r="AR364" s="673">
        <f t="shared" si="159"/>
        <v>0</v>
      </c>
      <c r="AS364" s="673" t="e">
        <f>IF(G364="مدير ولائي",0,LOOKUP(D364,'f-travail'!A:A,'f-travail'!X:X)*(AF364+AG364))</f>
        <v>#N/A</v>
      </c>
      <c r="AT364" s="673" t="e">
        <f>IF(G364="مدير ولائي",0,LOOKUP(D364,'f-travail'!Y:Y,'f-travail'!R:R)*(AF364+AG364))</f>
        <v>#N/A</v>
      </c>
      <c r="AU364" s="673">
        <f t="shared" si="149"/>
        <v>0</v>
      </c>
      <c r="AV364" s="673">
        <f t="shared" si="150"/>
        <v>0</v>
      </c>
      <c r="AW364" s="673">
        <f t="shared" si="151"/>
        <v>0</v>
      </c>
      <c r="AY364" s="640" t="e">
        <f t="shared" si="160"/>
        <v>#N/A</v>
      </c>
      <c r="AZ364" s="673" t="e">
        <f t="shared" si="152"/>
        <v>#N/A</v>
      </c>
      <c r="BA364" s="639" t="e">
        <f t="shared" si="153"/>
        <v>#N/A</v>
      </c>
      <c r="BG364" s="639">
        <f t="shared" si="161"/>
        <v>0</v>
      </c>
      <c r="BH364" s="683">
        <f t="shared" si="162"/>
        <v>0</v>
      </c>
      <c r="BI364" s="683">
        <f t="shared" si="163"/>
        <v>0</v>
      </c>
      <c r="BJ364" s="641" t="e">
        <f t="shared" si="164"/>
        <v>#N/A</v>
      </c>
      <c r="BK364" s="641" t="e">
        <f t="shared" si="165"/>
        <v>#N/A</v>
      </c>
      <c r="BL364" s="641" t="e">
        <f t="shared" si="166"/>
        <v>#N/A</v>
      </c>
      <c r="BM364" s="684" t="e">
        <f t="shared" si="167"/>
        <v>#N/A</v>
      </c>
      <c r="BO364" s="682" t="e">
        <f>CONCATENATE(Z364," ",LOOKUP(D364,'f-travail'!A:A,'f-travail'!F:F))</f>
        <v>#N/A</v>
      </c>
      <c r="BP364" s="669" t="e">
        <f t="shared" si="154"/>
        <v>#N/A</v>
      </c>
    </row>
    <row r="365" spans="1:68">
      <c r="A365" s="636">
        <f t="shared" si="168"/>
        <v>364</v>
      </c>
      <c r="B365" s="637"/>
      <c r="C365" s="637"/>
      <c r="D365" s="652"/>
      <c r="E365" s="679" t="e">
        <f>LOOKUP(D365,'f-travail'!A:A,'f-travail'!B:B)</f>
        <v>#N/A</v>
      </c>
      <c r="F365" s="650"/>
      <c r="G365" s="650"/>
      <c r="H365" s="653"/>
      <c r="I365" s="653"/>
      <c r="J365" s="654"/>
      <c r="K365" s="650"/>
      <c r="L365" s="650"/>
      <c r="M365" s="650">
        <v>0</v>
      </c>
      <c r="N365" s="654"/>
      <c r="O365" s="654"/>
      <c r="P365" s="654"/>
      <c r="Q365" s="654"/>
      <c r="R365" s="676"/>
      <c r="S365" s="654"/>
      <c r="T365" s="675"/>
      <c r="U365" s="675"/>
      <c r="V365" s="670" t="e">
        <f>LOOKUP(D365,'f-travail'!A:A,'f-travail'!E:E)</f>
        <v>#N/A</v>
      </c>
      <c r="W365" s="670" t="e">
        <f>VLOOKUP(V365,جرقمإستدلالي,'f-travail'!$AD$4+1,FALSE)</f>
        <v>#N/A</v>
      </c>
      <c r="X365" s="671" t="e">
        <f t="shared" si="144"/>
        <v>#N/A</v>
      </c>
      <c r="Y365" s="671">
        <f>IF(G365="مدير ولائي",(HLOOKUP(I365,جدروظعليا,'f-travail'!$AT$3+1,FALSE)-3200),0)</f>
        <v>0</v>
      </c>
      <c r="Z365" s="672" t="str">
        <f t="shared" si="155"/>
        <v/>
      </c>
      <c r="AA365" s="671">
        <f t="shared" si="156"/>
        <v>0</v>
      </c>
      <c r="AB365" s="677" t="b">
        <f t="shared" si="145"/>
        <v>0</v>
      </c>
      <c r="AC365" s="678">
        <f t="shared" si="157"/>
        <v>0</v>
      </c>
      <c r="AD365" s="673"/>
      <c r="AE365" s="678">
        <f t="shared" si="146"/>
        <v>0</v>
      </c>
      <c r="AF365" s="678" t="e">
        <f t="shared" si="147"/>
        <v>#N/A</v>
      </c>
      <c r="AG365" s="678" t="e">
        <f t="shared" si="148"/>
        <v>#N/A</v>
      </c>
      <c r="AH365" s="673">
        <f t="shared" si="158"/>
        <v>0</v>
      </c>
      <c r="AI365" s="674" t="e">
        <f>IF(G365="مدير ولائي",(11000*35%),LOOKUP(D365,'f-travail'!A:A,'f-travail'!I:I))</f>
        <v>#N/A</v>
      </c>
      <c r="AJ365" s="673" t="e">
        <f>IF(G365="مدير ولائي",((W365+X365)*45)*80%,IF(V365&lt;8,0,IF(F365="إليزي",(LOOKUP(D365,'f-travail'!A:A,'f-travail'!O:O))*(AF365+AG365),LOOKUP(D365,'f-travail'!A:A,'f-travail'!P:P)*(AF365+AG365))))</f>
        <v>#N/A</v>
      </c>
      <c r="AK365" s="673" t="e">
        <f>IF(G365="مدير ولائي",0,LOOKUP(D365,'f-travail'!A:A,'f-travail'!Q:Q))</f>
        <v>#N/A</v>
      </c>
      <c r="AL365" s="673" t="e">
        <f>IF(G365="مدير ولائي",0,LOOKUP(D365,'f-travail'!A:A,'f-travail'!R:R)*(AF365+AG365))</f>
        <v>#N/A</v>
      </c>
      <c r="AM365" s="673" t="e">
        <f>IF(G365="مدير ولائي",0,LOOKUP(D365,'f-travail'!A:A,'f-travail'!S:S)*(AF365+AG365))</f>
        <v>#N/A</v>
      </c>
      <c r="AN365" s="673" t="e">
        <f>IF(G365="مدير ولائي",0,LOOKUP(D365,'f-travail'!A:A,'f-travail'!T:T)*(AF365+AG365))</f>
        <v>#N/A</v>
      </c>
      <c r="AO365" s="673" t="e">
        <f>IF(G365="مدير ولائي",0,LOOKUP(D365,'f-travail'!A:A,'f-travail'!U:U)*(AF365+AG365))</f>
        <v>#N/A</v>
      </c>
      <c r="AP365" s="673" t="e">
        <f>IF(G365="مدير ولائي",0,LOOKUP(D365,'f-travail'!A:A,'f-travail'!V:V)*(AF365+AG365))</f>
        <v>#N/A</v>
      </c>
      <c r="AQ365" s="673" t="e">
        <f>IF(G365="مدير ولائي",0,LOOKUP(D365,'f-travail'!A:A,'f-travail'!W:W)*(AF365+AG365))</f>
        <v>#N/A</v>
      </c>
      <c r="AR365" s="673">
        <f t="shared" si="159"/>
        <v>0</v>
      </c>
      <c r="AS365" s="673" t="e">
        <f>IF(G365="مدير ولائي",0,LOOKUP(D365,'f-travail'!A:A,'f-travail'!X:X)*(AF365+AG365))</f>
        <v>#N/A</v>
      </c>
      <c r="AT365" s="673" t="e">
        <f>IF(G365="مدير ولائي",0,LOOKUP(D365,'f-travail'!Y:Y,'f-travail'!R:R)*(AF365+AG365))</f>
        <v>#N/A</v>
      </c>
      <c r="AU365" s="673">
        <f t="shared" si="149"/>
        <v>0</v>
      </c>
      <c r="AV365" s="673">
        <f t="shared" si="150"/>
        <v>0</v>
      </c>
      <c r="AW365" s="673">
        <f t="shared" si="151"/>
        <v>0</v>
      </c>
      <c r="AY365" s="640" t="e">
        <f t="shared" si="160"/>
        <v>#N/A</v>
      </c>
      <c r="AZ365" s="673" t="e">
        <f t="shared" si="152"/>
        <v>#N/A</v>
      </c>
      <c r="BA365" s="639" t="e">
        <f t="shared" si="153"/>
        <v>#N/A</v>
      </c>
      <c r="BG365" s="639">
        <f t="shared" si="161"/>
        <v>0</v>
      </c>
      <c r="BH365" s="683">
        <f t="shared" si="162"/>
        <v>0</v>
      </c>
      <c r="BI365" s="683">
        <f t="shared" si="163"/>
        <v>0</v>
      </c>
      <c r="BJ365" s="641" t="e">
        <f t="shared" si="164"/>
        <v>#N/A</v>
      </c>
      <c r="BK365" s="641" t="e">
        <f t="shared" si="165"/>
        <v>#N/A</v>
      </c>
      <c r="BL365" s="641" t="e">
        <f t="shared" si="166"/>
        <v>#N/A</v>
      </c>
      <c r="BM365" s="684" t="e">
        <f t="shared" si="167"/>
        <v>#N/A</v>
      </c>
      <c r="BO365" s="682" t="e">
        <f>CONCATENATE(Z365," ",LOOKUP(D365,'f-travail'!A:A,'f-travail'!F:F))</f>
        <v>#N/A</v>
      </c>
      <c r="BP365" s="669" t="e">
        <f t="shared" si="154"/>
        <v>#N/A</v>
      </c>
    </row>
    <row r="366" spans="1:68">
      <c r="A366" s="636">
        <f t="shared" si="168"/>
        <v>365</v>
      </c>
      <c r="B366" s="637"/>
      <c r="C366" s="637"/>
      <c r="D366" s="652"/>
      <c r="E366" s="679" t="e">
        <f>LOOKUP(D366,'f-travail'!A:A,'f-travail'!B:B)</f>
        <v>#N/A</v>
      </c>
      <c r="F366" s="650"/>
      <c r="G366" s="650"/>
      <c r="H366" s="653"/>
      <c r="I366" s="653"/>
      <c r="J366" s="654"/>
      <c r="K366" s="650"/>
      <c r="L366" s="650"/>
      <c r="M366" s="650">
        <v>0</v>
      </c>
      <c r="N366" s="654"/>
      <c r="O366" s="654"/>
      <c r="P366" s="654"/>
      <c r="Q366" s="654"/>
      <c r="R366" s="676"/>
      <c r="S366" s="654"/>
      <c r="T366" s="675"/>
      <c r="U366" s="675"/>
      <c r="V366" s="670" t="e">
        <f>LOOKUP(D366,'f-travail'!A:A,'f-travail'!E:E)</f>
        <v>#N/A</v>
      </c>
      <c r="W366" s="670" t="e">
        <f>VLOOKUP(V366,جرقمإستدلالي,'f-travail'!$AD$4+1,FALSE)</f>
        <v>#N/A</v>
      </c>
      <c r="X366" s="671" t="e">
        <f t="shared" si="144"/>
        <v>#N/A</v>
      </c>
      <c r="Y366" s="671">
        <f>IF(G366="مدير ولائي",(HLOOKUP(I366,جدروظعليا,'f-travail'!$AT$3+1,FALSE)-3200),0)</f>
        <v>0</v>
      </c>
      <c r="Z366" s="672" t="str">
        <f t="shared" si="155"/>
        <v/>
      </c>
      <c r="AA366" s="671">
        <f t="shared" si="156"/>
        <v>0</v>
      </c>
      <c r="AB366" s="677" t="b">
        <f t="shared" si="145"/>
        <v>0</v>
      </c>
      <c r="AC366" s="678">
        <f t="shared" si="157"/>
        <v>0</v>
      </c>
      <c r="AD366" s="673"/>
      <c r="AE366" s="678">
        <f t="shared" si="146"/>
        <v>0</v>
      </c>
      <c r="AF366" s="678" t="e">
        <f t="shared" si="147"/>
        <v>#N/A</v>
      </c>
      <c r="AG366" s="678" t="e">
        <f t="shared" si="148"/>
        <v>#N/A</v>
      </c>
      <c r="AH366" s="673">
        <f t="shared" si="158"/>
        <v>0</v>
      </c>
      <c r="AI366" s="674" t="e">
        <f>IF(G366="مدير ولائي",(11000*35%),LOOKUP(D366,'f-travail'!A:A,'f-travail'!I:I))</f>
        <v>#N/A</v>
      </c>
      <c r="AJ366" s="673" t="e">
        <f>IF(G366="مدير ولائي",((W366+X366)*45)*80%,IF(V366&lt;8,0,IF(F366="إليزي",(LOOKUP(D366,'f-travail'!A:A,'f-travail'!O:O))*(AF366+AG366),LOOKUP(D366,'f-travail'!A:A,'f-travail'!P:P)*(AF366+AG366))))</f>
        <v>#N/A</v>
      </c>
      <c r="AK366" s="673" t="e">
        <f>IF(G366="مدير ولائي",0,LOOKUP(D366,'f-travail'!A:A,'f-travail'!Q:Q))</f>
        <v>#N/A</v>
      </c>
      <c r="AL366" s="673" t="e">
        <f>IF(G366="مدير ولائي",0,LOOKUP(D366,'f-travail'!A:A,'f-travail'!R:R)*(AF366+AG366))</f>
        <v>#N/A</v>
      </c>
      <c r="AM366" s="673" t="e">
        <f>IF(G366="مدير ولائي",0,LOOKUP(D366,'f-travail'!A:A,'f-travail'!S:S)*(AF366+AG366))</f>
        <v>#N/A</v>
      </c>
      <c r="AN366" s="673" t="e">
        <f>IF(G366="مدير ولائي",0,LOOKUP(D366,'f-travail'!A:A,'f-travail'!T:T)*(AF366+AG366))</f>
        <v>#N/A</v>
      </c>
      <c r="AO366" s="673" t="e">
        <f>IF(G366="مدير ولائي",0,LOOKUP(D366,'f-travail'!A:A,'f-travail'!U:U)*(AF366+AG366))</f>
        <v>#N/A</v>
      </c>
      <c r="AP366" s="673" t="e">
        <f>IF(G366="مدير ولائي",0,LOOKUP(D366,'f-travail'!A:A,'f-travail'!V:V)*(AF366+AG366))</f>
        <v>#N/A</v>
      </c>
      <c r="AQ366" s="673" t="e">
        <f>IF(G366="مدير ولائي",0,LOOKUP(D366,'f-travail'!A:A,'f-travail'!W:W)*(AF366+AG366))</f>
        <v>#N/A</v>
      </c>
      <c r="AR366" s="673">
        <f t="shared" si="159"/>
        <v>0</v>
      </c>
      <c r="AS366" s="673" t="e">
        <f>IF(G366="مدير ولائي",0,LOOKUP(D366,'f-travail'!A:A,'f-travail'!X:X)*(AF366+AG366))</f>
        <v>#N/A</v>
      </c>
      <c r="AT366" s="673" t="e">
        <f>IF(G366="مدير ولائي",0,LOOKUP(D366,'f-travail'!Y:Y,'f-travail'!R:R)*(AF366+AG366))</f>
        <v>#N/A</v>
      </c>
      <c r="AU366" s="673">
        <f t="shared" si="149"/>
        <v>0</v>
      </c>
      <c r="AV366" s="673">
        <f t="shared" si="150"/>
        <v>0</v>
      </c>
      <c r="AW366" s="673">
        <f t="shared" si="151"/>
        <v>0</v>
      </c>
      <c r="AY366" s="640" t="e">
        <f t="shared" si="160"/>
        <v>#N/A</v>
      </c>
      <c r="AZ366" s="673" t="e">
        <f t="shared" si="152"/>
        <v>#N/A</v>
      </c>
      <c r="BA366" s="639" t="e">
        <f t="shared" si="153"/>
        <v>#N/A</v>
      </c>
      <c r="BG366" s="639">
        <f t="shared" si="161"/>
        <v>0</v>
      </c>
      <c r="BH366" s="683">
        <f t="shared" si="162"/>
        <v>0</v>
      </c>
      <c r="BI366" s="683">
        <f t="shared" si="163"/>
        <v>0</v>
      </c>
      <c r="BJ366" s="641" t="e">
        <f t="shared" si="164"/>
        <v>#N/A</v>
      </c>
      <c r="BK366" s="641" t="e">
        <f t="shared" si="165"/>
        <v>#N/A</v>
      </c>
      <c r="BL366" s="641" t="e">
        <f t="shared" si="166"/>
        <v>#N/A</v>
      </c>
      <c r="BM366" s="684" t="e">
        <f t="shared" si="167"/>
        <v>#N/A</v>
      </c>
      <c r="BO366" s="682" t="e">
        <f>CONCATENATE(Z366," ",LOOKUP(D366,'f-travail'!A:A,'f-travail'!F:F))</f>
        <v>#N/A</v>
      </c>
      <c r="BP366" s="669" t="e">
        <f t="shared" si="154"/>
        <v>#N/A</v>
      </c>
    </row>
    <row r="367" spans="1:68">
      <c r="A367" s="636">
        <f t="shared" si="168"/>
        <v>366</v>
      </c>
      <c r="B367" s="637"/>
      <c r="C367" s="637"/>
      <c r="D367" s="652"/>
      <c r="E367" s="679" t="e">
        <f>LOOKUP(D367,'f-travail'!A:A,'f-travail'!B:B)</f>
        <v>#N/A</v>
      </c>
      <c r="F367" s="650"/>
      <c r="G367" s="650"/>
      <c r="H367" s="653"/>
      <c r="I367" s="653"/>
      <c r="J367" s="654"/>
      <c r="K367" s="650"/>
      <c r="L367" s="650"/>
      <c r="M367" s="650">
        <v>0</v>
      </c>
      <c r="N367" s="654"/>
      <c r="O367" s="654"/>
      <c r="P367" s="654"/>
      <c r="Q367" s="654"/>
      <c r="R367" s="676"/>
      <c r="S367" s="654"/>
      <c r="T367" s="675"/>
      <c r="U367" s="675"/>
      <c r="V367" s="670" t="e">
        <f>LOOKUP(D367,'f-travail'!A:A,'f-travail'!E:E)</f>
        <v>#N/A</v>
      </c>
      <c r="W367" s="670" t="e">
        <f>VLOOKUP(V367,جرقمإستدلالي,'f-travail'!$AD$4+1,FALSE)</f>
        <v>#N/A</v>
      </c>
      <c r="X367" s="671" t="e">
        <f t="shared" si="144"/>
        <v>#N/A</v>
      </c>
      <c r="Y367" s="671">
        <f>IF(G367="مدير ولائي",(HLOOKUP(I367,جدروظعليا,'f-travail'!$AT$3+1,FALSE)-3200),0)</f>
        <v>0</v>
      </c>
      <c r="Z367" s="672" t="str">
        <f t="shared" si="155"/>
        <v/>
      </c>
      <c r="AA367" s="671">
        <f t="shared" si="156"/>
        <v>0</v>
      </c>
      <c r="AB367" s="677" t="b">
        <f t="shared" si="145"/>
        <v>0</v>
      </c>
      <c r="AC367" s="678">
        <f t="shared" si="157"/>
        <v>0</v>
      </c>
      <c r="AD367" s="673"/>
      <c r="AE367" s="678">
        <f t="shared" si="146"/>
        <v>0</v>
      </c>
      <c r="AF367" s="678" t="e">
        <f t="shared" si="147"/>
        <v>#N/A</v>
      </c>
      <c r="AG367" s="678" t="e">
        <f t="shared" si="148"/>
        <v>#N/A</v>
      </c>
      <c r="AH367" s="673">
        <f t="shared" si="158"/>
        <v>0</v>
      </c>
      <c r="AI367" s="674" t="e">
        <f>IF(G367="مدير ولائي",(11000*35%),LOOKUP(D367,'f-travail'!A:A,'f-travail'!I:I))</f>
        <v>#N/A</v>
      </c>
      <c r="AJ367" s="673" t="e">
        <f>IF(G367="مدير ولائي",((W367+X367)*45)*80%,IF(V367&lt;8,0,IF(F367="إليزي",(LOOKUP(D367,'f-travail'!A:A,'f-travail'!O:O))*(AF367+AG367),LOOKUP(D367,'f-travail'!A:A,'f-travail'!P:P)*(AF367+AG367))))</f>
        <v>#N/A</v>
      </c>
      <c r="AK367" s="673" t="e">
        <f>IF(G367="مدير ولائي",0,LOOKUP(D367,'f-travail'!A:A,'f-travail'!Q:Q))</f>
        <v>#N/A</v>
      </c>
      <c r="AL367" s="673" t="e">
        <f>IF(G367="مدير ولائي",0,LOOKUP(D367,'f-travail'!A:A,'f-travail'!R:R)*(AF367+AG367))</f>
        <v>#N/A</v>
      </c>
      <c r="AM367" s="673" t="e">
        <f>IF(G367="مدير ولائي",0,LOOKUP(D367,'f-travail'!A:A,'f-travail'!S:S)*(AF367+AG367))</f>
        <v>#N/A</v>
      </c>
      <c r="AN367" s="673" t="e">
        <f>IF(G367="مدير ولائي",0,LOOKUP(D367,'f-travail'!A:A,'f-travail'!T:T)*(AF367+AG367))</f>
        <v>#N/A</v>
      </c>
      <c r="AO367" s="673" t="e">
        <f>IF(G367="مدير ولائي",0,LOOKUP(D367,'f-travail'!A:A,'f-travail'!U:U)*(AF367+AG367))</f>
        <v>#N/A</v>
      </c>
      <c r="AP367" s="673" t="e">
        <f>IF(G367="مدير ولائي",0,LOOKUP(D367,'f-travail'!A:A,'f-travail'!V:V)*(AF367+AG367))</f>
        <v>#N/A</v>
      </c>
      <c r="AQ367" s="673" t="e">
        <f>IF(G367="مدير ولائي",0,LOOKUP(D367,'f-travail'!A:A,'f-travail'!W:W)*(AF367+AG367))</f>
        <v>#N/A</v>
      </c>
      <c r="AR367" s="673">
        <f t="shared" si="159"/>
        <v>0</v>
      </c>
      <c r="AS367" s="673" t="e">
        <f>IF(G367="مدير ولائي",0,LOOKUP(D367,'f-travail'!A:A,'f-travail'!X:X)*(AF367+AG367))</f>
        <v>#N/A</v>
      </c>
      <c r="AT367" s="673" t="e">
        <f>IF(G367="مدير ولائي",0,LOOKUP(D367,'f-travail'!Y:Y,'f-travail'!R:R)*(AF367+AG367))</f>
        <v>#N/A</v>
      </c>
      <c r="AU367" s="673">
        <f t="shared" si="149"/>
        <v>0</v>
      </c>
      <c r="AV367" s="673">
        <f t="shared" si="150"/>
        <v>0</v>
      </c>
      <c r="AW367" s="673">
        <f t="shared" si="151"/>
        <v>0</v>
      </c>
      <c r="AY367" s="640" t="e">
        <f t="shared" si="160"/>
        <v>#N/A</v>
      </c>
      <c r="AZ367" s="673" t="e">
        <f t="shared" si="152"/>
        <v>#N/A</v>
      </c>
      <c r="BA367" s="639" t="e">
        <f t="shared" si="153"/>
        <v>#N/A</v>
      </c>
      <c r="BG367" s="639">
        <f t="shared" si="161"/>
        <v>0</v>
      </c>
      <c r="BH367" s="683">
        <f t="shared" si="162"/>
        <v>0</v>
      </c>
      <c r="BI367" s="683">
        <f t="shared" si="163"/>
        <v>0</v>
      </c>
      <c r="BJ367" s="641" t="e">
        <f t="shared" si="164"/>
        <v>#N/A</v>
      </c>
      <c r="BK367" s="641" t="e">
        <f t="shared" si="165"/>
        <v>#N/A</v>
      </c>
      <c r="BL367" s="641" t="e">
        <f t="shared" si="166"/>
        <v>#N/A</v>
      </c>
      <c r="BM367" s="684" t="e">
        <f t="shared" si="167"/>
        <v>#N/A</v>
      </c>
      <c r="BO367" s="682" t="e">
        <f>CONCATENATE(Z367," ",LOOKUP(D367,'f-travail'!A:A,'f-travail'!F:F))</f>
        <v>#N/A</v>
      </c>
      <c r="BP367" s="669" t="e">
        <f t="shared" si="154"/>
        <v>#N/A</v>
      </c>
    </row>
    <row r="368" spans="1:68">
      <c r="A368" s="636">
        <f t="shared" si="168"/>
        <v>367</v>
      </c>
      <c r="B368" s="637"/>
      <c r="C368" s="637"/>
      <c r="D368" s="652"/>
      <c r="E368" s="679" t="e">
        <f>LOOKUP(D368,'f-travail'!A:A,'f-travail'!B:B)</f>
        <v>#N/A</v>
      </c>
      <c r="F368" s="650"/>
      <c r="G368" s="650"/>
      <c r="H368" s="653"/>
      <c r="I368" s="653"/>
      <c r="J368" s="654"/>
      <c r="K368" s="650"/>
      <c r="L368" s="650"/>
      <c r="M368" s="650">
        <v>0</v>
      </c>
      <c r="N368" s="654"/>
      <c r="O368" s="654"/>
      <c r="P368" s="654"/>
      <c r="Q368" s="654"/>
      <c r="R368" s="676"/>
      <c r="S368" s="654"/>
      <c r="T368" s="675"/>
      <c r="U368" s="675"/>
      <c r="V368" s="670" t="e">
        <f>LOOKUP(D368,'f-travail'!A:A,'f-travail'!E:E)</f>
        <v>#N/A</v>
      </c>
      <c r="W368" s="670" t="e">
        <f>VLOOKUP(V368,جرقمإستدلالي,'f-travail'!$AD$4+1,FALSE)</f>
        <v>#N/A</v>
      </c>
      <c r="X368" s="671" t="e">
        <f t="shared" si="144"/>
        <v>#N/A</v>
      </c>
      <c r="Y368" s="671">
        <f>IF(G368="مدير ولائي",(HLOOKUP(I368,جدروظعليا,'f-travail'!$AT$3+1,FALSE)-3200),0)</f>
        <v>0</v>
      </c>
      <c r="Z368" s="672" t="str">
        <f t="shared" si="155"/>
        <v/>
      </c>
      <c r="AA368" s="671">
        <f t="shared" si="156"/>
        <v>0</v>
      </c>
      <c r="AB368" s="677" t="b">
        <f t="shared" si="145"/>
        <v>0</v>
      </c>
      <c r="AC368" s="678">
        <f t="shared" si="157"/>
        <v>0</v>
      </c>
      <c r="AD368" s="673"/>
      <c r="AE368" s="678">
        <f t="shared" si="146"/>
        <v>0</v>
      </c>
      <c r="AF368" s="678" t="e">
        <f t="shared" si="147"/>
        <v>#N/A</v>
      </c>
      <c r="AG368" s="678" t="e">
        <f t="shared" si="148"/>
        <v>#N/A</v>
      </c>
      <c r="AH368" s="673">
        <f t="shared" si="158"/>
        <v>0</v>
      </c>
      <c r="AI368" s="674" t="e">
        <f>IF(G368="مدير ولائي",(11000*35%),LOOKUP(D368,'f-travail'!A:A,'f-travail'!I:I))</f>
        <v>#N/A</v>
      </c>
      <c r="AJ368" s="673" t="e">
        <f>IF(G368="مدير ولائي",((W368+X368)*45)*80%,IF(V368&lt;8,0,IF(F368="إليزي",(LOOKUP(D368,'f-travail'!A:A,'f-travail'!O:O))*(AF368+AG368),LOOKUP(D368,'f-travail'!A:A,'f-travail'!P:P)*(AF368+AG368))))</f>
        <v>#N/A</v>
      </c>
      <c r="AK368" s="673" t="e">
        <f>IF(G368="مدير ولائي",0,LOOKUP(D368,'f-travail'!A:A,'f-travail'!Q:Q))</f>
        <v>#N/A</v>
      </c>
      <c r="AL368" s="673" t="e">
        <f>IF(G368="مدير ولائي",0,LOOKUP(D368,'f-travail'!A:A,'f-travail'!R:R)*(AF368+AG368))</f>
        <v>#N/A</v>
      </c>
      <c r="AM368" s="673" t="e">
        <f>IF(G368="مدير ولائي",0,LOOKUP(D368,'f-travail'!A:A,'f-travail'!S:S)*(AF368+AG368))</f>
        <v>#N/A</v>
      </c>
      <c r="AN368" s="673" t="e">
        <f>IF(G368="مدير ولائي",0,LOOKUP(D368,'f-travail'!A:A,'f-travail'!T:T)*(AF368+AG368))</f>
        <v>#N/A</v>
      </c>
      <c r="AO368" s="673" t="e">
        <f>IF(G368="مدير ولائي",0,LOOKUP(D368,'f-travail'!A:A,'f-travail'!U:U)*(AF368+AG368))</f>
        <v>#N/A</v>
      </c>
      <c r="AP368" s="673" t="e">
        <f>IF(G368="مدير ولائي",0,LOOKUP(D368,'f-travail'!A:A,'f-travail'!V:V)*(AF368+AG368))</f>
        <v>#N/A</v>
      </c>
      <c r="AQ368" s="673" t="e">
        <f>IF(G368="مدير ولائي",0,LOOKUP(D368,'f-travail'!A:A,'f-travail'!W:W)*(AF368+AG368))</f>
        <v>#N/A</v>
      </c>
      <c r="AR368" s="673">
        <f t="shared" si="159"/>
        <v>0</v>
      </c>
      <c r="AS368" s="673" t="e">
        <f>IF(G368="مدير ولائي",0,LOOKUP(D368,'f-travail'!A:A,'f-travail'!X:X)*(AF368+AG368))</f>
        <v>#N/A</v>
      </c>
      <c r="AT368" s="673" t="e">
        <f>IF(G368="مدير ولائي",0,LOOKUP(D368,'f-travail'!Y:Y,'f-travail'!R:R)*(AF368+AG368))</f>
        <v>#N/A</v>
      </c>
      <c r="AU368" s="673">
        <f t="shared" si="149"/>
        <v>0</v>
      </c>
      <c r="AV368" s="673">
        <f t="shared" si="150"/>
        <v>0</v>
      </c>
      <c r="AW368" s="673">
        <f t="shared" si="151"/>
        <v>0</v>
      </c>
      <c r="AY368" s="640" t="e">
        <f t="shared" si="160"/>
        <v>#N/A</v>
      </c>
      <c r="AZ368" s="673" t="e">
        <f t="shared" si="152"/>
        <v>#N/A</v>
      </c>
      <c r="BA368" s="639" t="e">
        <f t="shared" si="153"/>
        <v>#N/A</v>
      </c>
      <c r="BG368" s="639">
        <f t="shared" si="161"/>
        <v>0</v>
      </c>
      <c r="BH368" s="683">
        <f t="shared" si="162"/>
        <v>0</v>
      </c>
      <c r="BI368" s="683">
        <f t="shared" si="163"/>
        <v>0</v>
      </c>
      <c r="BJ368" s="641" t="e">
        <f t="shared" si="164"/>
        <v>#N/A</v>
      </c>
      <c r="BK368" s="641" t="e">
        <f t="shared" si="165"/>
        <v>#N/A</v>
      </c>
      <c r="BL368" s="641" t="e">
        <f t="shared" si="166"/>
        <v>#N/A</v>
      </c>
      <c r="BM368" s="684" t="e">
        <f t="shared" si="167"/>
        <v>#N/A</v>
      </c>
      <c r="BO368" s="682" t="e">
        <f>CONCATENATE(Z368," ",LOOKUP(D368,'f-travail'!A:A,'f-travail'!F:F))</f>
        <v>#N/A</v>
      </c>
      <c r="BP368" s="669" t="e">
        <f t="shared" si="154"/>
        <v>#N/A</v>
      </c>
    </row>
    <row r="369" spans="1:68">
      <c r="A369" s="636">
        <f t="shared" si="168"/>
        <v>368</v>
      </c>
      <c r="B369" s="637"/>
      <c r="C369" s="637"/>
      <c r="D369" s="652"/>
      <c r="E369" s="679" t="e">
        <f>LOOKUP(D369,'f-travail'!A:A,'f-travail'!B:B)</f>
        <v>#N/A</v>
      </c>
      <c r="F369" s="650"/>
      <c r="G369" s="650"/>
      <c r="H369" s="653"/>
      <c r="I369" s="653"/>
      <c r="J369" s="654"/>
      <c r="K369" s="650"/>
      <c r="L369" s="650"/>
      <c r="M369" s="650">
        <v>0</v>
      </c>
      <c r="N369" s="654"/>
      <c r="O369" s="654"/>
      <c r="P369" s="654"/>
      <c r="Q369" s="654"/>
      <c r="R369" s="676"/>
      <c r="S369" s="654"/>
      <c r="T369" s="675"/>
      <c r="U369" s="675"/>
      <c r="V369" s="670" t="e">
        <f>LOOKUP(D369,'f-travail'!A:A,'f-travail'!E:E)</f>
        <v>#N/A</v>
      </c>
      <c r="W369" s="670" t="e">
        <f>VLOOKUP(V369,جرقمإستدلالي,'f-travail'!$AD$4+1,FALSE)</f>
        <v>#N/A</v>
      </c>
      <c r="X369" s="671" t="e">
        <f t="shared" si="144"/>
        <v>#N/A</v>
      </c>
      <c r="Y369" s="671">
        <f>IF(G369="مدير ولائي",(HLOOKUP(I369,جدروظعليا,'f-travail'!$AT$3+1,FALSE)-3200),0)</f>
        <v>0</v>
      </c>
      <c r="Z369" s="672" t="str">
        <f t="shared" si="155"/>
        <v/>
      </c>
      <c r="AA369" s="671">
        <f t="shared" si="156"/>
        <v>0</v>
      </c>
      <c r="AB369" s="677" t="b">
        <f t="shared" si="145"/>
        <v>0</v>
      </c>
      <c r="AC369" s="678">
        <f t="shared" si="157"/>
        <v>0</v>
      </c>
      <c r="AD369" s="673"/>
      <c r="AE369" s="678">
        <f t="shared" si="146"/>
        <v>0</v>
      </c>
      <c r="AF369" s="678" t="e">
        <f t="shared" si="147"/>
        <v>#N/A</v>
      </c>
      <c r="AG369" s="678" t="e">
        <f t="shared" si="148"/>
        <v>#N/A</v>
      </c>
      <c r="AH369" s="673">
        <f t="shared" si="158"/>
        <v>0</v>
      </c>
      <c r="AI369" s="674" t="e">
        <f>IF(G369="مدير ولائي",(11000*35%),LOOKUP(D369,'f-travail'!A:A,'f-travail'!I:I))</f>
        <v>#N/A</v>
      </c>
      <c r="AJ369" s="673" t="e">
        <f>IF(G369="مدير ولائي",((W369+X369)*45)*80%,IF(V369&lt;8,0,IF(F369="إليزي",(LOOKUP(D369,'f-travail'!A:A,'f-travail'!O:O))*(AF369+AG369),LOOKUP(D369,'f-travail'!A:A,'f-travail'!P:P)*(AF369+AG369))))</f>
        <v>#N/A</v>
      </c>
      <c r="AK369" s="673" t="e">
        <f>IF(G369="مدير ولائي",0,LOOKUP(D369,'f-travail'!A:A,'f-travail'!Q:Q))</f>
        <v>#N/A</v>
      </c>
      <c r="AL369" s="673" t="e">
        <f>IF(G369="مدير ولائي",0,LOOKUP(D369,'f-travail'!A:A,'f-travail'!R:R)*(AF369+AG369))</f>
        <v>#N/A</v>
      </c>
      <c r="AM369" s="673" t="e">
        <f>IF(G369="مدير ولائي",0,LOOKUP(D369,'f-travail'!A:A,'f-travail'!S:S)*(AF369+AG369))</f>
        <v>#N/A</v>
      </c>
      <c r="AN369" s="673" t="e">
        <f>IF(G369="مدير ولائي",0,LOOKUP(D369,'f-travail'!A:A,'f-travail'!T:T)*(AF369+AG369))</f>
        <v>#N/A</v>
      </c>
      <c r="AO369" s="673" t="e">
        <f>IF(G369="مدير ولائي",0,LOOKUP(D369,'f-travail'!A:A,'f-travail'!U:U)*(AF369+AG369))</f>
        <v>#N/A</v>
      </c>
      <c r="AP369" s="673" t="e">
        <f>IF(G369="مدير ولائي",0,LOOKUP(D369,'f-travail'!A:A,'f-travail'!V:V)*(AF369+AG369))</f>
        <v>#N/A</v>
      </c>
      <c r="AQ369" s="673" t="e">
        <f>IF(G369="مدير ولائي",0,LOOKUP(D369,'f-travail'!A:A,'f-travail'!W:W)*(AF369+AG369))</f>
        <v>#N/A</v>
      </c>
      <c r="AR369" s="673">
        <f t="shared" si="159"/>
        <v>0</v>
      </c>
      <c r="AS369" s="673" t="e">
        <f>IF(G369="مدير ولائي",0,LOOKUP(D369,'f-travail'!A:A,'f-travail'!X:X)*(AF369+AG369))</f>
        <v>#N/A</v>
      </c>
      <c r="AT369" s="673" t="e">
        <f>IF(G369="مدير ولائي",0,LOOKUP(D369,'f-travail'!Y:Y,'f-travail'!R:R)*(AF369+AG369))</f>
        <v>#N/A</v>
      </c>
      <c r="AU369" s="673">
        <f t="shared" si="149"/>
        <v>0</v>
      </c>
      <c r="AV369" s="673">
        <f t="shared" si="150"/>
        <v>0</v>
      </c>
      <c r="AW369" s="673">
        <f t="shared" si="151"/>
        <v>0</v>
      </c>
      <c r="AY369" s="640" t="e">
        <f t="shared" si="160"/>
        <v>#N/A</v>
      </c>
      <c r="AZ369" s="673" t="e">
        <f t="shared" si="152"/>
        <v>#N/A</v>
      </c>
      <c r="BA369" s="639" t="e">
        <f t="shared" si="153"/>
        <v>#N/A</v>
      </c>
      <c r="BG369" s="639">
        <f t="shared" si="161"/>
        <v>0</v>
      </c>
      <c r="BH369" s="683">
        <f t="shared" si="162"/>
        <v>0</v>
      </c>
      <c r="BI369" s="683">
        <f t="shared" si="163"/>
        <v>0</v>
      </c>
      <c r="BJ369" s="641" t="e">
        <f t="shared" si="164"/>
        <v>#N/A</v>
      </c>
      <c r="BK369" s="641" t="e">
        <f t="shared" si="165"/>
        <v>#N/A</v>
      </c>
      <c r="BL369" s="641" t="e">
        <f t="shared" si="166"/>
        <v>#N/A</v>
      </c>
      <c r="BM369" s="684" t="e">
        <f t="shared" si="167"/>
        <v>#N/A</v>
      </c>
      <c r="BO369" s="682" t="e">
        <f>CONCATENATE(Z369," ",LOOKUP(D369,'f-travail'!A:A,'f-travail'!F:F))</f>
        <v>#N/A</v>
      </c>
      <c r="BP369" s="669" t="e">
        <f t="shared" si="154"/>
        <v>#N/A</v>
      </c>
    </row>
    <row r="370" spans="1:68">
      <c r="A370" s="636">
        <f t="shared" si="168"/>
        <v>369</v>
      </c>
      <c r="B370" s="637"/>
      <c r="C370" s="637"/>
      <c r="D370" s="652"/>
      <c r="E370" s="679" t="e">
        <f>LOOKUP(D370,'f-travail'!A:A,'f-travail'!B:B)</f>
        <v>#N/A</v>
      </c>
      <c r="F370" s="650"/>
      <c r="G370" s="650"/>
      <c r="H370" s="653"/>
      <c r="I370" s="653"/>
      <c r="J370" s="654"/>
      <c r="K370" s="650"/>
      <c r="L370" s="650"/>
      <c r="M370" s="650">
        <v>0</v>
      </c>
      <c r="N370" s="654"/>
      <c r="O370" s="654"/>
      <c r="P370" s="654"/>
      <c r="Q370" s="654"/>
      <c r="R370" s="676"/>
      <c r="S370" s="654"/>
      <c r="T370" s="675"/>
      <c r="U370" s="675"/>
      <c r="V370" s="670" t="e">
        <f>LOOKUP(D370,'f-travail'!A:A,'f-travail'!E:E)</f>
        <v>#N/A</v>
      </c>
      <c r="W370" s="670" t="e">
        <f>VLOOKUP(V370,جرقمإستدلالي,'f-travail'!$AD$4+1,FALSE)</f>
        <v>#N/A</v>
      </c>
      <c r="X370" s="671" t="e">
        <f t="shared" si="144"/>
        <v>#N/A</v>
      </c>
      <c r="Y370" s="671">
        <f>IF(G370="مدير ولائي",(HLOOKUP(I370,جدروظعليا,'f-travail'!$AT$3+1,FALSE)-3200),0)</f>
        <v>0</v>
      </c>
      <c r="Z370" s="672" t="str">
        <f t="shared" si="155"/>
        <v/>
      </c>
      <c r="AA370" s="671">
        <f t="shared" si="156"/>
        <v>0</v>
      </c>
      <c r="AB370" s="677" t="b">
        <f t="shared" si="145"/>
        <v>0</v>
      </c>
      <c r="AC370" s="678">
        <f t="shared" si="157"/>
        <v>0</v>
      </c>
      <c r="AD370" s="673"/>
      <c r="AE370" s="678">
        <f t="shared" si="146"/>
        <v>0</v>
      </c>
      <c r="AF370" s="678" t="e">
        <f t="shared" si="147"/>
        <v>#N/A</v>
      </c>
      <c r="AG370" s="678" t="e">
        <f t="shared" si="148"/>
        <v>#N/A</v>
      </c>
      <c r="AH370" s="673">
        <f t="shared" si="158"/>
        <v>0</v>
      </c>
      <c r="AI370" s="674" t="e">
        <f>IF(G370="مدير ولائي",(11000*35%),LOOKUP(D370,'f-travail'!A:A,'f-travail'!I:I))</f>
        <v>#N/A</v>
      </c>
      <c r="AJ370" s="673" t="e">
        <f>IF(G370="مدير ولائي",((W370+X370)*45)*80%,IF(V370&lt;8,0,IF(F370="إليزي",(LOOKUP(D370,'f-travail'!A:A,'f-travail'!O:O))*(AF370+AG370),LOOKUP(D370,'f-travail'!A:A,'f-travail'!P:P)*(AF370+AG370))))</f>
        <v>#N/A</v>
      </c>
      <c r="AK370" s="673" t="e">
        <f>IF(G370="مدير ولائي",0,LOOKUP(D370,'f-travail'!A:A,'f-travail'!Q:Q))</f>
        <v>#N/A</v>
      </c>
      <c r="AL370" s="673" t="e">
        <f>IF(G370="مدير ولائي",0,LOOKUP(D370,'f-travail'!A:A,'f-travail'!R:R)*(AF370+AG370))</f>
        <v>#N/A</v>
      </c>
      <c r="AM370" s="673" t="e">
        <f>IF(G370="مدير ولائي",0,LOOKUP(D370,'f-travail'!A:A,'f-travail'!S:S)*(AF370+AG370))</f>
        <v>#N/A</v>
      </c>
      <c r="AN370" s="673" t="e">
        <f>IF(G370="مدير ولائي",0,LOOKUP(D370,'f-travail'!A:A,'f-travail'!T:T)*(AF370+AG370))</f>
        <v>#N/A</v>
      </c>
      <c r="AO370" s="673" t="e">
        <f>IF(G370="مدير ولائي",0,LOOKUP(D370,'f-travail'!A:A,'f-travail'!U:U)*(AF370+AG370))</f>
        <v>#N/A</v>
      </c>
      <c r="AP370" s="673" t="e">
        <f>IF(G370="مدير ولائي",0,LOOKUP(D370,'f-travail'!A:A,'f-travail'!V:V)*(AF370+AG370))</f>
        <v>#N/A</v>
      </c>
      <c r="AQ370" s="673" t="e">
        <f>IF(G370="مدير ولائي",0,LOOKUP(D370,'f-travail'!A:A,'f-travail'!W:W)*(AF370+AG370))</f>
        <v>#N/A</v>
      </c>
      <c r="AR370" s="673">
        <f t="shared" si="159"/>
        <v>0</v>
      </c>
      <c r="AS370" s="673" t="e">
        <f>IF(G370="مدير ولائي",0,LOOKUP(D370,'f-travail'!A:A,'f-travail'!X:X)*(AF370+AG370))</f>
        <v>#N/A</v>
      </c>
      <c r="AT370" s="673" t="e">
        <f>IF(G370="مدير ولائي",0,LOOKUP(D370,'f-travail'!Y:Y,'f-travail'!R:R)*(AF370+AG370))</f>
        <v>#N/A</v>
      </c>
      <c r="AU370" s="673">
        <f t="shared" si="149"/>
        <v>0</v>
      </c>
      <c r="AV370" s="673">
        <f t="shared" si="150"/>
        <v>0</v>
      </c>
      <c r="AW370" s="673">
        <f t="shared" si="151"/>
        <v>0</v>
      </c>
      <c r="AY370" s="640" t="e">
        <f t="shared" si="160"/>
        <v>#N/A</v>
      </c>
      <c r="AZ370" s="673" t="e">
        <f t="shared" si="152"/>
        <v>#N/A</v>
      </c>
      <c r="BA370" s="639" t="e">
        <f t="shared" si="153"/>
        <v>#N/A</v>
      </c>
      <c r="BG370" s="639">
        <f t="shared" si="161"/>
        <v>0</v>
      </c>
      <c r="BH370" s="683">
        <f t="shared" si="162"/>
        <v>0</v>
      </c>
      <c r="BI370" s="683">
        <f t="shared" si="163"/>
        <v>0</v>
      </c>
      <c r="BJ370" s="641" t="e">
        <f t="shared" si="164"/>
        <v>#N/A</v>
      </c>
      <c r="BK370" s="641" t="e">
        <f t="shared" si="165"/>
        <v>#N/A</v>
      </c>
      <c r="BL370" s="641" t="e">
        <f t="shared" si="166"/>
        <v>#N/A</v>
      </c>
      <c r="BM370" s="684" t="e">
        <f t="shared" si="167"/>
        <v>#N/A</v>
      </c>
      <c r="BO370" s="682" t="e">
        <f>CONCATENATE(Z370," ",LOOKUP(D370,'f-travail'!A:A,'f-travail'!F:F))</f>
        <v>#N/A</v>
      </c>
      <c r="BP370" s="669" t="e">
        <f t="shared" si="154"/>
        <v>#N/A</v>
      </c>
    </row>
    <row r="371" spans="1:68">
      <c r="A371" s="636">
        <f t="shared" si="168"/>
        <v>370</v>
      </c>
      <c r="B371" s="637"/>
      <c r="C371" s="637"/>
      <c r="D371" s="652"/>
      <c r="E371" s="679" t="e">
        <f>LOOKUP(D371,'f-travail'!A:A,'f-travail'!B:B)</f>
        <v>#N/A</v>
      </c>
      <c r="F371" s="650"/>
      <c r="G371" s="650"/>
      <c r="H371" s="653"/>
      <c r="I371" s="653"/>
      <c r="J371" s="654"/>
      <c r="K371" s="650"/>
      <c r="L371" s="650"/>
      <c r="M371" s="650">
        <v>0</v>
      </c>
      <c r="N371" s="654"/>
      <c r="O371" s="654"/>
      <c r="P371" s="654"/>
      <c r="Q371" s="654"/>
      <c r="R371" s="676"/>
      <c r="S371" s="654"/>
      <c r="T371" s="675"/>
      <c r="U371" s="675"/>
      <c r="V371" s="670" t="e">
        <f>LOOKUP(D371,'f-travail'!A:A,'f-travail'!E:E)</f>
        <v>#N/A</v>
      </c>
      <c r="W371" s="670" t="e">
        <f>VLOOKUP(V371,جرقمإستدلالي,'f-travail'!$AD$4+1,FALSE)</f>
        <v>#N/A</v>
      </c>
      <c r="X371" s="671" t="e">
        <f t="shared" si="144"/>
        <v>#N/A</v>
      </c>
      <c r="Y371" s="671">
        <f>IF(G371="مدير ولائي",(HLOOKUP(I371,جدروظعليا,'f-travail'!$AT$3+1,FALSE)-3200),0)</f>
        <v>0</v>
      </c>
      <c r="Z371" s="672" t="str">
        <f t="shared" si="155"/>
        <v/>
      </c>
      <c r="AA371" s="671">
        <f t="shared" si="156"/>
        <v>0</v>
      </c>
      <c r="AB371" s="677" t="b">
        <f t="shared" si="145"/>
        <v>0</v>
      </c>
      <c r="AC371" s="678">
        <f t="shared" si="157"/>
        <v>0</v>
      </c>
      <c r="AD371" s="673"/>
      <c r="AE371" s="678">
        <f t="shared" si="146"/>
        <v>0</v>
      </c>
      <c r="AF371" s="678" t="e">
        <f t="shared" si="147"/>
        <v>#N/A</v>
      </c>
      <c r="AG371" s="678" t="e">
        <f t="shared" si="148"/>
        <v>#N/A</v>
      </c>
      <c r="AH371" s="673">
        <f t="shared" si="158"/>
        <v>0</v>
      </c>
      <c r="AI371" s="674" t="e">
        <f>IF(G371="مدير ولائي",(11000*35%),LOOKUP(D371,'f-travail'!A:A,'f-travail'!I:I))</f>
        <v>#N/A</v>
      </c>
      <c r="AJ371" s="673" t="e">
        <f>IF(G371="مدير ولائي",((W371+X371)*45)*80%,IF(V371&lt;8,0,IF(F371="إليزي",(LOOKUP(D371,'f-travail'!A:A,'f-travail'!O:O))*(AF371+AG371),LOOKUP(D371,'f-travail'!A:A,'f-travail'!P:P)*(AF371+AG371))))</f>
        <v>#N/A</v>
      </c>
      <c r="AK371" s="673" t="e">
        <f>IF(G371="مدير ولائي",0,LOOKUP(D371,'f-travail'!A:A,'f-travail'!Q:Q))</f>
        <v>#N/A</v>
      </c>
      <c r="AL371" s="673" t="e">
        <f>IF(G371="مدير ولائي",0,LOOKUP(D371,'f-travail'!A:A,'f-travail'!R:R)*(AF371+AG371))</f>
        <v>#N/A</v>
      </c>
      <c r="AM371" s="673" t="e">
        <f>IF(G371="مدير ولائي",0,LOOKUP(D371,'f-travail'!A:A,'f-travail'!S:S)*(AF371+AG371))</f>
        <v>#N/A</v>
      </c>
      <c r="AN371" s="673" t="e">
        <f>IF(G371="مدير ولائي",0,LOOKUP(D371,'f-travail'!A:A,'f-travail'!T:T)*(AF371+AG371))</f>
        <v>#N/A</v>
      </c>
      <c r="AO371" s="673" t="e">
        <f>IF(G371="مدير ولائي",0,LOOKUP(D371,'f-travail'!A:A,'f-travail'!U:U)*(AF371+AG371))</f>
        <v>#N/A</v>
      </c>
      <c r="AP371" s="673" t="e">
        <f>IF(G371="مدير ولائي",0,LOOKUP(D371,'f-travail'!A:A,'f-travail'!V:V)*(AF371+AG371))</f>
        <v>#N/A</v>
      </c>
      <c r="AQ371" s="673" t="e">
        <f>IF(G371="مدير ولائي",0,LOOKUP(D371,'f-travail'!A:A,'f-travail'!W:W)*(AF371+AG371))</f>
        <v>#N/A</v>
      </c>
      <c r="AR371" s="673">
        <f t="shared" si="159"/>
        <v>0</v>
      </c>
      <c r="AS371" s="673" t="e">
        <f>IF(G371="مدير ولائي",0,LOOKUP(D371,'f-travail'!A:A,'f-travail'!X:X)*(AF371+AG371))</f>
        <v>#N/A</v>
      </c>
      <c r="AT371" s="673" t="e">
        <f>IF(G371="مدير ولائي",0,LOOKUP(D371,'f-travail'!Y:Y,'f-travail'!R:R)*(AF371+AG371))</f>
        <v>#N/A</v>
      </c>
      <c r="AU371" s="673">
        <f t="shared" si="149"/>
        <v>0</v>
      </c>
      <c r="AV371" s="673">
        <f t="shared" si="150"/>
        <v>0</v>
      </c>
      <c r="AW371" s="673">
        <f t="shared" si="151"/>
        <v>0</v>
      </c>
      <c r="AY371" s="640" t="e">
        <f t="shared" si="160"/>
        <v>#N/A</v>
      </c>
      <c r="AZ371" s="673" t="e">
        <f t="shared" si="152"/>
        <v>#N/A</v>
      </c>
      <c r="BA371" s="639" t="e">
        <f t="shared" si="153"/>
        <v>#N/A</v>
      </c>
      <c r="BG371" s="639">
        <f t="shared" si="161"/>
        <v>0</v>
      </c>
      <c r="BH371" s="683">
        <f t="shared" si="162"/>
        <v>0</v>
      </c>
      <c r="BI371" s="683">
        <f t="shared" si="163"/>
        <v>0</v>
      </c>
      <c r="BJ371" s="641" t="e">
        <f t="shared" si="164"/>
        <v>#N/A</v>
      </c>
      <c r="BK371" s="641" t="e">
        <f t="shared" si="165"/>
        <v>#N/A</v>
      </c>
      <c r="BL371" s="641" t="e">
        <f t="shared" si="166"/>
        <v>#N/A</v>
      </c>
      <c r="BM371" s="684" t="e">
        <f t="shared" si="167"/>
        <v>#N/A</v>
      </c>
      <c r="BO371" s="682" t="e">
        <f>CONCATENATE(Z371," ",LOOKUP(D371,'f-travail'!A:A,'f-travail'!F:F))</f>
        <v>#N/A</v>
      </c>
      <c r="BP371" s="669" t="e">
        <f t="shared" si="154"/>
        <v>#N/A</v>
      </c>
    </row>
    <row r="372" spans="1:68">
      <c r="A372" s="636">
        <f t="shared" si="168"/>
        <v>371</v>
      </c>
      <c r="B372" s="637"/>
      <c r="C372" s="637"/>
      <c r="D372" s="652"/>
      <c r="E372" s="679" t="e">
        <f>LOOKUP(D372,'f-travail'!A:A,'f-travail'!B:B)</f>
        <v>#N/A</v>
      </c>
      <c r="F372" s="650"/>
      <c r="G372" s="650"/>
      <c r="H372" s="653"/>
      <c r="I372" s="653"/>
      <c r="J372" s="654"/>
      <c r="K372" s="650"/>
      <c r="L372" s="650"/>
      <c r="M372" s="650">
        <v>0</v>
      </c>
      <c r="N372" s="654"/>
      <c r="O372" s="654"/>
      <c r="P372" s="654"/>
      <c r="Q372" s="654"/>
      <c r="R372" s="676"/>
      <c r="S372" s="654"/>
      <c r="T372" s="675"/>
      <c r="U372" s="675"/>
      <c r="V372" s="670" t="e">
        <f>LOOKUP(D372,'f-travail'!A:A,'f-travail'!E:E)</f>
        <v>#N/A</v>
      </c>
      <c r="W372" s="670" t="e">
        <f>VLOOKUP(V372,جرقمإستدلالي,'f-travail'!$AD$4+1,FALSE)</f>
        <v>#N/A</v>
      </c>
      <c r="X372" s="671" t="e">
        <f t="shared" si="144"/>
        <v>#N/A</v>
      </c>
      <c r="Y372" s="671">
        <f>IF(G372="مدير ولائي",(HLOOKUP(I372,جدروظعليا,'f-travail'!$AT$3+1,FALSE)-3200),0)</f>
        <v>0</v>
      </c>
      <c r="Z372" s="672" t="str">
        <f t="shared" si="155"/>
        <v/>
      </c>
      <c r="AA372" s="671">
        <f t="shared" si="156"/>
        <v>0</v>
      </c>
      <c r="AB372" s="677" t="b">
        <f t="shared" si="145"/>
        <v>0</v>
      </c>
      <c r="AC372" s="678">
        <f t="shared" si="157"/>
        <v>0</v>
      </c>
      <c r="AD372" s="673"/>
      <c r="AE372" s="678">
        <f t="shared" si="146"/>
        <v>0</v>
      </c>
      <c r="AF372" s="678" t="e">
        <f t="shared" si="147"/>
        <v>#N/A</v>
      </c>
      <c r="AG372" s="678" t="e">
        <f t="shared" si="148"/>
        <v>#N/A</v>
      </c>
      <c r="AH372" s="673">
        <f t="shared" si="158"/>
        <v>0</v>
      </c>
      <c r="AI372" s="674" t="e">
        <f>IF(G372="مدير ولائي",(11000*35%),LOOKUP(D372,'f-travail'!A:A,'f-travail'!I:I))</f>
        <v>#N/A</v>
      </c>
      <c r="AJ372" s="673" t="e">
        <f>IF(G372="مدير ولائي",((W372+X372)*45)*80%,IF(V372&lt;8,0,IF(F372="إليزي",(LOOKUP(D372,'f-travail'!A:A,'f-travail'!O:O))*(AF372+AG372),LOOKUP(D372,'f-travail'!A:A,'f-travail'!P:P)*(AF372+AG372))))</f>
        <v>#N/A</v>
      </c>
      <c r="AK372" s="673" t="e">
        <f>IF(G372="مدير ولائي",0,LOOKUP(D372,'f-travail'!A:A,'f-travail'!Q:Q))</f>
        <v>#N/A</v>
      </c>
      <c r="AL372" s="673" t="e">
        <f>IF(G372="مدير ولائي",0,LOOKUP(D372,'f-travail'!A:A,'f-travail'!R:R)*(AF372+AG372))</f>
        <v>#N/A</v>
      </c>
      <c r="AM372" s="673" t="e">
        <f>IF(G372="مدير ولائي",0,LOOKUP(D372,'f-travail'!A:A,'f-travail'!S:S)*(AF372+AG372))</f>
        <v>#N/A</v>
      </c>
      <c r="AN372" s="673" t="e">
        <f>IF(G372="مدير ولائي",0,LOOKUP(D372,'f-travail'!A:A,'f-travail'!T:T)*(AF372+AG372))</f>
        <v>#N/A</v>
      </c>
      <c r="AO372" s="673" t="e">
        <f>IF(G372="مدير ولائي",0,LOOKUP(D372,'f-travail'!A:A,'f-travail'!U:U)*(AF372+AG372))</f>
        <v>#N/A</v>
      </c>
      <c r="AP372" s="673" t="e">
        <f>IF(G372="مدير ولائي",0,LOOKUP(D372,'f-travail'!A:A,'f-travail'!V:V)*(AF372+AG372))</f>
        <v>#N/A</v>
      </c>
      <c r="AQ372" s="673" t="e">
        <f>IF(G372="مدير ولائي",0,LOOKUP(D372,'f-travail'!A:A,'f-travail'!W:W)*(AF372+AG372))</f>
        <v>#N/A</v>
      </c>
      <c r="AR372" s="673">
        <f t="shared" si="159"/>
        <v>0</v>
      </c>
      <c r="AS372" s="673" t="e">
        <f>IF(G372="مدير ولائي",0,LOOKUP(D372,'f-travail'!A:A,'f-travail'!X:X)*(AF372+AG372))</f>
        <v>#N/A</v>
      </c>
      <c r="AT372" s="673" t="e">
        <f>IF(G372="مدير ولائي",0,LOOKUP(D372,'f-travail'!Y:Y,'f-travail'!R:R)*(AF372+AG372))</f>
        <v>#N/A</v>
      </c>
      <c r="AU372" s="673">
        <f t="shared" si="149"/>
        <v>0</v>
      </c>
      <c r="AV372" s="673">
        <f t="shared" si="150"/>
        <v>0</v>
      </c>
      <c r="AW372" s="673">
        <f t="shared" si="151"/>
        <v>0</v>
      </c>
      <c r="AY372" s="640" t="e">
        <f t="shared" si="160"/>
        <v>#N/A</v>
      </c>
      <c r="AZ372" s="673" t="e">
        <f t="shared" si="152"/>
        <v>#N/A</v>
      </c>
      <c r="BA372" s="639" t="e">
        <f t="shared" si="153"/>
        <v>#N/A</v>
      </c>
      <c r="BG372" s="639">
        <f t="shared" si="161"/>
        <v>0</v>
      </c>
      <c r="BH372" s="683">
        <f t="shared" si="162"/>
        <v>0</v>
      </c>
      <c r="BI372" s="683">
        <f t="shared" si="163"/>
        <v>0</v>
      </c>
      <c r="BJ372" s="641" t="e">
        <f t="shared" si="164"/>
        <v>#N/A</v>
      </c>
      <c r="BK372" s="641" t="e">
        <f t="shared" si="165"/>
        <v>#N/A</v>
      </c>
      <c r="BL372" s="641" t="e">
        <f t="shared" si="166"/>
        <v>#N/A</v>
      </c>
      <c r="BM372" s="684" t="e">
        <f t="shared" si="167"/>
        <v>#N/A</v>
      </c>
      <c r="BO372" s="682" t="e">
        <f>CONCATENATE(Z372," ",LOOKUP(D372,'f-travail'!A:A,'f-travail'!F:F))</f>
        <v>#N/A</v>
      </c>
      <c r="BP372" s="669" t="e">
        <f t="shared" si="154"/>
        <v>#N/A</v>
      </c>
    </row>
    <row r="373" spans="1:68">
      <c r="A373" s="636">
        <f t="shared" si="168"/>
        <v>372</v>
      </c>
      <c r="B373" s="637"/>
      <c r="C373" s="637"/>
      <c r="D373" s="652"/>
      <c r="E373" s="679" t="e">
        <f>LOOKUP(D373,'f-travail'!A:A,'f-travail'!B:B)</f>
        <v>#N/A</v>
      </c>
      <c r="F373" s="650"/>
      <c r="G373" s="650"/>
      <c r="H373" s="653"/>
      <c r="I373" s="653"/>
      <c r="J373" s="654"/>
      <c r="K373" s="650"/>
      <c r="L373" s="650"/>
      <c r="M373" s="650">
        <v>0</v>
      </c>
      <c r="N373" s="654"/>
      <c r="O373" s="654"/>
      <c r="P373" s="654"/>
      <c r="Q373" s="654"/>
      <c r="R373" s="676"/>
      <c r="S373" s="654"/>
      <c r="T373" s="675"/>
      <c r="U373" s="675"/>
      <c r="V373" s="670" t="e">
        <f>LOOKUP(D373,'f-travail'!A:A,'f-travail'!E:E)</f>
        <v>#N/A</v>
      </c>
      <c r="W373" s="670" t="e">
        <f>VLOOKUP(V373,جرقمإستدلالي,'f-travail'!$AD$4+1,FALSE)</f>
        <v>#N/A</v>
      </c>
      <c r="X373" s="671" t="e">
        <f t="shared" si="144"/>
        <v>#N/A</v>
      </c>
      <c r="Y373" s="671">
        <f>IF(G373="مدير ولائي",(HLOOKUP(I373,جدروظعليا,'f-travail'!$AT$3+1,FALSE)-3200),0)</f>
        <v>0</v>
      </c>
      <c r="Z373" s="672" t="str">
        <f t="shared" si="155"/>
        <v/>
      </c>
      <c r="AA373" s="671">
        <f t="shared" si="156"/>
        <v>0</v>
      </c>
      <c r="AB373" s="677" t="b">
        <f t="shared" si="145"/>
        <v>0</v>
      </c>
      <c r="AC373" s="678">
        <f t="shared" si="157"/>
        <v>0</v>
      </c>
      <c r="AD373" s="673"/>
      <c r="AE373" s="678">
        <f t="shared" si="146"/>
        <v>0</v>
      </c>
      <c r="AF373" s="678" t="e">
        <f t="shared" si="147"/>
        <v>#N/A</v>
      </c>
      <c r="AG373" s="678" t="e">
        <f t="shared" si="148"/>
        <v>#N/A</v>
      </c>
      <c r="AH373" s="673">
        <f t="shared" si="158"/>
        <v>0</v>
      </c>
      <c r="AI373" s="674" t="e">
        <f>IF(G373="مدير ولائي",(11000*35%),LOOKUP(D373,'f-travail'!A:A,'f-travail'!I:I))</f>
        <v>#N/A</v>
      </c>
      <c r="AJ373" s="673" t="e">
        <f>IF(G373="مدير ولائي",((W373+X373)*45)*80%,IF(V373&lt;8,0,IF(F373="إليزي",(LOOKUP(D373,'f-travail'!A:A,'f-travail'!O:O))*(AF373+AG373),LOOKUP(D373,'f-travail'!A:A,'f-travail'!P:P)*(AF373+AG373))))</f>
        <v>#N/A</v>
      </c>
      <c r="AK373" s="673" t="e">
        <f>IF(G373="مدير ولائي",0,LOOKUP(D373,'f-travail'!A:A,'f-travail'!Q:Q))</f>
        <v>#N/A</v>
      </c>
      <c r="AL373" s="673" t="e">
        <f>IF(G373="مدير ولائي",0,LOOKUP(D373,'f-travail'!A:A,'f-travail'!R:R)*(AF373+AG373))</f>
        <v>#N/A</v>
      </c>
      <c r="AM373" s="673" t="e">
        <f>IF(G373="مدير ولائي",0,LOOKUP(D373,'f-travail'!A:A,'f-travail'!S:S)*(AF373+AG373))</f>
        <v>#N/A</v>
      </c>
      <c r="AN373" s="673" t="e">
        <f>IF(G373="مدير ولائي",0,LOOKUP(D373,'f-travail'!A:A,'f-travail'!T:T)*(AF373+AG373))</f>
        <v>#N/A</v>
      </c>
      <c r="AO373" s="673" t="e">
        <f>IF(G373="مدير ولائي",0,LOOKUP(D373,'f-travail'!A:A,'f-travail'!U:U)*(AF373+AG373))</f>
        <v>#N/A</v>
      </c>
      <c r="AP373" s="673" t="e">
        <f>IF(G373="مدير ولائي",0,LOOKUP(D373,'f-travail'!A:A,'f-travail'!V:V)*(AF373+AG373))</f>
        <v>#N/A</v>
      </c>
      <c r="AQ373" s="673" t="e">
        <f>IF(G373="مدير ولائي",0,LOOKUP(D373,'f-travail'!A:A,'f-travail'!W:W)*(AF373+AG373))</f>
        <v>#N/A</v>
      </c>
      <c r="AR373" s="673">
        <f t="shared" si="159"/>
        <v>0</v>
      </c>
      <c r="AS373" s="673" t="e">
        <f>IF(G373="مدير ولائي",0,LOOKUP(D373,'f-travail'!A:A,'f-travail'!X:X)*(AF373+AG373))</f>
        <v>#N/A</v>
      </c>
      <c r="AT373" s="673" t="e">
        <f>IF(G373="مدير ولائي",0,LOOKUP(D373,'f-travail'!Y:Y,'f-travail'!R:R)*(AF373+AG373))</f>
        <v>#N/A</v>
      </c>
      <c r="AU373" s="673">
        <f t="shared" si="149"/>
        <v>0</v>
      </c>
      <c r="AV373" s="673">
        <f t="shared" si="150"/>
        <v>0</v>
      </c>
      <c r="AW373" s="673">
        <f t="shared" si="151"/>
        <v>0</v>
      </c>
      <c r="AY373" s="640" t="e">
        <f t="shared" si="160"/>
        <v>#N/A</v>
      </c>
      <c r="AZ373" s="673" t="e">
        <f t="shared" si="152"/>
        <v>#N/A</v>
      </c>
      <c r="BA373" s="639" t="e">
        <f t="shared" si="153"/>
        <v>#N/A</v>
      </c>
      <c r="BG373" s="639">
        <f t="shared" si="161"/>
        <v>0</v>
      </c>
      <c r="BH373" s="683">
        <f t="shared" si="162"/>
        <v>0</v>
      </c>
      <c r="BI373" s="683">
        <f t="shared" si="163"/>
        <v>0</v>
      </c>
      <c r="BJ373" s="641" t="e">
        <f t="shared" si="164"/>
        <v>#N/A</v>
      </c>
      <c r="BK373" s="641" t="e">
        <f t="shared" si="165"/>
        <v>#N/A</v>
      </c>
      <c r="BL373" s="641" t="e">
        <f t="shared" si="166"/>
        <v>#N/A</v>
      </c>
      <c r="BM373" s="684" t="e">
        <f t="shared" si="167"/>
        <v>#N/A</v>
      </c>
      <c r="BO373" s="682" t="e">
        <f>CONCATENATE(Z373," ",LOOKUP(D373,'f-travail'!A:A,'f-travail'!F:F))</f>
        <v>#N/A</v>
      </c>
      <c r="BP373" s="669" t="e">
        <f t="shared" si="154"/>
        <v>#N/A</v>
      </c>
    </row>
    <row r="374" spans="1:68">
      <c r="A374" s="636">
        <f t="shared" si="168"/>
        <v>373</v>
      </c>
      <c r="B374" s="637"/>
      <c r="C374" s="637"/>
      <c r="D374" s="652"/>
      <c r="E374" s="679" t="e">
        <f>LOOKUP(D374,'f-travail'!A:A,'f-travail'!B:B)</f>
        <v>#N/A</v>
      </c>
      <c r="F374" s="650"/>
      <c r="G374" s="650"/>
      <c r="H374" s="653"/>
      <c r="I374" s="653"/>
      <c r="J374" s="654"/>
      <c r="K374" s="650"/>
      <c r="L374" s="650"/>
      <c r="M374" s="650">
        <v>0</v>
      </c>
      <c r="N374" s="654"/>
      <c r="O374" s="654"/>
      <c r="P374" s="654"/>
      <c r="Q374" s="654"/>
      <c r="R374" s="676"/>
      <c r="S374" s="654"/>
      <c r="T374" s="675"/>
      <c r="U374" s="675"/>
      <c r="V374" s="670" t="e">
        <f>LOOKUP(D374,'f-travail'!A:A,'f-travail'!E:E)</f>
        <v>#N/A</v>
      </c>
      <c r="W374" s="670" t="e">
        <f>VLOOKUP(V374,جرقمإستدلالي,'f-travail'!$AD$4+1,FALSE)</f>
        <v>#N/A</v>
      </c>
      <c r="X374" s="671" t="e">
        <f t="shared" si="144"/>
        <v>#N/A</v>
      </c>
      <c r="Y374" s="671">
        <f>IF(G374="مدير ولائي",(HLOOKUP(I374,جدروظعليا,'f-travail'!$AT$3+1,FALSE)-3200),0)</f>
        <v>0</v>
      </c>
      <c r="Z374" s="672" t="str">
        <f t="shared" si="155"/>
        <v/>
      </c>
      <c r="AA374" s="671">
        <f t="shared" si="156"/>
        <v>0</v>
      </c>
      <c r="AB374" s="677" t="b">
        <f t="shared" si="145"/>
        <v>0</v>
      </c>
      <c r="AC374" s="678">
        <f t="shared" si="157"/>
        <v>0</v>
      </c>
      <c r="AD374" s="673"/>
      <c r="AE374" s="678">
        <f t="shared" si="146"/>
        <v>0</v>
      </c>
      <c r="AF374" s="678" t="e">
        <f t="shared" si="147"/>
        <v>#N/A</v>
      </c>
      <c r="AG374" s="678" t="e">
        <f t="shared" si="148"/>
        <v>#N/A</v>
      </c>
      <c r="AH374" s="673">
        <f t="shared" si="158"/>
        <v>0</v>
      </c>
      <c r="AI374" s="674" t="e">
        <f>IF(G374="مدير ولائي",(11000*35%),LOOKUP(D374,'f-travail'!A:A,'f-travail'!I:I))</f>
        <v>#N/A</v>
      </c>
      <c r="AJ374" s="673" t="e">
        <f>IF(G374="مدير ولائي",((W374+X374)*45)*80%,IF(V374&lt;8,0,IF(F374="إليزي",(LOOKUP(D374,'f-travail'!A:A,'f-travail'!O:O))*(AF374+AG374),LOOKUP(D374,'f-travail'!A:A,'f-travail'!P:P)*(AF374+AG374))))</f>
        <v>#N/A</v>
      </c>
      <c r="AK374" s="673" t="e">
        <f>IF(G374="مدير ولائي",0,LOOKUP(D374,'f-travail'!A:A,'f-travail'!Q:Q))</f>
        <v>#N/A</v>
      </c>
      <c r="AL374" s="673" t="e">
        <f>IF(G374="مدير ولائي",0,LOOKUP(D374,'f-travail'!A:A,'f-travail'!R:R)*(AF374+AG374))</f>
        <v>#N/A</v>
      </c>
      <c r="AM374" s="673" t="e">
        <f>IF(G374="مدير ولائي",0,LOOKUP(D374,'f-travail'!A:A,'f-travail'!S:S)*(AF374+AG374))</f>
        <v>#N/A</v>
      </c>
      <c r="AN374" s="673" t="e">
        <f>IF(G374="مدير ولائي",0,LOOKUP(D374,'f-travail'!A:A,'f-travail'!T:T)*(AF374+AG374))</f>
        <v>#N/A</v>
      </c>
      <c r="AO374" s="673" t="e">
        <f>IF(G374="مدير ولائي",0,LOOKUP(D374,'f-travail'!A:A,'f-travail'!U:U)*(AF374+AG374))</f>
        <v>#N/A</v>
      </c>
      <c r="AP374" s="673" t="e">
        <f>IF(G374="مدير ولائي",0,LOOKUP(D374,'f-travail'!A:A,'f-travail'!V:V)*(AF374+AG374))</f>
        <v>#N/A</v>
      </c>
      <c r="AQ374" s="673" t="e">
        <f>IF(G374="مدير ولائي",0,LOOKUP(D374,'f-travail'!A:A,'f-travail'!W:W)*(AF374+AG374))</f>
        <v>#N/A</v>
      </c>
      <c r="AR374" s="673">
        <f t="shared" si="159"/>
        <v>0</v>
      </c>
      <c r="AS374" s="673" t="e">
        <f>IF(G374="مدير ولائي",0,LOOKUP(D374,'f-travail'!A:A,'f-travail'!X:X)*(AF374+AG374))</f>
        <v>#N/A</v>
      </c>
      <c r="AT374" s="673" t="e">
        <f>IF(G374="مدير ولائي",0,LOOKUP(D374,'f-travail'!Y:Y,'f-travail'!R:R)*(AF374+AG374))</f>
        <v>#N/A</v>
      </c>
      <c r="AU374" s="673">
        <f t="shared" si="149"/>
        <v>0</v>
      </c>
      <c r="AV374" s="673">
        <f t="shared" si="150"/>
        <v>0</v>
      </c>
      <c r="AW374" s="673">
        <f t="shared" si="151"/>
        <v>0</v>
      </c>
      <c r="AY374" s="640" t="e">
        <f t="shared" si="160"/>
        <v>#N/A</v>
      </c>
      <c r="AZ374" s="673" t="e">
        <f t="shared" si="152"/>
        <v>#N/A</v>
      </c>
      <c r="BA374" s="639" t="e">
        <f t="shared" si="153"/>
        <v>#N/A</v>
      </c>
      <c r="BG374" s="639">
        <f t="shared" si="161"/>
        <v>0</v>
      </c>
      <c r="BH374" s="683">
        <f t="shared" si="162"/>
        <v>0</v>
      </c>
      <c r="BI374" s="683">
        <f t="shared" si="163"/>
        <v>0</v>
      </c>
      <c r="BJ374" s="641" t="e">
        <f t="shared" si="164"/>
        <v>#N/A</v>
      </c>
      <c r="BK374" s="641" t="e">
        <f t="shared" si="165"/>
        <v>#N/A</v>
      </c>
      <c r="BL374" s="641" t="e">
        <f t="shared" si="166"/>
        <v>#N/A</v>
      </c>
      <c r="BM374" s="684" t="e">
        <f t="shared" si="167"/>
        <v>#N/A</v>
      </c>
      <c r="BO374" s="682" t="e">
        <f>CONCATENATE(Z374," ",LOOKUP(D374,'f-travail'!A:A,'f-travail'!F:F))</f>
        <v>#N/A</v>
      </c>
      <c r="BP374" s="669" t="e">
        <f t="shared" si="154"/>
        <v>#N/A</v>
      </c>
    </row>
    <row r="375" spans="1:68">
      <c r="A375" s="636">
        <f t="shared" si="168"/>
        <v>374</v>
      </c>
      <c r="B375" s="637"/>
      <c r="C375" s="637"/>
      <c r="D375" s="652"/>
      <c r="E375" s="679" t="e">
        <f>LOOKUP(D375,'f-travail'!A:A,'f-travail'!B:B)</f>
        <v>#N/A</v>
      </c>
      <c r="F375" s="650"/>
      <c r="G375" s="650"/>
      <c r="H375" s="653"/>
      <c r="I375" s="653"/>
      <c r="J375" s="654"/>
      <c r="K375" s="650"/>
      <c r="L375" s="650"/>
      <c r="M375" s="650">
        <v>0</v>
      </c>
      <c r="N375" s="654"/>
      <c r="O375" s="654"/>
      <c r="P375" s="654"/>
      <c r="Q375" s="654"/>
      <c r="R375" s="676"/>
      <c r="S375" s="654"/>
      <c r="T375" s="675"/>
      <c r="U375" s="675"/>
      <c r="V375" s="670" t="e">
        <f>LOOKUP(D375,'f-travail'!A:A,'f-travail'!E:E)</f>
        <v>#N/A</v>
      </c>
      <c r="W375" s="670" t="e">
        <f>VLOOKUP(V375,جرقمإستدلالي,'f-travail'!$AD$4+1,FALSE)</f>
        <v>#N/A</v>
      </c>
      <c r="X375" s="671" t="e">
        <f t="shared" si="144"/>
        <v>#N/A</v>
      </c>
      <c r="Y375" s="671">
        <f>IF(G375="مدير ولائي",(HLOOKUP(I375,جدروظعليا,'f-travail'!$AT$3+1,FALSE)-3200),0)</f>
        <v>0</v>
      </c>
      <c r="Z375" s="672" t="str">
        <f t="shared" si="155"/>
        <v/>
      </c>
      <c r="AA375" s="671">
        <f t="shared" si="156"/>
        <v>0</v>
      </c>
      <c r="AB375" s="677" t="b">
        <f t="shared" si="145"/>
        <v>0</v>
      </c>
      <c r="AC375" s="678">
        <f t="shared" si="157"/>
        <v>0</v>
      </c>
      <c r="AD375" s="673"/>
      <c r="AE375" s="678">
        <f t="shared" si="146"/>
        <v>0</v>
      </c>
      <c r="AF375" s="678" t="e">
        <f t="shared" si="147"/>
        <v>#N/A</v>
      </c>
      <c r="AG375" s="678" t="e">
        <f t="shared" si="148"/>
        <v>#N/A</v>
      </c>
      <c r="AH375" s="673">
        <f t="shared" si="158"/>
        <v>0</v>
      </c>
      <c r="AI375" s="674" t="e">
        <f>IF(G375="مدير ولائي",(11000*35%),LOOKUP(D375,'f-travail'!A:A,'f-travail'!I:I))</f>
        <v>#N/A</v>
      </c>
      <c r="AJ375" s="673" t="e">
        <f>IF(G375="مدير ولائي",((W375+X375)*45)*80%,IF(V375&lt;8,0,IF(F375="إليزي",(LOOKUP(D375,'f-travail'!A:A,'f-travail'!O:O))*(AF375+AG375),LOOKUP(D375,'f-travail'!A:A,'f-travail'!P:P)*(AF375+AG375))))</f>
        <v>#N/A</v>
      </c>
      <c r="AK375" s="673" t="e">
        <f>IF(G375="مدير ولائي",0,LOOKUP(D375,'f-travail'!A:A,'f-travail'!Q:Q))</f>
        <v>#N/A</v>
      </c>
      <c r="AL375" s="673" t="e">
        <f>IF(G375="مدير ولائي",0,LOOKUP(D375,'f-travail'!A:A,'f-travail'!R:R)*(AF375+AG375))</f>
        <v>#N/A</v>
      </c>
      <c r="AM375" s="673" t="e">
        <f>IF(G375="مدير ولائي",0,LOOKUP(D375,'f-travail'!A:A,'f-travail'!S:S)*(AF375+AG375))</f>
        <v>#N/A</v>
      </c>
      <c r="AN375" s="673" t="e">
        <f>IF(G375="مدير ولائي",0,LOOKUP(D375,'f-travail'!A:A,'f-travail'!T:T)*(AF375+AG375))</f>
        <v>#N/A</v>
      </c>
      <c r="AO375" s="673" t="e">
        <f>IF(G375="مدير ولائي",0,LOOKUP(D375,'f-travail'!A:A,'f-travail'!U:U)*(AF375+AG375))</f>
        <v>#N/A</v>
      </c>
      <c r="AP375" s="673" t="e">
        <f>IF(G375="مدير ولائي",0,LOOKUP(D375,'f-travail'!A:A,'f-travail'!V:V)*(AF375+AG375))</f>
        <v>#N/A</v>
      </c>
      <c r="AQ375" s="673" t="e">
        <f>IF(G375="مدير ولائي",0,LOOKUP(D375,'f-travail'!A:A,'f-travail'!W:W)*(AF375+AG375))</f>
        <v>#N/A</v>
      </c>
      <c r="AR375" s="673">
        <f t="shared" si="159"/>
        <v>0</v>
      </c>
      <c r="AS375" s="673" t="e">
        <f>IF(G375="مدير ولائي",0,LOOKUP(D375,'f-travail'!A:A,'f-travail'!X:X)*(AF375+AG375))</f>
        <v>#N/A</v>
      </c>
      <c r="AT375" s="673" t="e">
        <f>IF(G375="مدير ولائي",0,LOOKUP(D375,'f-travail'!Y:Y,'f-travail'!R:R)*(AF375+AG375))</f>
        <v>#N/A</v>
      </c>
      <c r="AU375" s="673">
        <f t="shared" si="149"/>
        <v>0</v>
      </c>
      <c r="AV375" s="673">
        <f t="shared" si="150"/>
        <v>0</v>
      </c>
      <c r="AW375" s="673">
        <f t="shared" si="151"/>
        <v>0</v>
      </c>
      <c r="AY375" s="640" t="e">
        <f t="shared" si="160"/>
        <v>#N/A</v>
      </c>
      <c r="AZ375" s="673" t="e">
        <f t="shared" si="152"/>
        <v>#N/A</v>
      </c>
      <c r="BA375" s="639" t="e">
        <f t="shared" si="153"/>
        <v>#N/A</v>
      </c>
      <c r="BG375" s="639">
        <f t="shared" si="161"/>
        <v>0</v>
      </c>
      <c r="BH375" s="683">
        <f t="shared" si="162"/>
        <v>0</v>
      </c>
      <c r="BI375" s="683">
        <f t="shared" si="163"/>
        <v>0</v>
      </c>
      <c r="BJ375" s="641" t="e">
        <f t="shared" si="164"/>
        <v>#N/A</v>
      </c>
      <c r="BK375" s="641" t="e">
        <f t="shared" si="165"/>
        <v>#N/A</v>
      </c>
      <c r="BL375" s="641" t="e">
        <f t="shared" si="166"/>
        <v>#N/A</v>
      </c>
      <c r="BM375" s="684" t="e">
        <f t="shared" si="167"/>
        <v>#N/A</v>
      </c>
      <c r="BO375" s="682" t="e">
        <f>CONCATENATE(Z375," ",LOOKUP(D375,'f-travail'!A:A,'f-travail'!F:F))</f>
        <v>#N/A</v>
      </c>
      <c r="BP375" s="669" t="e">
        <f t="shared" si="154"/>
        <v>#N/A</v>
      </c>
    </row>
    <row r="376" spans="1:68">
      <c r="A376" s="636">
        <f t="shared" si="168"/>
        <v>375</v>
      </c>
      <c r="B376" s="637"/>
      <c r="C376" s="637"/>
      <c r="D376" s="652"/>
      <c r="E376" s="679" t="e">
        <f>LOOKUP(D376,'f-travail'!A:A,'f-travail'!B:B)</f>
        <v>#N/A</v>
      </c>
      <c r="F376" s="650"/>
      <c r="G376" s="650"/>
      <c r="H376" s="653"/>
      <c r="I376" s="653"/>
      <c r="J376" s="654"/>
      <c r="K376" s="650"/>
      <c r="L376" s="650"/>
      <c r="M376" s="650">
        <v>0</v>
      </c>
      <c r="N376" s="654"/>
      <c r="O376" s="654"/>
      <c r="P376" s="654"/>
      <c r="Q376" s="654"/>
      <c r="R376" s="676"/>
      <c r="S376" s="654"/>
      <c r="T376" s="675"/>
      <c r="U376" s="675"/>
      <c r="V376" s="670" t="e">
        <f>LOOKUP(D376,'f-travail'!A:A,'f-travail'!E:E)</f>
        <v>#N/A</v>
      </c>
      <c r="W376" s="670" t="e">
        <f>VLOOKUP(V376,جرقمإستدلالي,'f-travail'!$AD$4+1,FALSE)</f>
        <v>#N/A</v>
      </c>
      <c r="X376" s="671" t="e">
        <f t="shared" si="144"/>
        <v>#N/A</v>
      </c>
      <c r="Y376" s="671">
        <f>IF(G376="مدير ولائي",(HLOOKUP(I376,جدروظعليا,'f-travail'!$AT$3+1,FALSE)-3200),0)</f>
        <v>0</v>
      </c>
      <c r="Z376" s="672" t="str">
        <f t="shared" si="155"/>
        <v/>
      </c>
      <c r="AA376" s="671">
        <f t="shared" si="156"/>
        <v>0</v>
      </c>
      <c r="AB376" s="677" t="b">
        <f t="shared" si="145"/>
        <v>0</v>
      </c>
      <c r="AC376" s="678">
        <f t="shared" si="157"/>
        <v>0</v>
      </c>
      <c r="AD376" s="673"/>
      <c r="AE376" s="678">
        <f t="shared" si="146"/>
        <v>0</v>
      </c>
      <c r="AF376" s="678" t="e">
        <f t="shared" si="147"/>
        <v>#N/A</v>
      </c>
      <c r="AG376" s="678" t="e">
        <f t="shared" si="148"/>
        <v>#N/A</v>
      </c>
      <c r="AH376" s="673">
        <f t="shared" si="158"/>
        <v>0</v>
      </c>
      <c r="AI376" s="674" t="e">
        <f>IF(G376="مدير ولائي",(11000*35%),LOOKUP(D376,'f-travail'!A:A,'f-travail'!I:I))</f>
        <v>#N/A</v>
      </c>
      <c r="AJ376" s="673" t="e">
        <f>IF(G376="مدير ولائي",((W376+X376)*45)*80%,IF(V376&lt;8,0,IF(F376="إليزي",(LOOKUP(D376,'f-travail'!A:A,'f-travail'!O:O))*(AF376+AG376),LOOKUP(D376,'f-travail'!A:A,'f-travail'!P:P)*(AF376+AG376))))</f>
        <v>#N/A</v>
      </c>
      <c r="AK376" s="673" t="e">
        <f>IF(G376="مدير ولائي",0,LOOKUP(D376,'f-travail'!A:A,'f-travail'!Q:Q))</f>
        <v>#N/A</v>
      </c>
      <c r="AL376" s="673" t="e">
        <f>IF(G376="مدير ولائي",0,LOOKUP(D376,'f-travail'!A:A,'f-travail'!R:R)*(AF376+AG376))</f>
        <v>#N/A</v>
      </c>
      <c r="AM376" s="673" t="e">
        <f>IF(G376="مدير ولائي",0,LOOKUP(D376,'f-travail'!A:A,'f-travail'!S:S)*(AF376+AG376))</f>
        <v>#N/A</v>
      </c>
      <c r="AN376" s="673" t="e">
        <f>IF(G376="مدير ولائي",0,LOOKUP(D376,'f-travail'!A:A,'f-travail'!T:T)*(AF376+AG376))</f>
        <v>#N/A</v>
      </c>
      <c r="AO376" s="673" t="e">
        <f>IF(G376="مدير ولائي",0,LOOKUP(D376,'f-travail'!A:A,'f-travail'!U:U)*(AF376+AG376))</f>
        <v>#N/A</v>
      </c>
      <c r="AP376" s="673" t="e">
        <f>IF(G376="مدير ولائي",0,LOOKUP(D376,'f-travail'!A:A,'f-travail'!V:V)*(AF376+AG376))</f>
        <v>#N/A</v>
      </c>
      <c r="AQ376" s="673" t="e">
        <f>IF(G376="مدير ولائي",0,LOOKUP(D376,'f-travail'!A:A,'f-travail'!W:W)*(AF376+AG376))</f>
        <v>#N/A</v>
      </c>
      <c r="AR376" s="673">
        <f t="shared" si="159"/>
        <v>0</v>
      </c>
      <c r="AS376" s="673" t="e">
        <f>IF(G376="مدير ولائي",0,LOOKUP(D376,'f-travail'!A:A,'f-travail'!X:X)*(AF376+AG376))</f>
        <v>#N/A</v>
      </c>
      <c r="AT376" s="673" t="e">
        <f>IF(G376="مدير ولائي",0,LOOKUP(D376,'f-travail'!Y:Y,'f-travail'!R:R)*(AF376+AG376))</f>
        <v>#N/A</v>
      </c>
      <c r="AU376" s="673">
        <f t="shared" si="149"/>
        <v>0</v>
      </c>
      <c r="AV376" s="673">
        <f t="shared" si="150"/>
        <v>0</v>
      </c>
      <c r="AW376" s="673">
        <f t="shared" si="151"/>
        <v>0</v>
      </c>
      <c r="AY376" s="640" t="e">
        <f t="shared" si="160"/>
        <v>#N/A</v>
      </c>
      <c r="AZ376" s="673" t="e">
        <f t="shared" si="152"/>
        <v>#N/A</v>
      </c>
      <c r="BA376" s="639" t="e">
        <f t="shared" si="153"/>
        <v>#N/A</v>
      </c>
      <c r="BG376" s="639">
        <f t="shared" si="161"/>
        <v>0</v>
      </c>
      <c r="BH376" s="683">
        <f t="shared" si="162"/>
        <v>0</v>
      </c>
      <c r="BI376" s="683">
        <f t="shared" si="163"/>
        <v>0</v>
      </c>
      <c r="BJ376" s="641" t="e">
        <f t="shared" si="164"/>
        <v>#N/A</v>
      </c>
      <c r="BK376" s="641" t="e">
        <f t="shared" si="165"/>
        <v>#N/A</v>
      </c>
      <c r="BL376" s="641" t="e">
        <f t="shared" si="166"/>
        <v>#N/A</v>
      </c>
      <c r="BM376" s="684" t="e">
        <f t="shared" si="167"/>
        <v>#N/A</v>
      </c>
      <c r="BO376" s="682" t="e">
        <f>CONCATENATE(Z376," ",LOOKUP(D376,'f-travail'!A:A,'f-travail'!F:F))</f>
        <v>#N/A</v>
      </c>
      <c r="BP376" s="669" t="e">
        <f t="shared" si="154"/>
        <v>#N/A</v>
      </c>
    </row>
    <row r="377" spans="1:68">
      <c r="A377" s="636">
        <f t="shared" si="168"/>
        <v>376</v>
      </c>
      <c r="B377" s="637"/>
      <c r="C377" s="637"/>
      <c r="D377" s="652"/>
      <c r="E377" s="679" t="e">
        <f>LOOKUP(D377,'f-travail'!A:A,'f-travail'!B:B)</f>
        <v>#N/A</v>
      </c>
      <c r="F377" s="650"/>
      <c r="G377" s="650"/>
      <c r="H377" s="653"/>
      <c r="I377" s="653"/>
      <c r="J377" s="654"/>
      <c r="K377" s="650"/>
      <c r="L377" s="650"/>
      <c r="M377" s="650">
        <v>0</v>
      </c>
      <c r="N377" s="654"/>
      <c r="O377" s="654"/>
      <c r="P377" s="654"/>
      <c r="Q377" s="654"/>
      <c r="R377" s="676"/>
      <c r="S377" s="654"/>
      <c r="T377" s="675"/>
      <c r="U377" s="675"/>
      <c r="V377" s="670" t="e">
        <f>LOOKUP(D377,'f-travail'!A:A,'f-travail'!E:E)</f>
        <v>#N/A</v>
      </c>
      <c r="W377" s="670" t="e">
        <f>VLOOKUP(V377,جرقمإستدلالي,'f-travail'!$AD$4+1,FALSE)</f>
        <v>#N/A</v>
      </c>
      <c r="X377" s="671" t="e">
        <f t="shared" si="144"/>
        <v>#N/A</v>
      </c>
      <c r="Y377" s="671">
        <f>IF(G377="مدير ولائي",(HLOOKUP(I377,جدروظعليا,'f-travail'!$AT$3+1,FALSE)-3200),0)</f>
        <v>0</v>
      </c>
      <c r="Z377" s="672" t="str">
        <f t="shared" si="155"/>
        <v/>
      </c>
      <c r="AA377" s="671">
        <f t="shared" si="156"/>
        <v>0</v>
      </c>
      <c r="AB377" s="677" t="b">
        <f t="shared" si="145"/>
        <v>0</v>
      </c>
      <c r="AC377" s="678">
        <f t="shared" si="157"/>
        <v>0</v>
      </c>
      <c r="AD377" s="673"/>
      <c r="AE377" s="678">
        <f t="shared" si="146"/>
        <v>0</v>
      </c>
      <c r="AF377" s="678" t="e">
        <f t="shared" si="147"/>
        <v>#N/A</v>
      </c>
      <c r="AG377" s="678" t="e">
        <f t="shared" si="148"/>
        <v>#N/A</v>
      </c>
      <c r="AH377" s="673">
        <f t="shared" si="158"/>
        <v>0</v>
      </c>
      <c r="AI377" s="674" t="e">
        <f>IF(G377="مدير ولائي",(11000*35%),LOOKUP(D377,'f-travail'!A:A,'f-travail'!I:I))</f>
        <v>#N/A</v>
      </c>
      <c r="AJ377" s="673" t="e">
        <f>IF(G377="مدير ولائي",((W377+X377)*45)*80%,IF(V377&lt;8,0,IF(F377="إليزي",(LOOKUP(D377,'f-travail'!A:A,'f-travail'!O:O))*(AF377+AG377),LOOKUP(D377,'f-travail'!A:A,'f-travail'!P:P)*(AF377+AG377))))</f>
        <v>#N/A</v>
      </c>
      <c r="AK377" s="673" t="e">
        <f>IF(G377="مدير ولائي",0,LOOKUP(D377,'f-travail'!A:A,'f-travail'!Q:Q))</f>
        <v>#N/A</v>
      </c>
      <c r="AL377" s="673" t="e">
        <f>IF(G377="مدير ولائي",0,LOOKUP(D377,'f-travail'!A:A,'f-travail'!R:R)*(AF377+AG377))</f>
        <v>#N/A</v>
      </c>
      <c r="AM377" s="673" t="e">
        <f>IF(G377="مدير ولائي",0,LOOKUP(D377,'f-travail'!A:A,'f-travail'!S:S)*(AF377+AG377))</f>
        <v>#N/A</v>
      </c>
      <c r="AN377" s="673" t="e">
        <f>IF(G377="مدير ولائي",0,LOOKUP(D377,'f-travail'!A:A,'f-travail'!T:T)*(AF377+AG377))</f>
        <v>#N/A</v>
      </c>
      <c r="AO377" s="673" t="e">
        <f>IF(G377="مدير ولائي",0,LOOKUP(D377,'f-travail'!A:A,'f-travail'!U:U)*(AF377+AG377))</f>
        <v>#N/A</v>
      </c>
      <c r="AP377" s="673" t="e">
        <f>IF(G377="مدير ولائي",0,LOOKUP(D377,'f-travail'!A:A,'f-travail'!V:V)*(AF377+AG377))</f>
        <v>#N/A</v>
      </c>
      <c r="AQ377" s="673" t="e">
        <f>IF(G377="مدير ولائي",0,LOOKUP(D377,'f-travail'!A:A,'f-travail'!W:W)*(AF377+AG377))</f>
        <v>#N/A</v>
      </c>
      <c r="AR377" s="673">
        <f t="shared" si="159"/>
        <v>0</v>
      </c>
      <c r="AS377" s="673" t="e">
        <f>IF(G377="مدير ولائي",0,LOOKUP(D377,'f-travail'!A:A,'f-travail'!X:X)*(AF377+AG377))</f>
        <v>#N/A</v>
      </c>
      <c r="AT377" s="673" t="e">
        <f>IF(G377="مدير ولائي",0,LOOKUP(D377,'f-travail'!Y:Y,'f-travail'!R:R)*(AF377+AG377))</f>
        <v>#N/A</v>
      </c>
      <c r="AU377" s="673">
        <f t="shared" si="149"/>
        <v>0</v>
      </c>
      <c r="AV377" s="673">
        <f t="shared" si="150"/>
        <v>0</v>
      </c>
      <c r="AW377" s="673">
        <f t="shared" si="151"/>
        <v>0</v>
      </c>
      <c r="AY377" s="640" t="e">
        <f t="shared" si="160"/>
        <v>#N/A</v>
      </c>
      <c r="AZ377" s="673" t="e">
        <f t="shared" si="152"/>
        <v>#N/A</v>
      </c>
      <c r="BA377" s="639" t="e">
        <f t="shared" si="153"/>
        <v>#N/A</v>
      </c>
      <c r="BG377" s="639">
        <f t="shared" si="161"/>
        <v>0</v>
      </c>
      <c r="BH377" s="683">
        <f t="shared" si="162"/>
        <v>0</v>
      </c>
      <c r="BI377" s="683">
        <f t="shared" si="163"/>
        <v>0</v>
      </c>
      <c r="BJ377" s="641" t="e">
        <f t="shared" si="164"/>
        <v>#N/A</v>
      </c>
      <c r="BK377" s="641" t="e">
        <f t="shared" si="165"/>
        <v>#N/A</v>
      </c>
      <c r="BL377" s="641" t="e">
        <f t="shared" si="166"/>
        <v>#N/A</v>
      </c>
      <c r="BM377" s="684" t="e">
        <f t="shared" si="167"/>
        <v>#N/A</v>
      </c>
      <c r="BO377" s="682" t="e">
        <f>CONCATENATE(Z377," ",LOOKUP(D377,'f-travail'!A:A,'f-travail'!F:F))</f>
        <v>#N/A</v>
      </c>
      <c r="BP377" s="669" t="e">
        <f t="shared" si="154"/>
        <v>#N/A</v>
      </c>
    </row>
    <row r="378" spans="1:68">
      <c r="A378" s="636">
        <f t="shared" si="168"/>
        <v>377</v>
      </c>
      <c r="B378" s="637"/>
      <c r="C378" s="637"/>
      <c r="D378" s="652"/>
      <c r="E378" s="679" t="e">
        <f>LOOKUP(D378,'f-travail'!A:A,'f-travail'!B:B)</f>
        <v>#N/A</v>
      </c>
      <c r="F378" s="650"/>
      <c r="G378" s="650"/>
      <c r="H378" s="653"/>
      <c r="I378" s="653"/>
      <c r="J378" s="654"/>
      <c r="K378" s="650"/>
      <c r="L378" s="650"/>
      <c r="M378" s="650">
        <v>0</v>
      </c>
      <c r="N378" s="654"/>
      <c r="O378" s="654"/>
      <c r="P378" s="654"/>
      <c r="Q378" s="654"/>
      <c r="R378" s="676"/>
      <c r="S378" s="654"/>
      <c r="T378" s="675"/>
      <c r="U378" s="675"/>
      <c r="V378" s="670" t="e">
        <f>LOOKUP(D378,'f-travail'!A:A,'f-travail'!E:E)</f>
        <v>#N/A</v>
      </c>
      <c r="W378" s="670" t="e">
        <f>VLOOKUP(V378,جرقمإستدلالي,'f-travail'!$AD$4+1,FALSE)</f>
        <v>#N/A</v>
      </c>
      <c r="X378" s="671" t="e">
        <f t="shared" si="144"/>
        <v>#N/A</v>
      </c>
      <c r="Y378" s="671">
        <f>IF(G378="مدير ولائي",(HLOOKUP(I378,جدروظعليا,'f-travail'!$AT$3+1,FALSE)-3200),0)</f>
        <v>0</v>
      </c>
      <c r="Z378" s="672" t="str">
        <f t="shared" si="155"/>
        <v/>
      </c>
      <c r="AA378" s="671">
        <f t="shared" si="156"/>
        <v>0</v>
      </c>
      <c r="AB378" s="677" t="b">
        <f t="shared" si="145"/>
        <v>0</v>
      </c>
      <c r="AC378" s="678">
        <f t="shared" si="157"/>
        <v>0</v>
      </c>
      <c r="AD378" s="673"/>
      <c r="AE378" s="678">
        <f t="shared" si="146"/>
        <v>0</v>
      </c>
      <c r="AF378" s="678" t="e">
        <f t="shared" si="147"/>
        <v>#N/A</v>
      </c>
      <c r="AG378" s="678" t="e">
        <f t="shared" si="148"/>
        <v>#N/A</v>
      </c>
      <c r="AH378" s="673">
        <f t="shared" si="158"/>
        <v>0</v>
      </c>
      <c r="AI378" s="674" t="e">
        <f>IF(G378="مدير ولائي",(11000*35%),LOOKUP(D378,'f-travail'!A:A,'f-travail'!I:I))</f>
        <v>#N/A</v>
      </c>
      <c r="AJ378" s="673" t="e">
        <f>IF(G378="مدير ولائي",((W378+X378)*45)*80%,IF(V378&lt;8,0,IF(F378="إليزي",(LOOKUP(D378,'f-travail'!A:A,'f-travail'!O:O))*(AF378+AG378),LOOKUP(D378,'f-travail'!A:A,'f-travail'!P:P)*(AF378+AG378))))</f>
        <v>#N/A</v>
      </c>
      <c r="AK378" s="673" t="e">
        <f>IF(G378="مدير ولائي",0,LOOKUP(D378,'f-travail'!A:A,'f-travail'!Q:Q))</f>
        <v>#N/A</v>
      </c>
      <c r="AL378" s="673" t="e">
        <f>IF(G378="مدير ولائي",0,LOOKUP(D378,'f-travail'!A:A,'f-travail'!R:R)*(AF378+AG378))</f>
        <v>#N/A</v>
      </c>
      <c r="AM378" s="673" t="e">
        <f>IF(G378="مدير ولائي",0,LOOKUP(D378,'f-travail'!A:A,'f-travail'!S:S)*(AF378+AG378))</f>
        <v>#N/A</v>
      </c>
      <c r="AN378" s="673" t="e">
        <f>IF(G378="مدير ولائي",0,LOOKUP(D378,'f-travail'!A:A,'f-travail'!T:T)*(AF378+AG378))</f>
        <v>#N/A</v>
      </c>
      <c r="AO378" s="673" t="e">
        <f>IF(G378="مدير ولائي",0,LOOKUP(D378,'f-travail'!A:A,'f-travail'!U:U)*(AF378+AG378))</f>
        <v>#N/A</v>
      </c>
      <c r="AP378" s="673" t="e">
        <f>IF(G378="مدير ولائي",0,LOOKUP(D378,'f-travail'!A:A,'f-travail'!V:V)*(AF378+AG378))</f>
        <v>#N/A</v>
      </c>
      <c r="AQ378" s="673" t="e">
        <f>IF(G378="مدير ولائي",0,LOOKUP(D378,'f-travail'!A:A,'f-travail'!W:W)*(AF378+AG378))</f>
        <v>#N/A</v>
      </c>
      <c r="AR378" s="673">
        <f t="shared" si="159"/>
        <v>0</v>
      </c>
      <c r="AS378" s="673" t="e">
        <f>IF(G378="مدير ولائي",0,LOOKUP(D378,'f-travail'!A:A,'f-travail'!X:X)*(AF378+AG378))</f>
        <v>#N/A</v>
      </c>
      <c r="AT378" s="673" t="e">
        <f>IF(G378="مدير ولائي",0,LOOKUP(D378,'f-travail'!Y:Y,'f-travail'!R:R)*(AF378+AG378))</f>
        <v>#N/A</v>
      </c>
      <c r="AU378" s="673">
        <f t="shared" si="149"/>
        <v>0</v>
      </c>
      <c r="AV378" s="673">
        <f t="shared" si="150"/>
        <v>0</v>
      </c>
      <c r="AW378" s="673">
        <f t="shared" si="151"/>
        <v>0</v>
      </c>
      <c r="AY378" s="640" t="e">
        <f t="shared" si="160"/>
        <v>#N/A</v>
      </c>
      <c r="AZ378" s="673" t="e">
        <f t="shared" si="152"/>
        <v>#N/A</v>
      </c>
      <c r="BA378" s="639" t="e">
        <f t="shared" si="153"/>
        <v>#N/A</v>
      </c>
      <c r="BG378" s="639">
        <f t="shared" si="161"/>
        <v>0</v>
      </c>
      <c r="BH378" s="683">
        <f t="shared" si="162"/>
        <v>0</v>
      </c>
      <c r="BI378" s="683">
        <f t="shared" si="163"/>
        <v>0</v>
      </c>
      <c r="BJ378" s="641" t="e">
        <f t="shared" si="164"/>
        <v>#N/A</v>
      </c>
      <c r="BK378" s="641" t="e">
        <f t="shared" si="165"/>
        <v>#N/A</v>
      </c>
      <c r="BL378" s="641" t="e">
        <f t="shared" si="166"/>
        <v>#N/A</v>
      </c>
      <c r="BM378" s="684" t="e">
        <f t="shared" si="167"/>
        <v>#N/A</v>
      </c>
      <c r="BO378" s="682" t="e">
        <f>CONCATENATE(Z378," ",LOOKUP(D378,'f-travail'!A:A,'f-travail'!F:F))</f>
        <v>#N/A</v>
      </c>
      <c r="BP378" s="669" t="e">
        <f t="shared" si="154"/>
        <v>#N/A</v>
      </c>
    </row>
    <row r="379" spans="1:68">
      <c r="A379" s="636">
        <f t="shared" si="168"/>
        <v>378</v>
      </c>
      <c r="B379" s="637"/>
      <c r="C379" s="637"/>
      <c r="D379" s="652"/>
      <c r="E379" s="679" t="e">
        <f>LOOKUP(D379,'f-travail'!A:A,'f-travail'!B:B)</f>
        <v>#N/A</v>
      </c>
      <c r="F379" s="650"/>
      <c r="G379" s="650"/>
      <c r="H379" s="653"/>
      <c r="I379" s="653"/>
      <c r="J379" s="654"/>
      <c r="K379" s="650"/>
      <c r="L379" s="650"/>
      <c r="M379" s="650">
        <v>0</v>
      </c>
      <c r="N379" s="654"/>
      <c r="O379" s="654"/>
      <c r="P379" s="654"/>
      <c r="Q379" s="654"/>
      <c r="R379" s="676"/>
      <c r="S379" s="654"/>
      <c r="T379" s="675"/>
      <c r="U379" s="675"/>
      <c r="V379" s="670" t="e">
        <f>LOOKUP(D379,'f-travail'!A:A,'f-travail'!E:E)</f>
        <v>#N/A</v>
      </c>
      <c r="W379" s="670" t="e">
        <f>VLOOKUP(V379,جرقمإستدلالي,'f-travail'!$AD$4+1,FALSE)</f>
        <v>#N/A</v>
      </c>
      <c r="X379" s="671" t="e">
        <f t="shared" si="144"/>
        <v>#N/A</v>
      </c>
      <c r="Y379" s="671">
        <f>IF(G379="مدير ولائي",(HLOOKUP(I379,جدروظعليا,'f-travail'!$AT$3+1,FALSE)-3200),0)</f>
        <v>0</v>
      </c>
      <c r="Z379" s="672" t="str">
        <f t="shared" si="155"/>
        <v/>
      </c>
      <c r="AA379" s="671">
        <f t="shared" si="156"/>
        <v>0</v>
      </c>
      <c r="AB379" s="677" t="b">
        <f t="shared" si="145"/>
        <v>0</v>
      </c>
      <c r="AC379" s="678">
        <f t="shared" si="157"/>
        <v>0</v>
      </c>
      <c r="AD379" s="673"/>
      <c r="AE379" s="678">
        <f t="shared" si="146"/>
        <v>0</v>
      </c>
      <c r="AF379" s="678" t="e">
        <f t="shared" si="147"/>
        <v>#N/A</v>
      </c>
      <c r="AG379" s="678" t="e">
        <f t="shared" si="148"/>
        <v>#N/A</v>
      </c>
      <c r="AH379" s="673">
        <f t="shared" si="158"/>
        <v>0</v>
      </c>
      <c r="AI379" s="674" t="e">
        <f>IF(G379="مدير ولائي",(11000*35%),LOOKUP(D379,'f-travail'!A:A,'f-travail'!I:I))</f>
        <v>#N/A</v>
      </c>
      <c r="AJ379" s="673" t="e">
        <f>IF(G379="مدير ولائي",((W379+X379)*45)*80%,IF(V379&lt;8,0,IF(F379="إليزي",(LOOKUP(D379,'f-travail'!A:A,'f-travail'!O:O))*(AF379+AG379),LOOKUP(D379,'f-travail'!A:A,'f-travail'!P:P)*(AF379+AG379))))</f>
        <v>#N/A</v>
      </c>
      <c r="AK379" s="673" t="e">
        <f>IF(G379="مدير ولائي",0,LOOKUP(D379,'f-travail'!A:A,'f-travail'!Q:Q))</f>
        <v>#N/A</v>
      </c>
      <c r="AL379" s="673" t="e">
        <f>IF(G379="مدير ولائي",0,LOOKUP(D379,'f-travail'!A:A,'f-travail'!R:R)*(AF379+AG379))</f>
        <v>#N/A</v>
      </c>
      <c r="AM379" s="673" t="e">
        <f>IF(G379="مدير ولائي",0,LOOKUP(D379,'f-travail'!A:A,'f-travail'!S:S)*(AF379+AG379))</f>
        <v>#N/A</v>
      </c>
      <c r="AN379" s="673" t="e">
        <f>IF(G379="مدير ولائي",0,LOOKUP(D379,'f-travail'!A:A,'f-travail'!T:T)*(AF379+AG379))</f>
        <v>#N/A</v>
      </c>
      <c r="AO379" s="673" t="e">
        <f>IF(G379="مدير ولائي",0,LOOKUP(D379,'f-travail'!A:A,'f-travail'!U:U)*(AF379+AG379))</f>
        <v>#N/A</v>
      </c>
      <c r="AP379" s="673" t="e">
        <f>IF(G379="مدير ولائي",0,LOOKUP(D379,'f-travail'!A:A,'f-travail'!V:V)*(AF379+AG379))</f>
        <v>#N/A</v>
      </c>
      <c r="AQ379" s="673" t="e">
        <f>IF(G379="مدير ولائي",0,LOOKUP(D379,'f-travail'!A:A,'f-travail'!W:W)*(AF379+AG379))</f>
        <v>#N/A</v>
      </c>
      <c r="AR379" s="673">
        <f t="shared" si="159"/>
        <v>0</v>
      </c>
      <c r="AS379" s="673" t="e">
        <f>IF(G379="مدير ولائي",0,LOOKUP(D379,'f-travail'!A:A,'f-travail'!X:X)*(AF379+AG379))</f>
        <v>#N/A</v>
      </c>
      <c r="AT379" s="673" t="e">
        <f>IF(G379="مدير ولائي",0,LOOKUP(D379,'f-travail'!Y:Y,'f-travail'!R:R)*(AF379+AG379))</f>
        <v>#N/A</v>
      </c>
      <c r="AU379" s="673">
        <f t="shared" si="149"/>
        <v>0</v>
      </c>
      <c r="AV379" s="673">
        <f t="shared" si="150"/>
        <v>0</v>
      </c>
      <c r="AW379" s="673">
        <f t="shared" si="151"/>
        <v>0</v>
      </c>
      <c r="AY379" s="640" t="e">
        <f t="shared" si="160"/>
        <v>#N/A</v>
      </c>
      <c r="AZ379" s="673" t="e">
        <f t="shared" si="152"/>
        <v>#N/A</v>
      </c>
      <c r="BA379" s="639" t="e">
        <f t="shared" si="153"/>
        <v>#N/A</v>
      </c>
      <c r="BG379" s="639">
        <f t="shared" si="161"/>
        <v>0</v>
      </c>
      <c r="BH379" s="683">
        <f t="shared" si="162"/>
        <v>0</v>
      </c>
      <c r="BI379" s="683">
        <f t="shared" si="163"/>
        <v>0</v>
      </c>
      <c r="BJ379" s="641" t="e">
        <f t="shared" si="164"/>
        <v>#N/A</v>
      </c>
      <c r="BK379" s="641" t="e">
        <f t="shared" si="165"/>
        <v>#N/A</v>
      </c>
      <c r="BL379" s="641" t="e">
        <f t="shared" si="166"/>
        <v>#N/A</v>
      </c>
      <c r="BM379" s="684" t="e">
        <f t="shared" si="167"/>
        <v>#N/A</v>
      </c>
      <c r="BO379" s="682" t="e">
        <f>CONCATENATE(Z379," ",LOOKUP(D379,'f-travail'!A:A,'f-travail'!F:F))</f>
        <v>#N/A</v>
      </c>
      <c r="BP379" s="669" t="e">
        <f t="shared" si="154"/>
        <v>#N/A</v>
      </c>
    </row>
    <row r="380" spans="1:68">
      <c r="A380" s="636">
        <f t="shared" si="168"/>
        <v>379</v>
      </c>
      <c r="B380" s="637"/>
      <c r="C380" s="637"/>
      <c r="D380" s="652"/>
      <c r="E380" s="679" t="e">
        <f>LOOKUP(D380,'f-travail'!A:A,'f-travail'!B:B)</f>
        <v>#N/A</v>
      </c>
      <c r="F380" s="650"/>
      <c r="G380" s="650"/>
      <c r="H380" s="653"/>
      <c r="I380" s="653"/>
      <c r="J380" s="654"/>
      <c r="K380" s="650"/>
      <c r="L380" s="650"/>
      <c r="M380" s="650">
        <v>0</v>
      </c>
      <c r="N380" s="654"/>
      <c r="O380" s="654"/>
      <c r="P380" s="654"/>
      <c r="Q380" s="654"/>
      <c r="R380" s="676"/>
      <c r="S380" s="654"/>
      <c r="T380" s="675"/>
      <c r="U380" s="675"/>
      <c r="V380" s="670" t="e">
        <f>LOOKUP(D380,'f-travail'!A:A,'f-travail'!E:E)</f>
        <v>#N/A</v>
      </c>
      <c r="W380" s="670" t="e">
        <f>VLOOKUP(V380,جرقمإستدلالي,'f-travail'!$AD$4+1,FALSE)</f>
        <v>#N/A</v>
      </c>
      <c r="X380" s="671" t="e">
        <f t="shared" si="144"/>
        <v>#N/A</v>
      </c>
      <c r="Y380" s="671">
        <f>IF(G380="مدير ولائي",(HLOOKUP(I380,جدروظعليا,'f-travail'!$AT$3+1,FALSE)-3200),0)</f>
        <v>0</v>
      </c>
      <c r="Z380" s="672" t="str">
        <f t="shared" si="155"/>
        <v/>
      </c>
      <c r="AA380" s="671">
        <f t="shared" si="156"/>
        <v>0</v>
      </c>
      <c r="AB380" s="677" t="b">
        <f t="shared" si="145"/>
        <v>0</v>
      </c>
      <c r="AC380" s="678">
        <f t="shared" si="157"/>
        <v>0</v>
      </c>
      <c r="AD380" s="673"/>
      <c r="AE380" s="678">
        <f t="shared" si="146"/>
        <v>0</v>
      </c>
      <c r="AF380" s="678" t="e">
        <f t="shared" si="147"/>
        <v>#N/A</v>
      </c>
      <c r="AG380" s="678" t="e">
        <f t="shared" si="148"/>
        <v>#N/A</v>
      </c>
      <c r="AH380" s="673">
        <f t="shared" si="158"/>
        <v>0</v>
      </c>
      <c r="AI380" s="674" t="e">
        <f>IF(G380="مدير ولائي",(11000*35%),LOOKUP(D380,'f-travail'!A:A,'f-travail'!I:I))</f>
        <v>#N/A</v>
      </c>
      <c r="AJ380" s="673" t="e">
        <f>IF(G380="مدير ولائي",((W380+X380)*45)*80%,IF(V380&lt;8,0,IF(F380="إليزي",(LOOKUP(D380,'f-travail'!A:A,'f-travail'!O:O))*(AF380+AG380),LOOKUP(D380,'f-travail'!A:A,'f-travail'!P:P)*(AF380+AG380))))</f>
        <v>#N/A</v>
      </c>
      <c r="AK380" s="673" t="e">
        <f>IF(G380="مدير ولائي",0,LOOKUP(D380,'f-travail'!A:A,'f-travail'!Q:Q))</f>
        <v>#N/A</v>
      </c>
      <c r="AL380" s="673" t="e">
        <f>IF(G380="مدير ولائي",0,LOOKUP(D380,'f-travail'!A:A,'f-travail'!R:R)*(AF380+AG380))</f>
        <v>#N/A</v>
      </c>
      <c r="AM380" s="673" t="e">
        <f>IF(G380="مدير ولائي",0,LOOKUP(D380,'f-travail'!A:A,'f-travail'!S:S)*(AF380+AG380))</f>
        <v>#N/A</v>
      </c>
      <c r="AN380" s="673" t="e">
        <f>IF(G380="مدير ولائي",0,LOOKUP(D380,'f-travail'!A:A,'f-travail'!T:T)*(AF380+AG380))</f>
        <v>#N/A</v>
      </c>
      <c r="AO380" s="673" t="e">
        <f>IF(G380="مدير ولائي",0,LOOKUP(D380,'f-travail'!A:A,'f-travail'!U:U)*(AF380+AG380))</f>
        <v>#N/A</v>
      </c>
      <c r="AP380" s="673" t="e">
        <f>IF(G380="مدير ولائي",0,LOOKUP(D380,'f-travail'!A:A,'f-travail'!V:V)*(AF380+AG380))</f>
        <v>#N/A</v>
      </c>
      <c r="AQ380" s="673" t="e">
        <f>IF(G380="مدير ولائي",0,LOOKUP(D380,'f-travail'!A:A,'f-travail'!W:W)*(AF380+AG380))</f>
        <v>#N/A</v>
      </c>
      <c r="AR380" s="673">
        <f t="shared" si="159"/>
        <v>0</v>
      </c>
      <c r="AS380" s="673" t="e">
        <f>IF(G380="مدير ولائي",0,LOOKUP(D380,'f-travail'!A:A,'f-travail'!X:X)*(AF380+AG380))</f>
        <v>#N/A</v>
      </c>
      <c r="AT380" s="673" t="e">
        <f>IF(G380="مدير ولائي",0,LOOKUP(D380,'f-travail'!Y:Y,'f-travail'!R:R)*(AF380+AG380))</f>
        <v>#N/A</v>
      </c>
      <c r="AU380" s="673">
        <f t="shared" si="149"/>
        <v>0</v>
      </c>
      <c r="AV380" s="673">
        <f t="shared" si="150"/>
        <v>0</v>
      </c>
      <c r="AW380" s="673">
        <f t="shared" si="151"/>
        <v>0</v>
      </c>
      <c r="AY380" s="640" t="e">
        <f t="shared" si="160"/>
        <v>#N/A</v>
      </c>
      <c r="AZ380" s="673" t="e">
        <f t="shared" si="152"/>
        <v>#N/A</v>
      </c>
      <c r="BA380" s="639" t="e">
        <f t="shared" si="153"/>
        <v>#N/A</v>
      </c>
      <c r="BG380" s="639">
        <f t="shared" si="161"/>
        <v>0</v>
      </c>
      <c r="BH380" s="683">
        <f t="shared" si="162"/>
        <v>0</v>
      </c>
      <c r="BI380" s="683">
        <f t="shared" si="163"/>
        <v>0</v>
      </c>
      <c r="BJ380" s="641" t="e">
        <f t="shared" si="164"/>
        <v>#N/A</v>
      </c>
      <c r="BK380" s="641" t="e">
        <f t="shared" si="165"/>
        <v>#N/A</v>
      </c>
      <c r="BL380" s="641" t="e">
        <f t="shared" si="166"/>
        <v>#N/A</v>
      </c>
      <c r="BM380" s="684" t="e">
        <f t="shared" si="167"/>
        <v>#N/A</v>
      </c>
      <c r="BO380" s="682" t="e">
        <f>CONCATENATE(Z380," ",LOOKUP(D380,'f-travail'!A:A,'f-travail'!F:F))</f>
        <v>#N/A</v>
      </c>
      <c r="BP380" s="669" t="e">
        <f t="shared" si="154"/>
        <v>#N/A</v>
      </c>
    </row>
    <row r="381" spans="1:68">
      <c r="A381" s="636">
        <f t="shared" si="168"/>
        <v>380</v>
      </c>
      <c r="B381" s="637"/>
      <c r="C381" s="637"/>
      <c r="D381" s="652"/>
      <c r="E381" s="679" t="e">
        <f>LOOKUP(D381,'f-travail'!A:A,'f-travail'!B:B)</f>
        <v>#N/A</v>
      </c>
      <c r="F381" s="650"/>
      <c r="G381" s="650"/>
      <c r="H381" s="653"/>
      <c r="I381" s="653"/>
      <c r="J381" s="654"/>
      <c r="K381" s="650"/>
      <c r="L381" s="650"/>
      <c r="M381" s="650">
        <v>0</v>
      </c>
      <c r="N381" s="654"/>
      <c r="O381" s="654"/>
      <c r="P381" s="654"/>
      <c r="Q381" s="654"/>
      <c r="R381" s="676"/>
      <c r="S381" s="654"/>
      <c r="T381" s="675"/>
      <c r="U381" s="675"/>
      <c r="V381" s="670" t="e">
        <f>LOOKUP(D381,'f-travail'!A:A,'f-travail'!E:E)</f>
        <v>#N/A</v>
      </c>
      <c r="W381" s="670" t="e">
        <f>VLOOKUP(V381,جرقمإستدلالي,'f-travail'!$AD$4+1,FALSE)</f>
        <v>#N/A</v>
      </c>
      <c r="X381" s="671" t="e">
        <f t="shared" si="144"/>
        <v>#N/A</v>
      </c>
      <c r="Y381" s="671">
        <f>IF(G381="مدير ولائي",(HLOOKUP(I381,جدروظعليا,'f-travail'!$AT$3+1,FALSE)-3200),0)</f>
        <v>0</v>
      </c>
      <c r="Z381" s="672" t="str">
        <f t="shared" si="155"/>
        <v/>
      </c>
      <c r="AA381" s="671">
        <f t="shared" si="156"/>
        <v>0</v>
      </c>
      <c r="AB381" s="677" t="b">
        <f t="shared" si="145"/>
        <v>0</v>
      </c>
      <c r="AC381" s="678">
        <f t="shared" si="157"/>
        <v>0</v>
      </c>
      <c r="AD381" s="673"/>
      <c r="AE381" s="678">
        <f t="shared" si="146"/>
        <v>0</v>
      </c>
      <c r="AF381" s="678" t="e">
        <f t="shared" si="147"/>
        <v>#N/A</v>
      </c>
      <c r="AG381" s="678" t="e">
        <f t="shared" si="148"/>
        <v>#N/A</v>
      </c>
      <c r="AH381" s="673">
        <f t="shared" si="158"/>
        <v>0</v>
      </c>
      <c r="AI381" s="674" t="e">
        <f>IF(G381="مدير ولائي",(11000*35%),LOOKUP(D381,'f-travail'!A:A,'f-travail'!I:I))</f>
        <v>#N/A</v>
      </c>
      <c r="AJ381" s="673" t="e">
        <f>IF(G381="مدير ولائي",((W381+X381)*45)*80%,IF(V381&lt;8,0,IF(F381="إليزي",(LOOKUP(D381,'f-travail'!A:A,'f-travail'!O:O))*(AF381+AG381),LOOKUP(D381,'f-travail'!A:A,'f-travail'!P:P)*(AF381+AG381))))</f>
        <v>#N/A</v>
      </c>
      <c r="AK381" s="673" t="e">
        <f>IF(G381="مدير ولائي",0,LOOKUP(D381,'f-travail'!A:A,'f-travail'!Q:Q))</f>
        <v>#N/A</v>
      </c>
      <c r="AL381" s="673" t="e">
        <f>IF(G381="مدير ولائي",0,LOOKUP(D381,'f-travail'!A:A,'f-travail'!R:R)*(AF381+AG381))</f>
        <v>#N/A</v>
      </c>
      <c r="AM381" s="673" t="e">
        <f>IF(G381="مدير ولائي",0,LOOKUP(D381,'f-travail'!A:A,'f-travail'!S:S)*(AF381+AG381))</f>
        <v>#N/A</v>
      </c>
      <c r="AN381" s="673" t="e">
        <f>IF(G381="مدير ولائي",0,LOOKUP(D381,'f-travail'!A:A,'f-travail'!T:T)*(AF381+AG381))</f>
        <v>#N/A</v>
      </c>
      <c r="AO381" s="673" t="e">
        <f>IF(G381="مدير ولائي",0,LOOKUP(D381,'f-travail'!A:A,'f-travail'!U:U)*(AF381+AG381))</f>
        <v>#N/A</v>
      </c>
      <c r="AP381" s="673" t="e">
        <f>IF(G381="مدير ولائي",0,LOOKUP(D381,'f-travail'!A:A,'f-travail'!V:V)*(AF381+AG381))</f>
        <v>#N/A</v>
      </c>
      <c r="AQ381" s="673" t="e">
        <f>IF(G381="مدير ولائي",0,LOOKUP(D381,'f-travail'!A:A,'f-travail'!W:W)*(AF381+AG381))</f>
        <v>#N/A</v>
      </c>
      <c r="AR381" s="673">
        <f t="shared" si="159"/>
        <v>0</v>
      </c>
      <c r="AS381" s="673" t="e">
        <f>IF(G381="مدير ولائي",0,LOOKUP(D381,'f-travail'!A:A,'f-travail'!X:X)*(AF381+AG381))</f>
        <v>#N/A</v>
      </c>
      <c r="AT381" s="673" t="e">
        <f>IF(G381="مدير ولائي",0,LOOKUP(D381,'f-travail'!Y:Y,'f-travail'!R:R)*(AF381+AG381))</f>
        <v>#N/A</v>
      </c>
      <c r="AU381" s="673">
        <f t="shared" si="149"/>
        <v>0</v>
      </c>
      <c r="AV381" s="673">
        <f t="shared" si="150"/>
        <v>0</v>
      </c>
      <c r="AW381" s="673">
        <f t="shared" si="151"/>
        <v>0</v>
      </c>
      <c r="AY381" s="640" t="e">
        <f t="shared" si="160"/>
        <v>#N/A</v>
      </c>
      <c r="AZ381" s="673" t="e">
        <f t="shared" si="152"/>
        <v>#N/A</v>
      </c>
      <c r="BA381" s="639" t="e">
        <f t="shared" si="153"/>
        <v>#N/A</v>
      </c>
      <c r="BG381" s="639">
        <f t="shared" si="161"/>
        <v>0</v>
      </c>
      <c r="BH381" s="683">
        <f t="shared" si="162"/>
        <v>0</v>
      </c>
      <c r="BI381" s="683">
        <f t="shared" si="163"/>
        <v>0</v>
      </c>
      <c r="BJ381" s="641" t="e">
        <f t="shared" si="164"/>
        <v>#N/A</v>
      </c>
      <c r="BK381" s="641" t="e">
        <f t="shared" si="165"/>
        <v>#N/A</v>
      </c>
      <c r="BL381" s="641" t="e">
        <f t="shared" si="166"/>
        <v>#N/A</v>
      </c>
      <c r="BM381" s="684" t="e">
        <f t="shared" si="167"/>
        <v>#N/A</v>
      </c>
      <c r="BO381" s="682" t="e">
        <f>CONCATENATE(Z381," ",LOOKUP(D381,'f-travail'!A:A,'f-travail'!F:F))</f>
        <v>#N/A</v>
      </c>
      <c r="BP381" s="669" t="e">
        <f t="shared" si="154"/>
        <v>#N/A</v>
      </c>
    </row>
    <row r="382" spans="1:68">
      <c r="A382" s="636">
        <f t="shared" si="168"/>
        <v>381</v>
      </c>
      <c r="B382" s="637"/>
      <c r="C382" s="637"/>
      <c r="D382" s="652"/>
      <c r="E382" s="679" t="e">
        <f>LOOKUP(D382,'f-travail'!A:A,'f-travail'!B:B)</f>
        <v>#N/A</v>
      </c>
      <c r="F382" s="650"/>
      <c r="G382" s="650"/>
      <c r="H382" s="653"/>
      <c r="I382" s="653"/>
      <c r="J382" s="654"/>
      <c r="K382" s="650"/>
      <c r="L382" s="650"/>
      <c r="M382" s="650">
        <v>0</v>
      </c>
      <c r="N382" s="654"/>
      <c r="O382" s="654"/>
      <c r="P382" s="654"/>
      <c r="Q382" s="654"/>
      <c r="R382" s="676"/>
      <c r="S382" s="654"/>
      <c r="T382" s="675"/>
      <c r="U382" s="675"/>
      <c r="V382" s="670" t="e">
        <f>LOOKUP(D382,'f-travail'!A:A,'f-travail'!E:E)</f>
        <v>#N/A</v>
      </c>
      <c r="W382" s="670" t="e">
        <f>VLOOKUP(V382,جرقمإستدلالي,'f-travail'!$AD$4+1,FALSE)</f>
        <v>#N/A</v>
      </c>
      <c r="X382" s="671" t="e">
        <f t="shared" si="144"/>
        <v>#N/A</v>
      </c>
      <c r="Y382" s="671">
        <f>IF(G382="مدير ولائي",(HLOOKUP(I382,جدروظعليا,'f-travail'!$AT$3+1,FALSE)-3200),0)</f>
        <v>0</v>
      </c>
      <c r="Z382" s="672" t="str">
        <f t="shared" si="155"/>
        <v/>
      </c>
      <c r="AA382" s="671">
        <f t="shared" si="156"/>
        <v>0</v>
      </c>
      <c r="AB382" s="677" t="b">
        <f t="shared" si="145"/>
        <v>0</v>
      </c>
      <c r="AC382" s="678">
        <f t="shared" si="157"/>
        <v>0</v>
      </c>
      <c r="AD382" s="673"/>
      <c r="AE382" s="678">
        <f t="shared" si="146"/>
        <v>0</v>
      </c>
      <c r="AF382" s="678" t="e">
        <f t="shared" si="147"/>
        <v>#N/A</v>
      </c>
      <c r="AG382" s="678" t="e">
        <f t="shared" si="148"/>
        <v>#N/A</v>
      </c>
      <c r="AH382" s="673">
        <f t="shared" si="158"/>
        <v>0</v>
      </c>
      <c r="AI382" s="674" t="e">
        <f>IF(G382="مدير ولائي",(11000*35%),LOOKUP(D382,'f-travail'!A:A,'f-travail'!I:I))</f>
        <v>#N/A</v>
      </c>
      <c r="AJ382" s="673" t="e">
        <f>IF(G382="مدير ولائي",((W382+X382)*45)*80%,IF(V382&lt;8,0,IF(F382="إليزي",(LOOKUP(D382,'f-travail'!A:A,'f-travail'!O:O))*(AF382+AG382),LOOKUP(D382,'f-travail'!A:A,'f-travail'!P:P)*(AF382+AG382))))</f>
        <v>#N/A</v>
      </c>
      <c r="AK382" s="673" t="e">
        <f>IF(G382="مدير ولائي",0,LOOKUP(D382,'f-travail'!A:A,'f-travail'!Q:Q))</f>
        <v>#N/A</v>
      </c>
      <c r="AL382" s="673" t="e">
        <f>IF(G382="مدير ولائي",0,LOOKUP(D382,'f-travail'!A:A,'f-travail'!R:R)*(AF382+AG382))</f>
        <v>#N/A</v>
      </c>
      <c r="AM382" s="673" t="e">
        <f>IF(G382="مدير ولائي",0,LOOKUP(D382,'f-travail'!A:A,'f-travail'!S:S)*(AF382+AG382))</f>
        <v>#N/A</v>
      </c>
      <c r="AN382" s="673" t="e">
        <f>IF(G382="مدير ولائي",0,LOOKUP(D382,'f-travail'!A:A,'f-travail'!T:T)*(AF382+AG382))</f>
        <v>#N/A</v>
      </c>
      <c r="AO382" s="673" t="e">
        <f>IF(G382="مدير ولائي",0,LOOKUP(D382,'f-travail'!A:A,'f-travail'!U:U)*(AF382+AG382))</f>
        <v>#N/A</v>
      </c>
      <c r="AP382" s="673" t="e">
        <f>IF(G382="مدير ولائي",0,LOOKUP(D382,'f-travail'!A:A,'f-travail'!V:V)*(AF382+AG382))</f>
        <v>#N/A</v>
      </c>
      <c r="AQ382" s="673" t="e">
        <f>IF(G382="مدير ولائي",0,LOOKUP(D382,'f-travail'!A:A,'f-travail'!W:W)*(AF382+AG382))</f>
        <v>#N/A</v>
      </c>
      <c r="AR382" s="673">
        <f t="shared" si="159"/>
        <v>0</v>
      </c>
      <c r="AS382" s="673" t="e">
        <f>IF(G382="مدير ولائي",0,LOOKUP(D382,'f-travail'!A:A,'f-travail'!X:X)*(AF382+AG382))</f>
        <v>#N/A</v>
      </c>
      <c r="AT382" s="673" t="e">
        <f>IF(G382="مدير ولائي",0,LOOKUP(D382,'f-travail'!Y:Y,'f-travail'!R:R)*(AF382+AG382))</f>
        <v>#N/A</v>
      </c>
      <c r="AU382" s="673">
        <f t="shared" si="149"/>
        <v>0</v>
      </c>
      <c r="AV382" s="673">
        <f t="shared" si="150"/>
        <v>0</v>
      </c>
      <c r="AW382" s="673">
        <f t="shared" si="151"/>
        <v>0</v>
      </c>
      <c r="AY382" s="640" t="e">
        <f t="shared" si="160"/>
        <v>#N/A</v>
      </c>
      <c r="AZ382" s="673" t="e">
        <f t="shared" si="152"/>
        <v>#N/A</v>
      </c>
      <c r="BA382" s="639" t="e">
        <f t="shared" si="153"/>
        <v>#N/A</v>
      </c>
      <c r="BG382" s="639">
        <f t="shared" si="161"/>
        <v>0</v>
      </c>
      <c r="BH382" s="683">
        <f t="shared" si="162"/>
        <v>0</v>
      </c>
      <c r="BI382" s="683">
        <f t="shared" si="163"/>
        <v>0</v>
      </c>
      <c r="BJ382" s="641" t="e">
        <f t="shared" si="164"/>
        <v>#N/A</v>
      </c>
      <c r="BK382" s="641" t="e">
        <f t="shared" si="165"/>
        <v>#N/A</v>
      </c>
      <c r="BL382" s="641" t="e">
        <f t="shared" si="166"/>
        <v>#N/A</v>
      </c>
      <c r="BM382" s="684" t="e">
        <f t="shared" si="167"/>
        <v>#N/A</v>
      </c>
      <c r="BO382" s="682" t="e">
        <f>CONCATENATE(Z382," ",LOOKUP(D382,'f-travail'!A:A,'f-travail'!F:F))</f>
        <v>#N/A</v>
      </c>
      <c r="BP382" s="669" t="e">
        <f t="shared" si="154"/>
        <v>#N/A</v>
      </c>
    </row>
    <row r="383" spans="1:68">
      <c r="A383" s="636">
        <f t="shared" si="168"/>
        <v>382</v>
      </c>
      <c r="B383" s="637"/>
      <c r="C383" s="637"/>
      <c r="D383" s="652"/>
      <c r="E383" s="679" t="e">
        <f>LOOKUP(D383,'f-travail'!A:A,'f-travail'!B:B)</f>
        <v>#N/A</v>
      </c>
      <c r="F383" s="650"/>
      <c r="G383" s="650"/>
      <c r="H383" s="653"/>
      <c r="I383" s="653"/>
      <c r="J383" s="654"/>
      <c r="K383" s="650"/>
      <c r="L383" s="650"/>
      <c r="M383" s="650">
        <v>0</v>
      </c>
      <c r="N383" s="654"/>
      <c r="O383" s="654"/>
      <c r="P383" s="654"/>
      <c r="Q383" s="654"/>
      <c r="R383" s="676"/>
      <c r="S383" s="654"/>
      <c r="T383" s="675"/>
      <c r="U383" s="675"/>
      <c r="V383" s="670" t="e">
        <f>LOOKUP(D383,'f-travail'!A:A,'f-travail'!E:E)</f>
        <v>#N/A</v>
      </c>
      <c r="W383" s="670" t="e">
        <f>VLOOKUP(V383,جرقمإستدلالي,'f-travail'!$AD$4+1,FALSE)</f>
        <v>#N/A</v>
      </c>
      <c r="X383" s="671" t="e">
        <f t="shared" si="144"/>
        <v>#N/A</v>
      </c>
      <c r="Y383" s="671">
        <f>IF(G383="مدير ولائي",(HLOOKUP(I383,جدروظعليا,'f-travail'!$AT$3+1,FALSE)-3200),0)</f>
        <v>0</v>
      </c>
      <c r="Z383" s="672" t="str">
        <f t="shared" si="155"/>
        <v/>
      </c>
      <c r="AA383" s="671">
        <f t="shared" si="156"/>
        <v>0</v>
      </c>
      <c r="AB383" s="677" t="b">
        <f t="shared" si="145"/>
        <v>0</v>
      </c>
      <c r="AC383" s="678">
        <f t="shared" si="157"/>
        <v>0</v>
      </c>
      <c r="AD383" s="673"/>
      <c r="AE383" s="678">
        <f t="shared" si="146"/>
        <v>0</v>
      </c>
      <c r="AF383" s="678" t="e">
        <f t="shared" si="147"/>
        <v>#N/A</v>
      </c>
      <c r="AG383" s="678" t="e">
        <f t="shared" si="148"/>
        <v>#N/A</v>
      </c>
      <c r="AH383" s="673">
        <f t="shared" si="158"/>
        <v>0</v>
      </c>
      <c r="AI383" s="674" t="e">
        <f>IF(G383="مدير ولائي",(11000*35%),LOOKUP(D383,'f-travail'!A:A,'f-travail'!I:I))</f>
        <v>#N/A</v>
      </c>
      <c r="AJ383" s="673" t="e">
        <f>IF(G383="مدير ولائي",((W383+X383)*45)*80%,IF(V383&lt;8,0,IF(F383="إليزي",(LOOKUP(D383,'f-travail'!A:A,'f-travail'!O:O))*(AF383+AG383),LOOKUP(D383,'f-travail'!A:A,'f-travail'!P:P)*(AF383+AG383))))</f>
        <v>#N/A</v>
      </c>
      <c r="AK383" s="673" t="e">
        <f>IF(G383="مدير ولائي",0,LOOKUP(D383,'f-travail'!A:A,'f-travail'!Q:Q))</f>
        <v>#N/A</v>
      </c>
      <c r="AL383" s="673" t="e">
        <f>IF(G383="مدير ولائي",0,LOOKUP(D383,'f-travail'!A:A,'f-travail'!R:R)*(AF383+AG383))</f>
        <v>#N/A</v>
      </c>
      <c r="AM383" s="673" t="e">
        <f>IF(G383="مدير ولائي",0,LOOKUP(D383,'f-travail'!A:A,'f-travail'!S:S)*(AF383+AG383))</f>
        <v>#N/A</v>
      </c>
      <c r="AN383" s="673" t="e">
        <f>IF(G383="مدير ولائي",0,LOOKUP(D383,'f-travail'!A:A,'f-travail'!T:T)*(AF383+AG383))</f>
        <v>#N/A</v>
      </c>
      <c r="AO383" s="673" t="e">
        <f>IF(G383="مدير ولائي",0,LOOKUP(D383,'f-travail'!A:A,'f-travail'!U:U)*(AF383+AG383))</f>
        <v>#N/A</v>
      </c>
      <c r="AP383" s="673" t="e">
        <f>IF(G383="مدير ولائي",0,LOOKUP(D383,'f-travail'!A:A,'f-travail'!V:V)*(AF383+AG383))</f>
        <v>#N/A</v>
      </c>
      <c r="AQ383" s="673" t="e">
        <f>IF(G383="مدير ولائي",0,LOOKUP(D383,'f-travail'!A:A,'f-travail'!W:W)*(AF383+AG383))</f>
        <v>#N/A</v>
      </c>
      <c r="AR383" s="673">
        <f t="shared" si="159"/>
        <v>0</v>
      </c>
      <c r="AS383" s="673" t="e">
        <f>IF(G383="مدير ولائي",0,LOOKUP(D383,'f-travail'!A:A,'f-travail'!X:X)*(AF383+AG383))</f>
        <v>#N/A</v>
      </c>
      <c r="AT383" s="673" t="e">
        <f>IF(G383="مدير ولائي",0,LOOKUP(D383,'f-travail'!Y:Y,'f-travail'!R:R)*(AF383+AG383))</f>
        <v>#N/A</v>
      </c>
      <c r="AU383" s="673">
        <f t="shared" si="149"/>
        <v>0</v>
      </c>
      <c r="AV383" s="673">
        <f t="shared" si="150"/>
        <v>0</v>
      </c>
      <c r="AW383" s="673">
        <f t="shared" si="151"/>
        <v>0</v>
      </c>
      <c r="AY383" s="640" t="e">
        <f t="shared" si="160"/>
        <v>#N/A</v>
      </c>
      <c r="AZ383" s="673" t="e">
        <f t="shared" si="152"/>
        <v>#N/A</v>
      </c>
      <c r="BA383" s="639" t="e">
        <f t="shared" si="153"/>
        <v>#N/A</v>
      </c>
      <c r="BG383" s="639">
        <f t="shared" si="161"/>
        <v>0</v>
      </c>
      <c r="BH383" s="683">
        <f t="shared" si="162"/>
        <v>0</v>
      </c>
      <c r="BI383" s="683">
        <f t="shared" si="163"/>
        <v>0</v>
      </c>
      <c r="BJ383" s="641" t="e">
        <f t="shared" si="164"/>
        <v>#N/A</v>
      </c>
      <c r="BK383" s="641" t="e">
        <f t="shared" si="165"/>
        <v>#N/A</v>
      </c>
      <c r="BL383" s="641" t="e">
        <f t="shared" si="166"/>
        <v>#N/A</v>
      </c>
      <c r="BM383" s="684" t="e">
        <f t="shared" si="167"/>
        <v>#N/A</v>
      </c>
      <c r="BO383" s="682" t="e">
        <f>CONCATENATE(Z383," ",LOOKUP(D383,'f-travail'!A:A,'f-travail'!F:F))</f>
        <v>#N/A</v>
      </c>
      <c r="BP383" s="669" t="e">
        <f t="shared" si="154"/>
        <v>#N/A</v>
      </c>
    </row>
    <row r="384" spans="1:68">
      <c r="A384" s="636">
        <f t="shared" si="168"/>
        <v>383</v>
      </c>
      <c r="B384" s="637"/>
      <c r="C384" s="637"/>
      <c r="D384" s="652"/>
      <c r="E384" s="679" t="e">
        <f>LOOKUP(D384,'f-travail'!A:A,'f-travail'!B:B)</f>
        <v>#N/A</v>
      </c>
      <c r="F384" s="650"/>
      <c r="G384" s="650"/>
      <c r="H384" s="653"/>
      <c r="I384" s="653"/>
      <c r="J384" s="654"/>
      <c r="K384" s="650"/>
      <c r="L384" s="650"/>
      <c r="M384" s="650">
        <v>0</v>
      </c>
      <c r="N384" s="654"/>
      <c r="O384" s="654"/>
      <c r="P384" s="654"/>
      <c r="Q384" s="654"/>
      <c r="R384" s="676"/>
      <c r="S384" s="654"/>
      <c r="T384" s="675"/>
      <c r="U384" s="675"/>
      <c r="V384" s="670" t="e">
        <f>LOOKUP(D384,'f-travail'!A:A,'f-travail'!E:E)</f>
        <v>#N/A</v>
      </c>
      <c r="W384" s="670" t="e">
        <f>VLOOKUP(V384,جرقمإستدلالي,'f-travail'!$AD$4+1,FALSE)</f>
        <v>#N/A</v>
      </c>
      <c r="X384" s="671" t="e">
        <f t="shared" si="144"/>
        <v>#N/A</v>
      </c>
      <c r="Y384" s="671">
        <f>IF(G384="مدير ولائي",(HLOOKUP(I384,جدروظعليا,'f-travail'!$AT$3+1,FALSE)-3200),0)</f>
        <v>0</v>
      </c>
      <c r="Z384" s="672" t="str">
        <f t="shared" si="155"/>
        <v/>
      </c>
      <c r="AA384" s="671">
        <f t="shared" si="156"/>
        <v>0</v>
      </c>
      <c r="AB384" s="677" t="b">
        <f t="shared" si="145"/>
        <v>0</v>
      </c>
      <c r="AC384" s="678">
        <f t="shared" si="157"/>
        <v>0</v>
      </c>
      <c r="AD384" s="673"/>
      <c r="AE384" s="678">
        <f t="shared" si="146"/>
        <v>0</v>
      </c>
      <c r="AF384" s="678" t="e">
        <f t="shared" si="147"/>
        <v>#N/A</v>
      </c>
      <c r="AG384" s="678" t="e">
        <f t="shared" si="148"/>
        <v>#N/A</v>
      </c>
      <c r="AH384" s="673">
        <f t="shared" si="158"/>
        <v>0</v>
      </c>
      <c r="AI384" s="674" t="e">
        <f>IF(G384="مدير ولائي",(11000*35%),LOOKUP(D384,'f-travail'!A:A,'f-travail'!I:I))</f>
        <v>#N/A</v>
      </c>
      <c r="AJ384" s="673" t="e">
        <f>IF(G384="مدير ولائي",((W384+X384)*45)*80%,IF(V384&lt;8,0,IF(F384="إليزي",(LOOKUP(D384,'f-travail'!A:A,'f-travail'!O:O))*(AF384+AG384),LOOKUP(D384,'f-travail'!A:A,'f-travail'!P:P)*(AF384+AG384))))</f>
        <v>#N/A</v>
      </c>
      <c r="AK384" s="673" t="e">
        <f>IF(G384="مدير ولائي",0,LOOKUP(D384,'f-travail'!A:A,'f-travail'!Q:Q))</f>
        <v>#N/A</v>
      </c>
      <c r="AL384" s="673" t="e">
        <f>IF(G384="مدير ولائي",0,LOOKUP(D384,'f-travail'!A:A,'f-travail'!R:R)*(AF384+AG384))</f>
        <v>#N/A</v>
      </c>
      <c r="AM384" s="673" t="e">
        <f>IF(G384="مدير ولائي",0,LOOKUP(D384,'f-travail'!A:A,'f-travail'!S:S)*(AF384+AG384))</f>
        <v>#N/A</v>
      </c>
      <c r="AN384" s="673" t="e">
        <f>IF(G384="مدير ولائي",0,LOOKUP(D384,'f-travail'!A:A,'f-travail'!T:T)*(AF384+AG384))</f>
        <v>#N/A</v>
      </c>
      <c r="AO384" s="673" t="e">
        <f>IF(G384="مدير ولائي",0,LOOKUP(D384,'f-travail'!A:A,'f-travail'!U:U)*(AF384+AG384))</f>
        <v>#N/A</v>
      </c>
      <c r="AP384" s="673" t="e">
        <f>IF(G384="مدير ولائي",0,LOOKUP(D384,'f-travail'!A:A,'f-travail'!V:V)*(AF384+AG384))</f>
        <v>#N/A</v>
      </c>
      <c r="AQ384" s="673" t="e">
        <f>IF(G384="مدير ولائي",0,LOOKUP(D384,'f-travail'!A:A,'f-travail'!W:W)*(AF384+AG384))</f>
        <v>#N/A</v>
      </c>
      <c r="AR384" s="673">
        <f t="shared" si="159"/>
        <v>0</v>
      </c>
      <c r="AS384" s="673" t="e">
        <f>IF(G384="مدير ولائي",0,LOOKUP(D384,'f-travail'!A:A,'f-travail'!X:X)*(AF384+AG384))</f>
        <v>#N/A</v>
      </c>
      <c r="AT384" s="673" t="e">
        <f>IF(G384="مدير ولائي",0,LOOKUP(D384,'f-travail'!Y:Y,'f-travail'!R:R)*(AF384+AG384))</f>
        <v>#N/A</v>
      </c>
      <c r="AU384" s="673">
        <f t="shared" si="149"/>
        <v>0</v>
      </c>
      <c r="AV384" s="673">
        <f t="shared" si="150"/>
        <v>0</v>
      </c>
      <c r="AW384" s="673">
        <f t="shared" si="151"/>
        <v>0</v>
      </c>
      <c r="AY384" s="640" t="e">
        <f t="shared" si="160"/>
        <v>#N/A</v>
      </c>
      <c r="AZ384" s="673" t="e">
        <f t="shared" si="152"/>
        <v>#N/A</v>
      </c>
      <c r="BA384" s="639" t="e">
        <f t="shared" si="153"/>
        <v>#N/A</v>
      </c>
      <c r="BG384" s="639">
        <f t="shared" si="161"/>
        <v>0</v>
      </c>
      <c r="BH384" s="683">
        <f t="shared" si="162"/>
        <v>0</v>
      </c>
      <c r="BI384" s="683">
        <f t="shared" si="163"/>
        <v>0</v>
      </c>
      <c r="BJ384" s="641" t="e">
        <f t="shared" si="164"/>
        <v>#N/A</v>
      </c>
      <c r="BK384" s="641" t="e">
        <f t="shared" si="165"/>
        <v>#N/A</v>
      </c>
      <c r="BL384" s="641" t="e">
        <f t="shared" si="166"/>
        <v>#N/A</v>
      </c>
      <c r="BM384" s="684" t="e">
        <f t="shared" si="167"/>
        <v>#N/A</v>
      </c>
      <c r="BO384" s="682" t="e">
        <f>CONCATENATE(Z384," ",LOOKUP(D384,'f-travail'!A:A,'f-travail'!F:F))</f>
        <v>#N/A</v>
      </c>
      <c r="BP384" s="669" t="e">
        <f t="shared" si="154"/>
        <v>#N/A</v>
      </c>
    </row>
    <row r="385" spans="1:68">
      <c r="A385" s="636">
        <f t="shared" si="168"/>
        <v>384</v>
      </c>
      <c r="B385" s="637"/>
      <c r="C385" s="637"/>
      <c r="D385" s="652"/>
      <c r="E385" s="679" t="e">
        <f>LOOKUP(D385,'f-travail'!A:A,'f-travail'!B:B)</f>
        <v>#N/A</v>
      </c>
      <c r="F385" s="650"/>
      <c r="G385" s="650"/>
      <c r="H385" s="653"/>
      <c r="I385" s="653"/>
      <c r="J385" s="654"/>
      <c r="K385" s="650"/>
      <c r="L385" s="650"/>
      <c r="M385" s="650">
        <v>0</v>
      </c>
      <c r="N385" s="654"/>
      <c r="O385" s="654"/>
      <c r="P385" s="654"/>
      <c r="Q385" s="654"/>
      <c r="R385" s="676"/>
      <c r="S385" s="654"/>
      <c r="T385" s="675"/>
      <c r="U385" s="675"/>
      <c r="V385" s="670" t="e">
        <f>LOOKUP(D385,'f-travail'!A:A,'f-travail'!E:E)</f>
        <v>#N/A</v>
      </c>
      <c r="W385" s="670" t="e">
        <f>VLOOKUP(V385,جرقمإستدلالي,'f-travail'!$AD$4+1,FALSE)</f>
        <v>#N/A</v>
      </c>
      <c r="X385" s="671" t="e">
        <f t="shared" ref="X385:X448" si="169">INDEX(جدرجات,V385,H385+1)</f>
        <v>#N/A</v>
      </c>
      <c r="Y385" s="671">
        <f>IF(G385="مدير ولائي",(HLOOKUP(I385,جدروظعليا,'f-travail'!$AT$3+1,FALSE)-3200),0)</f>
        <v>0</v>
      </c>
      <c r="Z385" s="672" t="str">
        <f t="shared" si="155"/>
        <v/>
      </c>
      <c r="AA385" s="671">
        <f t="shared" si="156"/>
        <v>0</v>
      </c>
      <c r="AB385" s="677" t="b">
        <f t="shared" ref="AB385:AB448" si="170">IF(OR(J385="متزوج(ة)",J385="متزوج(ة)ماكثة",J385="متزوج(ة)عاملة"),(CONCATENATE("م","(",K385,")")),IF(J385="مطلق(ة)",(CONCATENATE("مط","(",K385,")")),IF(J385="عازب(ة)","ع",IF(J385="عازب(ة)كفيل",CONCATENATE("ع/ك","(",K385,")")))))</f>
        <v>0</v>
      </c>
      <c r="AC385" s="678">
        <f t="shared" si="157"/>
        <v>0</v>
      </c>
      <c r="AD385" s="673"/>
      <c r="AE385" s="678">
        <f t="shared" ref="AE385:AE448" si="171">IF(AB385="ع",0,(AD385+(K385*300)+AC385))</f>
        <v>0</v>
      </c>
      <c r="AF385" s="678" t="e">
        <f t="shared" ref="AF385:AF448" si="172">IF(G385="مدير ولائي",(3200*19),(W385*45))</f>
        <v>#N/A</v>
      </c>
      <c r="AG385" s="678" t="e">
        <f t="shared" ref="AG385:AG448" si="173">IF(G385="مدير ولائي",(Y385*19),(X385*45))</f>
        <v>#N/A</v>
      </c>
      <c r="AH385" s="673">
        <f t="shared" si="158"/>
        <v>0</v>
      </c>
      <c r="AI385" s="674" t="e">
        <f>IF(G385="مدير ولائي",(11000*35%),LOOKUP(D385,'f-travail'!A:A,'f-travail'!I:I))</f>
        <v>#N/A</v>
      </c>
      <c r="AJ385" s="673" t="e">
        <f>IF(G385="مدير ولائي",((W385+X385)*45)*80%,IF(V385&lt;8,0,IF(F385="إليزي",(LOOKUP(D385,'f-travail'!A:A,'f-travail'!O:O))*(AF385+AG385),LOOKUP(D385,'f-travail'!A:A,'f-travail'!P:P)*(AF385+AG385))))</f>
        <v>#N/A</v>
      </c>
      <c r="AK385" s="673" t="e">
        <f>IF(G385="مدير ولائي",0,LOOKUP(D385,'f-travail'!A:A,'f-travail'!Q:Q))</f>
        <v>#N/A</v>
      </c>
      <c r="AL385" s="673" t="e">
        <f>IF(G385="مدير ولائي",0,LOOKUP(D385,'f-travail'!A:A,'f-travail'!R:R)*(AF385+AG385))</f>
        <v>#N/A</v>
      </c>
      <c r="AM385" s="673" t="e">
        <f>IF(G385="مدير ولائي",0,LOOKUP(D385,'f-travail'!A:A,'f-travail'!S:S)*(AF385+AG385))</f>
        <v>#N/A</v>
      </c>
      <c r="AN385" s="673" t="e">
        <f>IF(G385="مدير ولائي",0,LOOKUP(D385,'f-travail'!A:A,'f-travail'!T:T)*(AF385+AG385))</f>
        <v>#N/A</v>
      </c>
      <c r="AO385" s="673" t="e">
        <f>IF(G385="مدير ولائي",0,LOOKUP(D385,'f-travail'!A:A,'f-travail'!U:U)*(AF385+AG385))</f>
        <v>#N/A</v>
      </c>
      <c r="AP385" s="673" t="e">
        <f>IF(G385="مدير ولائي",0,LOOKUP(D385,'f-travail'!A:A,'f-travail'!V:V)*(AF385+AG385))</f>
        <v>#N/A</v>
      </c>
      <c r="AQ385" s="673" t="e">
        <f>IF(G385="مدير ولائي",0,LOOKUP(D385,'f-travail'!A:A,'f-travail'!W:W)*(AF385+AG385))</f>
        <v>#N/A</v>
      </c>
      <c r="AR385" s="673">
        <f t="shared" si="159"/>
        <v>0</v>
      </c>
      <c r="AS385" s="673" t="e">
        <f>IF(G385="مدير ولائي",0,LOOKUP(D385,'f-travail'!A:A,'f-travail'!X:X)*(AF385+AG385))</f>
        <v>#N/A</v>
      </c>
      <c r="AT385" s="673" t="e">
        <f>IF(G385="مدير ولائي",0,LOOKUP(D385,'f-travail'!Y:Y,'f-travail'!R:R)*(AF385+AG385))</f>
        <v>#N/A</v>
      </c>
      <c r="AU385" s="673">
        <f t="shared" ref="AU385:AU448" si="174">IF(G385="مدير ولائي",50%*(AF385+AG385),0)</f>
        <v>0</v>
      </c>
      <c r="AV385" s="673">
        <f t="shared" ref="AV385:AV448" si="175">IF(G385="مدير ولائي",50%*(AF385+AG385),0)</f>
        <v>0</v>
      </c>
      <c r="AW385" s="673">
        <f t="shared" ref="AW385:AW448" si="176">IF(G385="مدير ولائي",50%*(AF385+AG385),0)</f>
        <v>0</v>
      </c>
      <c r="AY385" s="640" t="e">
        <f t="shared" si="160"/>
        <v>#N/A</v>
      </c>
      <c r="AZ385" s="673" t="e">
        <f t="shared" ref="AZ385:AZ448" si="177">AG385+AF385+U385+T385+(AA385*45)</f>
        <v>#N/A</v>
      </c>
      <c r="BA385" s="639" t="e">
        <f t="shared" ref="BA385:BA448" si="178">SUM(BB385:BF385,(AZ385+AT385+AJ385+AI385+AE385))</f>
        <v>#N/A</v>
      </c>
      <c r="BG385" s="639">
        <f t="shared" si="161"/>
        <v>0</v>
      </c>
      <c r="BH385" s="683">
        <f t="shared" si="162"/>
        <v>0</v>
      </c>
      <c r="BI385" s="683">
        <f t="shared" si="163"/>
        <v>0</v>
      </c>
      <c r="BJ385" s="641" t="e">
        <f t="shared" si="164"/>
        <v>#N/A</v>
      </c>
      <c r="BK385" s="641" t="e">
        <f t="shared" si="165"/>
        <v>#N/A</v>
      </c>
      <c r="BL385" s="641" t="e">
        <f t="shared" si="166"/>
        <v>#N/A</v>
      </c>
      <c r="BM385" s="684" t="e">
        <f t="shared" si="167"/>
        <v>#N/A</v>
      </c>
      <c r="BO385" s="682" t="e">
        <f>CONCATENATE(Z385," ",LOOKUP(D385,'f-travail'!A:A,'f-travail'!F:F))</f>
        <v>#N/A</v>
      </c>
      <c r="BP385" s="669" t="e">
        <f t="shared" ref="BP385:BP448" si="179">IF(G385="",CONCATENATE(G385," ",E385),CONCATENATE(G385," (",E385,")"))</f>
        <v>#N/A</v>
      </c>
    </row>
    <row r="386" spans="1:68">
      <c r="A386" s="636">
        <f t="shared" si="168"/>
        <v>385</v>
      </c>
      <c r="B386" s="637"/>
      <c r="C386" s="637"/>
      <c r="D386" s="652"/>
      <c r="E386" s="679" t="e">
        <f>LOOKUP(D386,'f-travail'!A:A,'f-travail'!B:B)</f>
        <v>#N/A</v>
      </c>
      <c r="F386" s="650"/>
      <c r="G386" s="650"/>
      <c r="H386" s="653"/>
      <c r="I386" s="653"/>
      <c r="J386" s="654"/>
      <c r="K386" s="650"/>
      <c r="L386" s="650"/>
      <c r="M386" s="650">
        <v>0</v>
      </c>
      <c r="N386" s="654"/>
      <c r="O386" s="654"/>
      <c r="P386" s="654"/>
      <c r="Q386" s="654"/>
      <c r="R386" s="676"/>
      <c r="S386" s="654"/>
      <c r="T386" s="675"/>
      <c r="U386" s="675"/>
      <c r="V386" s="670" t="e">
        <f>LOOKUP(D386,'f-travail'!A:A,'f-travail'!E:E)</f>
        <v>#N/A</v>
      </c>
      <c r="W386" s="670" t="e">
        <f>VLOOKUP(V386,جرقمإستدلالي,'f-travail'!$AD$4+1,FALSE)</f>
        <v>#N/A</v>
      </c>
      <c r="X386" s="671" t="e">
        <f t="shared" si="169"/>
        <v>#N/A</v>
      </c>
      <c r="Y386" s="671">
        <f>IF(G386="مدير ولائي",(HLOOKUP(I386,جدروظعليا,'f-travail'!$AT$3+1,FALSE)-3200),0)</f>
        <v>0</v>
      </c>
      <c r="Z386" s="672" t="str">
        <f t="shared" ref="Z386:Z449" si="180">IF(OR(G386="رئيس مفتشية",G386="محافظ عقاري",G386="رئيس مصلحة"),"م8",IF(G386="رئيس مكتب","م7",IF(G386="رئيس قسم","م5",IF(G386="رئيس حضيرة","م3",IF(G386="مدير ولائي","ب 1","")))))</f>
        <v/>
      </c>
      <c r="AA386" s="671">
        <f t="shared" ref="AA386:AA449" si="181">IF(Z386="م8",195,IF(Z386="م7",145,IF(Z386="م5",75,IF(Z386="م3",45,0))))</f>
        <v>0</v>
      </c>
      <c r="AB386" s="677" t="b">
        <f t="shared" si="170"/>
        <v>0</v>
      </c>
      <c r="AC386" s="678">
        <f t="shared" ref="AC386:AC449" si="182">IF(AND(J386="متزوج(ة)ماكثة",K386=0),5.5,IF(AND(J386="متزوج(ة)ماكثة",K386&gt;0),800,0))</f>
        <v>0</v>
      </c>
      <c r="AD386" s="673"/>
      <c r="AE386" s="678">
        <f t="shared" si="171"/>
        <v>0</v>
      </c>
      <c r="AF386" s="678" t="e">
        <f t="shared" si="172"/>
        <v>#N/A</v>
      </c>
      <c r="AG386" s="678" t="e">
        <f t="shared" si="173"/>
        <v>#N/A</v>
      </c>
      <c r="AH386" s="673">
        <f t="shared" ref="AH386:AH449" si="183">IF(OR(G386="مدير ولائي",M386=0),0,IF(M386=1,2000))</f>
        <v>0</v>
      </c>
      <c r="AI386" s="674" t="e">
        <f>IF(G386="مدير ولائي",(11000*35%),LOOKUP(D386,'f-travail'!A:A,'f-travail'!I:I))</f>
        <v>#N/A</v>
      </c>
      <c r="AJ386" s="673" t="e">
        <f>IF(G386="مدير ولائي",((W386+X386)*45)*80%,IF(V386&lt;8,0,IF(F386="إليزي",(LOOKUP(D386,'f-travail'!A:A,'f-travail'!O:O))*(AF386+AG386),LOOKUP(D386,'f-travail'!A:A,'f-travail'!P:P)*(AF386+AG386))))</f>
        <v>#N/A</v>
      </c>
      <c r="AK386" s="673" t="e">
        <f>IF(G386="مدير ولائي",0,LOOKUP(D386,'f-travail'!A:A,'f-travail'!Q:Q))</f>
        <v>#N/A</v>
      </c>
      <c r="AL386" s="673" t="e">
        <f>IF(G386="مدير ولائي",0,LOOKUP(D386,'f-travail'!A:A,'f-travail'!R:R)*(AF386+AG386))</f>
        <v>#N/A</v>
      </c>
      <c r="AM386" s="673" t="e">
        <f>IF(G386="مدير ولائي",0,LOOKUP(D386,'f-travail'!A:A,'f-travail'!S:S)*(AF386+AG386))</f>
        <v>#N/A</v>
      </c>
      <c r="AN386" s="673" t="e">
        <f>IF(G386="مدير ولائي",0,LOOKUP(D386,'f-travail'!A:A,'f-travail'!T:T)*(AF386+AG386))</f>
        <v>#N/A</v>
      </c>
      <c r="AO386" s="673" t="e">
        <f>IF(G386="مدير ولائي",0,LOOKUP(D386,'f-travail'!A:A,'f-travail'!U:U)*(AF386+AG386))</f>
        <v>#N/A</v>
      </c>
      <c r="AP386" s="673" t="e">
        <f>IF(G386="مدير ولائي",0,LOOKUP(D386,'f-travail'!A:A,'f-travail'!V:V)*(AF386+AG386))</f>
        <v>#N/A</v>
      </c>
      <c r="AQ386" s="673" t="e">
        <f>IF(G386="مدير ولائي",0,LOOKUP(D386,'f-travail'!A:A,'f-travail'!W:W)*(AF386+AG386))</f>
        <v>#N/A</v>
      </c>
      <c r="AR386" s="673">
        <f t="shared" ref="AR386:AR449" si="184">IF(G386="أمين صندوق",4000,0)</f>
        <v>0</v>
      </c>
      <c r="AS386" s="673" t="e">
        <f>IF(G386="مدير ولائي",0,LOOKUP(D386,'f-travail'!A:A,'f-travail'!X:X)*(AF386+AG386))</f>
        <v>#N/A</v>
      </c>
      <c r="AT386" s="673" t="e">
        <f>IF(G386="مدير ولائي",0,LOOKUP(D386,'f-travail'!Y:Y,'f-travail'!R:R)*(AF386+AG386))</f>
        <v>#N/A</v>
      </c>
      <c r="AU386" s="673">
        <f t="shared" si="174"/>
        <v>0</v>
      </c>
      <c r="AV386" s="673">
        <f t="shared" si="175"/>
        <v>0</v>
      </c>
      <c r="AW386" s="673">
        <f t="shared" si="176"/>
        <v>0</v>
      </c>
      <c r="AY386" s="640" t="e">
        <f t="shared" ref="AY386:AY449" si="185">IF(Z386="ب 1",IF(OR(A386=0,A386=""),"",IF(OR(H386=0,I386=""),BO386,CONCATENATE(BO386," - ","د"," ",I386))),IF(OR(A386=0,A386=""),"",IF(OR(H386=0,H386=""),BO386,CONCATENATE(BO386," - ","د"," ",H386))))</f>
        <v>#N/A</v>
      </c>
      <c r="AZ386" s="673" t="e">
        <f t="shared" si="177"/>
        <v>#N/A</v>
      </c>
      <c r="BA386" s="639" t="e">
        <f t="shared" si="178"/>
        <v>#N/A</v>
      </c>
      <c r="BG386" s="639">
        <f t="shared" ref="BG386:BG449" si="186">IF(Z386="ب 1",ROUND((BA386-AE386-N386)*1%,2),0)</f>
        <v>0</v>
      </c>
      <c r="BH386" s="683">
        <f t="shared" ref="BH386:BH449" si="187">IF(AND(Z386="ب 1",P386=1),ROUND((BA386-AE386-N386)*1.5%,2),IF(P386=1,ROUND((BA386-AE386)*1.5%,2),0))</f>
        <v>0</v>
      </c>
      <c r="BI386" s="683">
        <f t="shared" ref="BI386:BI449" si="188">IF(O386=1,9523.81,0)</f>
        <v>0</v>
      </c>
      <c r="BJ386" s="641" t="e">
        <f t="shared" ref="BJ386:BJ449" si="189">IF(Z386="ب 1",ROUND((BA386-AE386-N386),2),ROUND((BA386-AE386),2))</f>
        <v>#N/A</v>
      </c>
      <c r="BK386" s="641" t="e">
        <f t="shared" ref="BK386:BK449" si="190">ROUND((BJ386*9%),2)</f>
        <v>#N/A</v>
      </c>
      <c r="BL386" s="641" t="e">
        <f t="shared" ref="BL386:BL449" si="191">IF(Z386="ب 1",ROUNDDOWN((BA386-BK386-AI386-N386),2),ROUNDDOWN((BA386-BK386-AI386-AH386),2))</f>
        <v>#N/A</v>
      </c>
      <c r="BM386" s="684" t="e">
        <f t="shared" ref="BM386:BM449" si="192">IF(Z386="ب 1",ROUND((29500+(BL386-120000)*35%)/2,2),(ROUND((IF((BL386&gt;1500),(IF(OR(BL386&gt;22500),IF(AND(BL386&gt;22500),(BL386-22500)*12%)+IF(AND(BL386&gt;28750),(BL386-28750)*8%)+IF(AND(BL386&gt;30000),(BL386-30000)*10%)+1500,IF(AND((BL386&gt;1500),(BL386&lt;=22500)),(BL386-15000)*20%))))/2),2)))</f>
        <v>#N/A</v>
      </c>
      <c r="BO386" s="682" t="e">
        <f>CONCATENATE(Z386," ",LOOKUP(D386,'f-travail'!A:A,'f-travail'!F:F))</f>
        <v>#N/A</v>
      </c>
      <c r="BP386" s="669" t="e">
        <f t="shared" si="179"/>
        <v>#N/A</v>
      </c>
    </row>
    <row r="387" spans="1:68">
      <c r="A387" s="636">
        <f t="shared" si="168"/>
        <v>386</v>
      </c>
      <c r="B387" s="637"/>
      <c r="C387" s="637"/>
      <c r="D387" s="652"/>
      <c r="E387" s="679" t="e">
        <f>LOOKUP(D387,'f-travail'!A:A,'f-travail'!B:B)</f>
        <v>#N/A</v>
      </c>
      <c r="F387" s="650"/>
      <c r="G387" s="650"/>
      <c r="H387" s="653"/>
      <c r="I387" s="653"/>
      <c r="J387" s="654"/>
      <c r="K387" s="650"/>
      <c r="L387" s="650"/>
      <c r="M387" s="650">
        <v>0</v>
      </c>
      <c r="N387" s="654"/>
      <c r="O387" s="654"/>
      <c r="P387" s="654"/>
      <c r="Q387" s="654"/>
      <c r="R387" s="676"/>
      <c r="S387" s="654"/>
      <c r="T387" s="675"/>
      <c r="U387" s="675"/>
      <c r="V387" s="670" t="e">
        <f>LOOKUP(D387,'f-travail'!A:A,'f-travail'!E:E)</f>
        <v>#N/A</v>
      </c>
      <c r="W387" s="670" t="e">
        <f>VLOOKUP(V387,جرقمإستدلالي,'f-travail'!$AD$4+1,FALSE)</f>
        <v>#N/A</v>
      </c>
      <c r="X387" s="671" t="e">
        <f t="shared" si="169"/>
        <v>#N/A</v>
      </c>
      <c r="Y387" s="671">
        <f>IF(G387="مدير ولائي",(HLOOKUP(I387,جدروظعليا,'f-travail'!$AT$3+1,FALSE)-3200),0)</f>
        <v>0</v>
      </c>
      <c r="Z387" s="672" t="str">
        <f t="shared" si="180"/>
        <v/>
      </c>
      <c r="AA387" s="671">
        <f t="shared" si="181"/>
        <v>0</v>
      </c>
      <c r="AB387" s="677" t="b">
        <f t="shared" si="170"/>
        <v>0</v>
      </c>
      <c r="AC387" s="678">
        <f t="shared" si="182"/>
        <v>0</v>
      </c>
      <c r="AD387" s="673"/>
      <c r="AE387" s="678">
        <f t="shared" si="171"/>
        <v>0</v>
      </c>
      <c r="AF387" s="678" t="e">
        <f t="shared" si="172"/>
        <v>#N/A</v>
      </c>
      <c r="AG387" s="678" t="e">
        <f t="shared" si="173"/>
        <v>#N/A</v>
      </c>
      <c r="AH387" s="673">
        <f t="shared" si="183"/>
        <v>0</v>
      </c>
      <c r="AI387" s="674" t="e">
        <f>IF(G387="مدير ولائي",(11000*35%),LOOKUP(D387,'f-travail'!A:A,'f-travail'!I:I))</f>
        <v>#N/A</v>
      </c>
      <c r="AJ387" s="673" t="e">
        <f>IF(G387="مدير ولائي",((W387+X387)*45)*80%,IF(V387&lt;8,0,IF(F387="إليزي",(LOOKUP(D387,'f-travail'!A:A,'f-travail'!O:O))*(AF387+AG387),LOOKUP(D387,'f-travail'!A:A,'f-travail'!P:P)*(AF387+AG387))))</f>
        <v>#N/A</v>
      </c>
      <c r="AK387" s="673" t="e">
        <f>IF(G387="مدير ولائي",0,LOOKUP(D387,'f-travail'!A:A,'f-travail'!Q:Q))</f>
        <v>#N/A</v>
      </c>
      <c r="AL387" s="673" t="e">
        <f>IF(G387="مدير ولائي",0,LOOKUP(D387,'f-travail'!A:A,'f-travail'!R:R)*(AF387+AG387))</f>
        <v>#N/A</v>
      </c>
      <c r="AM387" s="673" t="e">
        <f>IF(G387="مدير ولائي",0,LOOKUP(D387,'f-travail'!A:A,'f-travail'!S:S)*(AF387+AG387))</f>
        <v>#N/A</v>
      </c>
      <c r="AN387" s="673" t="e">
        <f>IF(G387="مدير ولائي",0,LOOKUP(D387,'f-travail'!A:A,'f-travail'!T:T)*(AF387+AG387))</f>
        <v>#N/A</v>
      </c>
      <c r="AO387" s="673" t="e">
        <f>IF(G387="مدير ولائي",0,LOOKUP(D387,'f-travail'!A:A,'f-travail'!U:U)*(AF387+AG387))</f>
        <v>#N/A</v>
      </c>
      <c r="AP387" s="673" t="e">
        <f>IF(G387="مدير ولائي",0,LOOKUP(D387,'f-travail'!A:A,'f-travail'!V:V)*(AF387+AG387))</f>
        <v>#N/A</v>
      </c>
      <c r="AQ387" s="673" t="e">
        <f>IF(G387="مدير ولائي",0,LOOKUP(D387,'f-travail'!A:A,'f-travail'!W:W)*(AF387+AG387))</f>
        <v>#N/A</v>
      </c>
      <c r="AR387" s="673">
        <f t="shared" si="184"/>
        <v>0</v>
      </c>
      <c r="AS387" s="673" t="e">
        <f>IF(G387="مدير ولائي",0,LOOKUP(D387,'f-travail'!A:A,'f-travail'!X:X)*(AF387+AG387))</f>
        <v>#N/A</v>
      </c>
      <c r="AT387" s="673" t="e">
        <f>IF(G387="مدير ولائي",0,LOOKUP(D387,'f-travail'!Y:Y,'f-travail'!R:R)*(AF387+AG387))</f>
        <v>#N/A</v>
      </c>
      <c r="AU387" s="673">
        <f t="shared" si="174"/>
        <v>0</v>
      </c>
      <c r="AV387" s="673">
        <f t="shared" si="175"/>
        <v>0</v>
      </c>
      <c r="AW387" s="673">
        <f t="shared" si="176"/>
        <v>0</v>
      </c>
      <c r="AY387" s="640" t="e">
        <f t="shared" si="185"/>
        <v>#N/A</v>
      </c>
      <c r="AZ387" s="673" t="e">
        <f t="shared" si="177"/>
        <v>#N/A</v>
      </c>
      <c r="BA387" s="639" t="e">
        <f t="shared" si="178"/>
        <v>#N/A</v>
      </c>
      <c r="BG387" s="639">
        <f t="shared" si="186"/>
        <v>0</v>
      </c>
      <c r="BH387" s="683">
        <f t="shared" si="187"/>
        <v>0</v>
      </c>
      <c r="BI387" s="683">
        <f t="shared" si="188"/>
        <v>0</v>
      </c>
      <c r="BJ387" s="641" t="e">
        <f t="shared" si="189"/>
        <v>#N/A</v>
      </c>
      <c r="BK387" s="641" t="e">
        <f t="shared" si="190"/>
        <v>#N/A</v>
      </c>
      <c r="BL387" s="641" t="e">
        <f t="shared" si="191"/>
        <v>#N/A</v>
      </c>
      <c r="BM387" s="684" t="e">
        <f t="shared" si="192"/>
        <v>#N/A</v>
      </c>
      <c r="BO387" s="682" t="e">
        <f>CONCATENATE(Z387," ",LOOKUP(D387,'f-travail'!A:A,'f-travail'!F:F))</f>
        <v>#N/A</v>
      </c>
      <c r="BP387" s="669" t="e">
        <f t="shared" si="179"/>
        <v>#N/A</v>
      </c>
    </row>
    <row r="388" spans="1:68">
      <c r="A388" s="636">
        <f t="shared" ref="A388:A451" si="193">A387+1</f>
        <v>387</v>
      </c>
      <c r="B388" s="637"/>
      <c r="C388" s="637"/>
      <c r="D388" s="652"/>
      <c r="E388" s="679" t="e">
        <f>LOOKUP(D388,'f-travail'!A:A,'f-travail'!B:B)</f>
        <v>#N/A</v>
      </c>
      <c r="F388" s="650"/>
      <c r="G388" s="650"/>
      <c r="H388" s="653"/>
      <c r="I388" s="653"/>
      <c r="J388" s="654"/>
      <c r="K388" s="650"/>
      <c r="L388" s="650"/>
      <c r="M388" s="650">
        <v>0</v>
      </c>
      <c r="N388" s="654"/>
      <c r="O388" s="654"/>
      <c r="P388" s="654"/>
      <c r="Q388" s="654"/>
      <c r="R388" s="676"/>
      <c r="S388" s="654"/>
      <c r="T388" s="675"/>
      <c r="U388" s="675"/>
      <c r="V388" s="670" t="e">
        <f>LOOKUP(D388,'f-travail'!A:A,'f-travail'!E:E)</f>
        <v>#N/A</v>
      </c>
      <c r="W388" s="670" t="e">
        <f>VLOOKUP(V388,جرقمإستدلالي,'f-travail'!$AD$4+1,FALSE)</f>
        <v>#N/A</v>
      </c>
      <c r="X388" s="671" t="e">
        <f t="shared" si="169"/>
        <v>#N/A</v>
      </c>
      <c r="Y388" s="671">
        <f>IF(G388="مدير ولائي",(HLOOKUP(I388,جدروظعليا,'f-travail'!$AT$3+1,FALSE)-3200),0)</f>
        <v>0</v>
      </c>
      <c r="Z388" s="672" t="str">
        <f t="shared" si="180"/>
        <v/>
      </c>
      <c r="AA388" s="671">
        <f t="shared" si="181"/>
        <v>0</v>
      </c>
      <c r="AB388" s="677" t="b">
        <f t="shared" si="170"/>
        <v>0</v>
      </c>
      <c r="AC388" s="678">
        <f t="shared" si="182"/>
        <v>0</v>
      </c>
      <c r="AD388" s="673"/>
      <c r="AE388" s="678">
        <f t="shared" si="171"/>
        <v>0</v>
      </c>
      <c r="AF388" s="678" t="e">
        <f t="shared" si="172"/>
        <v>#N/A</v>
      </c>
      <c r="AG388" s="678" t="e">
        <f t="shared" si="173"/>
        <v>#N/A</v>
      </c>
      <c r="AH388" s="673">
        <f t="shared" si="183"/>
        <v>0</v>
      </c>
      <c r="AI388" s="674" t="e">
        <f>IF(G388="مدير ولائي",(11000*35%),LOOKUP(D388,'f-travail'!A:A,'f-travail'!I:I))</f>
        <v>#N/A</v>
      </c>
      <c r="AJ388" s="673" t="e">
        <f>IF(G388="مدير ولائي",((W388+X388)*45)*80%,IF(V388&lt;8,0,IF(F388="إليزي",(LOOKUP(D388,'f-travail'!A:A,'f-travail'!O:O))*(AF388+AG388),LOOKUP(D388,'f-travail'!A:A,'f-travail'!P:P)*(AF388+AG388))))</f>
        <v>#N/A</v>
      </c>
      <c r="AK388" s="673" t="e">
        <f>IF(G388="مدير ولائي",0,LOOKUP(D388,'f-travail'!A:A,'f-travail'!Q:Q))</f>
        <v>#N/A</v>
      </c>
      <c r="AL388" s="673" t="e">
        <f>IF(G388="مدير ولائي",0,LOOKUP(D388,'f-travail'!A:A,'f-travail'!R:R)*(AF388+AG388))</f>
        <v>#N/A</v>
      </c>
      <c r="AM388" s="673" t="e">
        <f>IF(G388="مدير ولائي",0,LOOKUP(D388,'f-travail'!A:A,'f-travail'!S:S)*(AF388+AG388))</f>
        <v>#N/A</v>
      </c>
      <c r="AN388" s="673" t="e">
        <f>IF(G388="مدير ولائي",0,LOOKUP(D388,'f-travail'!A:A,'f-travail'!T:T)*(AF388+AG388))</f>
        <v>#N/A</v>
      </c>
      <c r="AO388" s="673" t="e">
        <f>IF(G388="مدير ولائي",0,LOOKUP(D388,'f-travail'!A:A,'f-travail'!U:U)*(AF388+AG388))</f>
        <v>#N/A</v>
      </c>
      <c r="AP388" s="673" t="e">
        <f>IF(G388="مدير ولائي",0,LOOKUP(D388,'f-travail'!A:A,'f-travail'!V:V)*(AF388+AG388))</f>
        <v>#N/A</v>
      </c>
      <c r="AQ388" s="673" t="e">
        <f>IF(G388="مدير ولائي",0,LOOKUP(D388,'f-travail'!A:A,'f-travail'!W:W)*(AF388+AG388))</f>
        <v>#N/A</v>
      </c>
      <c r="AR388" s="673">
        <f t="shared" si="184"/>
        <v>0</v>
      </c>
      <c r="AS388" s="673" t="e">
        <f>IF(G388="مدير ولائي",0,LOOKUP(D388,'f-travail'!A:A,'f-travail'!X:X)*(AF388+AG388))</f>
        <v>#N/A</v>
      </c>
      <c r="AT388" s="673" t="e">
        <f>IF(G388="مدير ولائي",0,LOOKUP(D388,'f-travail'!Y:Y,'f-travail'!R:R)*(AF388+AG388))</f>
        <v>#N/A</v>
      </c>
      <c r="AU388" s="673">
        <f t="shared" si="174"/>
        <v>0</v>
      </c>
      <c r="AV388" s="673">
        <f t="shared" si="175"/>
        <v>0</v>
      </c>
      <c r="AW388" s="673">
        <f t="shared" si="176"/>
        <v>0</v>
      </c>
      <c r="AY388" s="640" t="e">
        <f t="shared" si="185"/>
        <v>#N/A</v>
      </c>
      <c r="AZ388" s="673" t="e">
        <f t="shared" si="177"/>
        <v>#N/A</v>
      </c>
      <c r="BA388" s="639" t="e">
        <f t="shared" si="178"/>
        <v>#N/A</v>
      </c>
      <c r="BG388" s="639">
        <f t="shared" si="186"/>
        <v>0</v>
      </c>
      <c r="BH388" s="683">
        <f t="shared" si="187"/>
        <v>0</v>
      </c>
      <c r="BI388" s="683">
        <f t="shared" si="188"/>
        <v>0</v>
      </c>
      <c r="BJ388" s="641" t="e">
        <f t="shared" si="189"/>
        <v>#N/A</v>
      </c>
      <c r="BK388" s="641" t="e">
        <f t="shared" si="190"/>
        <v>#N/A</v>
      </c>
      <c r="BL388" s="641" t="e">
        <f t="shared" si="191"/>
        <v>#N/A</v>
      </c>
      <c r="BM388" s="684" t="e">
        <f t="shared" si="192"/>
        <v>#N/A</v>
      </c>
      <c r="BO388" s="682" t="e">
        <f>CONCATENATE(Z388," ",LOOKUP(D388,'f-travail'!A:A,'f-travail'!F:F))</f>
        <v>#N/A</v>
      </c>
      <c r="BP388" s="669" t="e">
        <f t="shared" si="179"/>
        <v>#N/A</v>
      </c>
    </row>
    <row r="389" spans="1:68">
      <c r="A389" s="636">
        <f t="shared" si="193"/>
        <v>388</v>
      </c>
      <c r="B389" s="637"/>
      <c r="C389" s="637"/>
      <c r="D389" s="652"/>
      <c r="E389" s="679" t="e">
        <f>LOOKUP(D389,'f-travail'!A:A,'f-travail'!B:B)</f>
        <v>#N/A</v>
      </c>
      <c r="F389" s="650"/>
      <c r="G389" s="650"/>
      <c r="H389" s="653"/>
      <c r="I389" s="653"/>
      <c r="J389" s="654"/>
      <c r="K389" s="650"/>
      <c r="L389" s="650"/>
      <c r="M389" s="650">
        <v>0</v>
      </c>
      <c r="N389" s="654"/>
      <c r="O389" s="654"/>
      <c r="P389" s="654"/>
      <c r="Q389" s="654"/>
      <c r="R389" s="676"/>
      <c r="S389" s="654"/>
      <c r="T389" s="675"/>
      <c r="U389" s="675"/>
      <c r="V389" s="670" t="e">
        <f>LOOKUP(D389,'f-travail'!A:A,'f-travail'!E:E)</f>
        <v>#N/A</v>
      </c>
      <c r="W389" s="670" t="e">
        <f>VLOOKUP(V389,جرقمإستدلالي,'f-travail'!$AD$4+1,FALSE)</f>
        <v>#N/A</v>
      </c>
      <c r="X389" s="671" t="e">
        <f t="shared" si="169"/>
        <v>#N/A</v>
      </c>
      <c r="Y389" s="671">
        <f>IF(G389="مدير ولائي",(HLOOKUP(I389,جدروظعليا,'f-travail'!$AT$3+1,FALSE)-3200),0)</f>
        <v>0</v>
      </c>
      <c r="Z389" s="672" t="str">
        <f t="shared" si="180"/>
        <v/>
      </c>
      <c r="AA389" s="671">
        <f t="shared" si="181"/>
        <v>0</v>
      </c>
      <c r="AB389" s="677" t="b">
        <f t="shared" si="170"/>
        <v>0</v>
      </c>
      <c r="AC389" s="678">
        <f t="shared" si="182"/>
        <v>0</v>
      </c>
      <c r="AD389" s="673"/>
      <c r="AE389" s="678">
        <f t="shared" si="171"/>
        <v>0</v>
      </c>
      <c r="AF389" s="678" t="e">
        <f t="shared" si="172"/>
        <v>#N/A</v>
      </c>
      <c r="AG389" s="678" t="e">
        <f t="shared" si="173"/>
        <v>#N/A</v>
      </c>
      <c r="AH389" s="673">
        <f t="shared" si="183"/>
        <v>0</v>
      </c>
      <c r="AI389" s="674" t="e">
        <f>IF(G389="مدير ولائي",(11000*35%),LOOKUP(D389,'f-travail'!A:A,'f-travail'!I:I))</f>
        <v>#N/A</v>
      </c>
      <c r="AJ389" s="673" t="e">
        <f>IF(G389="مدير ولائي",((W389+X389)*45)*80%,IF(V389&lt;8,0,IF(F389="إليزي",(LOOKUP(D389,'f-travail'!A:A,'f-travail'!O:O))*(AF389+AG389),LOOKUP(D389,'f-travail'!A:A,'f-travail'!P:P)*(AF389+AG389))))</f>
        <v>#N/A</v>
      </c>
      <c r="AK389" s="673" t="e">
        <f>IF(G389="مدير ولائي",0,LOOKUP(D389,'f-travail'!A:A,'f-travail'!Q:Q))</f>
        <v>#N/A</v>
      </c>
      <c r="AL389" s="673" t="e">
        <f>IF(G389="مدير ولائي",0,LOOKUP(D389,'f-travail'!A:A,'f-travail'!R:R)*(AF389+AG389))</f>
        <v>#N/A</v>
      </c>
      <c r="AM389" s="673" t="e">
        <f>IF(G389="مدير ولائي",0,LOOKUP(D389,'f-travail'!A:A,'f-travail'!S:S)*(AF389+AG389))</f>
        <v>#N/A</v>
      </c>
      <c r="AN389" s="673" t="e">
        <f>IF(G389="مدير ولائي",0,LOOKUP(D389,'f-travail'!A:A,'f-travail'!T:T)*(AF389+AG389))</f>
        <v>#N/A</v>
      </c>
      <c r="AO389" s="673" t="e">
        <f>IF(G389="مدير ولائي",0,LOOKUP(D389,'f-travail'!A:A,'f-travail'!U:U)*(AF389+AG389))</f>
        <v>#N/A</v>
      </c>
      <c r="AP389" s="673" t="e">
        <f>IF(G389="مدير ولائي",0,LOOKUP(D389,'f-travail'!A:A,'f-travail'!V:V)*(AF389+AG389))</f>
        <v>#N/A</v>
      </c>
      <c r="AQ389" s="673" t="e">
        <f>IF(G389="مدير ولائي",0,LOOKUP(D389,'f-travail'!A:A,'f-travail'!W:W)*(AF389+AG389))</f>
        <v>#N/A</v>
      </c>
      <c r="AR389" s="673">
        <f t="shared" si="184"/>
        <v>0</v>
      </c>
      <c r="AS389" s="673" t="e">
        <f>IF(G389="مدير ولائي",0,LOOKUP(D389,'f-travail'!A:A,'f-travail'!X:X)*(AF389+AG389))</f>
        <v>#N/A</v>
      </c>
      <c r="AT389" s="673" t="e">
        <f>IF(G389="مدير ولائي",0,LOOKUP(D389,'f-travail'!Y:Y,'f-travail'!R:R)*(AF389+AG389))</f>
        <v>#N/A</v>
      </c>
      <c r="AU389" s="673">
        <f t="shared" si="174"/>
        <v>0</v>
      </c>
      <c r="AV389" s="673">
        <f t="shared" si="175"/>
        <v>0</v>
      </c>
      <c r="AW389" s="673">
        <f t="shared" si="176"/>
        <v>0</v>
      </c>
      <c r="AY389" s="640" t="e">
        <f t="shared" si="185"/>
        <v>#N/A</v>
      </c>
      <c r="AZ389" s="673" t="e">
        <f t="shared" si="177"/>
        <v>#N/A</v>
      </c>
      <c r="BA389" s="639" t="e">
        <f t="shared" si="178"/>
        <v>#N/A</v>
      </c>
      <c r="BG389" s="639">
        <f t="shared" si="186"/>
        <v>0</v>
      </c>
      <c r="BH389" s="683">
        <f t="shared" si="187"/>
        <v>0</v>
      </c>
      <c r="BI389" s="683">
        <f t="shared" si="188"/>
        <v>0</v>
      </c>
      <c r="BJ389" s="641" t="e">
        <f t="shared" si="189"/>
        <v>#N/A</v>
      </c>
      <c r="BK389" s="641" t="e">
        <f t="shared" si="190"/>
        <v>#N/A</v>
      </c>
      <c r="BL389" s="641" t="e">
        <f t="shared" si="191"/>
        <v>#N/A</v>
      </c>
      <c r="BM389" s="684" t="e">
        <f t="shared" si="192"/>
        <v>#N/A</v>
      </c>
      <c r="BO389" s="682" t="e">
        <f>CONCATENATE(Z389," ",LOOKUP(D389,'f-travail'!A:A,'f-travail'!F:F))</f>
        <v>#N/A</v>
      </c>
      <c r="BP389" s="669" t="e">
        <f t="shared" si="179"/>
        <v>#N/A</v>
      </c>
    </row>
    <row r="390" spans="1:68">
      <c r="A390" s="636">
        <f t="shared" si="193"/>
        <v>389</v>
      </c>
      <c r="B390" s="637"/>
      <c r="C390" s="637"/>
      <c r="D390" s="652"/>
      <c r="E390" s="679" t="e">
        <f>LOOKUP(D390,'f-travail'!A:A,'f-travail'!B:B)</f>
        <v>#N/A</v>
      </c>
      <c r="F390" s="650"/>
      <c r="G390" s="650"/>
      <c r="H390" s="653"/>
      <c r="I390" s="653"/>
      <c r="J390" s="654"/>
      <c r="K390" s="650"/>
      <c r="L390" s="650"/>
      <c r="M390" s="650">
        <v>0</v>
      </c>
      <c r="N390" s="654"/>
      <c r="O390" s="654"/>
      <c r="P390" s="654"/>
      <c r="Q390" s="654"/>
      <c r="R390" s="676"/>
      <c r="S390" s="654"/>
      <c r="T390" s="675"/>
      <c r="U390" s="675"/>
      <c r="V390" s="670" t="e">
        <f>LOOKUP(D390,'f-travail'!A:A,'f-travail'!E:E)</f>
        <v>#N/A</v>
      </c>
      <c r="W390" s="670" t="e">
        <f>VLOOKUP(V390,جرقمإستدلالي,'f-travail'!$AD$4+1,FALSE)</f>
        <v>#N/A</v>
      </c>
      <c r="X390" s="671" t="e">
        <f t="shared" si="169"/>
        <v>#N/A</v>
      </c>
      <c r="Y390" s="671">
        <f>IF(G390="مدير ولائي",(HLOOKUP(I390,جدروظعليا,'f-travail'!$AT$3+1,FALSE)-3200),0)</f>
        <v>0</v>
      </c>
      <c r="Z390" s="672" t="str">
        <f t="shared" si="180"/>
        <v/>
      </c>
      <c r="AA390" s="671">
        <f t="shared" si="181"/>
        <v>0</v>
      </c>
      <c r="AB390" s="677" t="b">
        <f t="shared" si="170"/>
        <v>0</v>
      </c>
      <c r="AC390" s="678">
        <f t="shared" si="182"/>
        <v>0</v>
      </c>
      <c r="AD390" s="673"/>
      <c r="AE390" s="678">
        <f t="shared" si="171"/>
        <v>0</v>
      </c>
      <c r="AF390" s="678" t="e">
        <f t="shared" si="172"/>
        <v>#N/A</v>
      </c>
      <c r="AG390" s="678" t="e">
        <f t="shared" si="173"/>
        <v>#N/A</v>
      </c>
      <c r="AH390" s="673">
        <f t="shared" si="183"/>
        <v>0</v>
      </c>
      <c r="AI390" s="674" t="e">
        <f>IF(G390="مدير ولائي",(11000*35%),LOOKUP(D390,'f-travail'!A:A,'f-travail'!I:I))</f>
        <v>#N/A</v>
      </c>
      <c r="AJ390" s="673" t="e">
        <f>IF(G390="مدير ولائي",((W390+X390)*45)*80%,IF(V390&lt;8,0,IF(F390="إليزي",(LOOKUP(D390,'f-travail'!A:A,'f-travail'!O:O))*(AF390+AG390),LOOKUP(D390,'f-travail'!A:A,'f-travail'!P:P)*(AF390+AG390))))</f>
        <v>#N/A</v>
      </c>
      <c r="AK390" s="673" t="e">
        <f>IF(G390="مدير ولائي",0,LOOKUP(D390,'f-travail'!A:A,'f-travail'!Q:Q))</f>
        <v>#N/A</v>
      </c>
      <c r="AL390" s="673" t="e">
        <f>IF(G390="مدير ولائي",0,LOOKUP(D390,'f-travail'!A:A,'f-travail'!R:R)*(AF390+AG390))</f>
        <v>#N/A</v>
      </c>
      <c r="AM390" s="673" t="e">
        <f>IF(G390="مدير ولائي",0,LOOKUP(D390,'f-travail'!A:A,'f-travail'!S:S)*(AF390+AG390))</f>
        <v>#N/A</v>
      </c>
      <c r="AN390" s="673" t="e">
        <f>IF(G390="مدير ولائي",0,LOOKUP(D390,'f-travail'!A:A,'f-travail'!T:T)*(AF390+AG390))</f>
        <v>#N/A</v>
      </c>
      <c r="AO390" s="673" t="e">
        <f>IF(G390="مدير ولائي",0,LOOKUP(D390,'f-travail'!A:A,'f-travail'!U:U)*(AF390+AG390))</f>
        <v>#N/A</v>
      </c>
      <c r="AP390" s="673" t="e">
        <f>IF(G390="مدير ولائي",0,LOOKUP(D390,'f-travail'!A:A,'f-travail'!V:V)*(AF390+AG390))</f>
        <v>#N/A</v>
      </c>
      <c r="AQ390" s="673" t="e">
        <f>IF(G390="مدير ولائي",0,LOOKUP(D390,'f-travail'!A:A,'f-travail'!W:W)*(AF390+AG390))</f>
        <v>#N/A</v>
      </c>
      <c r="AR390" s="673">
        <f t="shared" si="184"/>
        <v>0</v>
      </c>
      <c r="AS390" s="673" t="e">
        <f>IF(G390="مدير ولائي",0,LOOKUP(D390,'f-travail'!A:A,'f-travail'!X:X)*(AF390+AG390))</f>
        <v>#N/A</v>
      </c>
      <c r="AT390" s="673" t="e">
        <f>IF(G390="مدير ولائي",0,LOOKUP(D390,'f-travail'!Y:Y,'f-travail'!R:R)*(AF390+AG390))</f>
        <v>#N/A</v>
      </c>
      <c r="AU390" s="673">
        <f t="shared" si="174"/>
        <v>0</v>
      </c>
      <c r="AV390" s="673">
        <f t="shared" si="175"/>
        <v>0</v>
      </c>
      <c r="AW390" s="673">
        <f t="shared" si="176"/>
        <v>0</v>
      </c>
      <c r="AY390" s="640" t="e">
        <f t="shared" si="185"/>
        <v>#N/A</v>
      </c>
      <c r="AZ390" s="673" t="e">
        <f t="shared" si="177"/>
        <v>#N/A</v>
      </c>
      <c r="BA390" s="639" t="e">
        <f t="shared" si="178"/>
        <v>#N/A</v>
      </c>
      <c r="BG390" s="639">
        <f t="shared" si="186"/>
        <v>0</v>
      </c>
      <c r="BH390" s="683">
        <f t="shared" si="187"/>
        <v>0</v>
      </c>
      <c r="BI390" s="683">
        <f t="shared" si="188"/>
        <v>0</v>
      </c>
      <c r="BJ390" s="641" t="e">
        <f t="shared" si="189"/>
        <v>#N/A</v>
      </c>
      <c r="BK390" s="641" t="e">
        <f t="shared" si="190"/>
        <v>#N/A</v>
      </c>
      <c r="BL390" s="641" t="e">
        <f t="shared" si="191"/>
        <v>#N/A</v>
      </c>
      <c r="BM390" s="684" t="e">
        <f t="shared" si="192"/>
        <v>#N/A</v>
      </c>
      <c r="BO390" s="682" t="e">
        <f>CONCATENATE(Z390," ",LOOKUP(D390,'f-travail'!A:A,'f-travail'!F:F))</f>
        <v>#N/A</v>
      </c>
      <c r="BP390" s="669" t="e">
        <f t="shared" si="179"/>
        <v>#N/A</v>
      </c>
    </row>
    <row r="391" spans="1:68">
      <c r="A391" s="636">
        <f t="shared" si="193"/>
        <v>390</v>
      </c>
      <c r="B391" s="637"/>
      <c r="C391" s="637"/>
      <c r="D391" s="652"/>
      <c r="E391" s="679" t="e">
        <f>LOOKUP(D391,'f-travail'!A:A,'f-travail'!B:B)</f>
        <v>#N/A</v>
      </c>
      <c r="F391" s="650"/>
      <c r="G391" s="650"/>
      <c r="H391" s="653"/>
      <c r="I391" s="653"/>
      <c r="J391" s="654"/>
      <c r="K391" s="650"/>
      <c r="L391" s="650"/>
      <c r="M391" s="650">
        <v>0</v>
      </c>
      <c r="N391" s="654"/>
      <c r="O391" s="654"/>
      <c r="P391" s="654"/>
      <c r="Q391" s="654"/>
      <c r="R391" s="676"/>
      <c r="S391" s="654"/>
      <c r="T391" s="675"/>
      <c r="U391" s="675"/>
      <c r="V391" s="670" t="e">
        <f>LOOKUP(D391,'f-travail'!A:A,'f-travail'!E:E)</f>
        <v>#N/A</v>
      </c>
      <c r="W391" s="670" t="e">
        <f>VLOOKUP(V391,جرقمإستدلالي,'f-travail'!$AD$4+1,FALSE)</f>
        <v>#N/A</v>
      </c>
      <c r="X391" s="671" t="e">
        <f t="shared" si="169"/>
        <v>#N/A</v>
      </c>
      <c r="Y391" s="671">
        <f>IF(G391="مدير ولائي",(HLOOKUP(I391,جدروظعليا,'f-travail'!$AT$3+1,FALSE)-3200),0)</f>
        <v>0</v>
      </c>
      <c r="Z391" s="672" t="str">
        <f t="shared" si="180"/>
        <v/>
      </c>
      <c r="AA391" s="671">
        <f t="shared" si="181"/>
        <v>0</v>
      </c>
      <c r="AB391" s="677" t="b">
        <f t="shared" si="170"/>
        <v>0</v>
      </c>
      <c r="AC391" s="678">
        <f t="shared" si="182"/>
        <v>0</v>
      </c>
      <c r="AD391" s="673"/>
      <c r="AE391" s="678">
        <f t="shared" si="171"/>
        <v>0</v>
      </c>
      <c r="AF391" s="678" t="e">
        <f t="shared" si="172"/>
        <v>#N/A</v>
      </c>
      <c r="AG391" s="678" t="e">
        <f t="shared" si="173"/>
        <v>#N/A</v>
      </c>
      <c r="AH391" s="673">
        <f t="shared" si="183"/>
        <v>0</v>
      </c>
      <c r="AI391" s="674" t="e">
        <f>IF(G391="مدير ولائي",(11000*35%),LOOKUP(D391,'f-travail'!A:A,'f-travail'!I:I))</f>
        <v>#N/A</v>
      </c>
      <c r="AJ391" s="673" t="e">
        <f>IF(G391="مدير ولائي",((W391+X391)*45)*80%,IF(V391&lt;8,0,IF(F391="إليزي",(LOOKUP(D391,'f-travail'!A:A,'f-travail'!O:O))*(AF391+AG391),LOOKUP(D391,'f-travail'!A:A,'f-travail'!P:P)*(AF391+AG391))))</f>
        <v>#N/A</v>
      </c>
      <c r="AK391" s="673" t="e">
        <f>IF(G391="مدير ولائي",0,LOOKUP(D391,'f-travail'!A:A,'f-travail'!Q:Q))</f>
        <v>#N/A</v>
      </c>
      <c r="AL391" s="673" t="e">
        <f>IF(G391="مدير ولائي",0,LOOKUP(D391,'f-travail'!A:A,'f-travail'!R:R)*(AF391+AG391))</f>
        <v>#N/A</v>
      </c>
      <c r="AM391" s="673" t="e">
        <f>IF(G391="مدير ولائي",0,LOOKUP(D391,'f-travail'!A:A,'f-travail'!S:S)*(AF391+AG391))</f>
        <v>#N/A</v>
      </c>
      <c r="AN391" s="673" t="e">
        <f>IF(G391="مدير ولائي",0,LOOKUP(D391,'f-travail'!A:A,'f-travail'!T:T)*(AF391+AG391))</f>
        <v>#N/A</v>
      </c>
      <c r="AO391" s="673" t="e">
        <f>IF(G391="مدير ولائي",0,LOOKUP(D391,'f-travail'!A:A,'f-travail'!U:U)*(AF391+AG391))</f>
        <v>#N/A</v>
      </c>
      <c r="AP391" s="673" t="e">
        <f>IF(G391="مدير ولائي",0,LOOKUP(D391,'f-travail'!A:A,'f-travail'!V:V)*(AF391+AG391))</f>
        <v>#N/A</v>
      </c>
      <c r="AQ391" s="673" t="e">
        <f>IF(G391="مدير ولائي",0,LOOKUP(D391,'f-travail'!A:A,'f-travail'!W:W)*(AF391+AG391))</f>
        <v>#N/A</v>
      </c>
      <c r="AR391" s="673">
        <f t="shared" si="184"/>
        <v>0</v>
      </c>
      <c r="AS391" s="673" t="e">
        <f>IF(G391="مدير ولائي",0,LOOKUP(D391,'f-travail'!A:A,'f-travail'!X:X)*(AF391+AG391))</f>
        <v>#N/A</v>
      </c>
      <c r="AT391" s="673" t="e">
        <f>IF(G391="مدير ولائي",0,LOOKUP(D391,'f-travail'!Y:Y,'f-travail'!R:R)*(AF391+AG391))</f>
        <v>#N/A</v>
      </c>
      <c r="AU391" s="673">
        <f t="shared" si="174"/>
        <v>0</v>
      </c>
      <c r="AV391" s="673">
        <f t="shared" si="175"/>
        <v>0</v>
      </c>
      <c r="AW391" s="673">
        <f t="shared" si="176"/>
        <v>0</v>
      </c>
      <c r="AY391" s="640" t="e">
        <f t="shared" si="185"/>
        <v>#N/A</v>
      </c>
      <c r="AZ391" s="673" t="e">
        <f t="shared" si="177"/>
        <v>#N/A</v>
      </c>
      <c r="BA391" s="639" t="e">
        <f t="shared" si="178"/>
        <v>#N/A</v>
      </c>
      <c r="BG391" s="639">
        <f t="shared" si="186"/>
        <v>0</v>
      </c>
      <c r="BH391" s="683">
        <f t="shared" si="187"/>
        <v>0</v>
      </c>
      <c r="BI391" s="683">
        <f t="shared" si="188"/>
        <v>0</v>
      </c>
      <c r="BJ391" s="641" t="e">
        <f t="shared" si="189"/>
        <v>#N/A</v>
      </c>
      <c r="BK391" s="641" t="e">
        <f t="shared" si="190"/>
        <v>#N/A</v>
      </c>
      <c r="BL391" s="641" t="e">
        <f t="shared" si="191"/>
        <v>#N/A</v>
      </c>
      <c r="BM391" s="684" t="e">
        <f t="shared" si="192"/>
        <v>#N/A</v>
      </c>
      <c r="BO391" s="682" t="e">
        <f>CONCATENATE(Z391," ",LOOKUP(D391,'f-travail'!A:A,'f-travail'!F:F))</f>
        <v>#N/A</v>
      </c>
      <c r="BP391" s="669" t="e">
        <f t="shared" si="179"/>
        <v>#N/A</v>
      </c>
    </row>
    <row r="392" spans="1:68">
      <c r="A392" s="636">
        <f t="shared" si="193"/>
        <v>391</v>
      </c>
      <c r="B392" s="637"/>
      <c r="C392" s="637"/>
      <c r="D392" s="652"/>
      <c r="E392" s="679" t="e">
        <f>LOOKUP(D392,'f-travail'!A:A,'f-travail'!B:B)</f>
        <v>#N/A</v>
      </c>
      <c r="F392" s="650"/>
      <c r="G392" s="650"/>
      <c r="H392" s="653"/>
      <c r="I392" s="653"/>
      <c r="J392" s="654"/>
      <c r="K392" s="650"/>
      <c r="L392" s="650"/>
      <c r="M392" s="650">
        <v>0</v>
      </c>
      <c r="N392" s="654"/>
      <c r="O392" s="654"/>
      <c r="P392" s="654"/>
      <c r="Q392" s="654"/>
      <c r="R392" s="676"/>
      <c r="S392" s="654"/>
      <c r="T392" s="675"/>
      <c r="U392" s="675"/>
      <c r="V392" s="670" t="e">
        <f>LOOKUP(D392,'f-travail'!A:A,'f-travail'!E:E)</f>
        <v>#N/A</v>
      </c>
      <c r="W392" s="670" t="e">
        <f>VLOOKUP(V392,جرقمإستدلالي,'f-travail'!$AD$4+1,FALSE)</f>
        <v>#N/A</v>
      </c>
      <c r="X392" s="671" t="e">
        <f t="shared" si="169"/>
        <v>#N/A</v>
      </c>
      <c r="Y392" s="671">
        <f>IF(G392="مدير ولائي",(HLOOKUP(I392,جدروظعليا,'f-travail'!$AT$3+1,FALSE)-3200),0)</f>
        <v>0</v>
      </c>
      <c r="Z392" s="672" t="str">
        <f t="shared" si="180"/>
        <v/>
      </c>
      <c r="AA392" s="671">
        <f t="shared" si="181"/>
        <v>0</v>
      </c>
      <c r="AB392" s="677" t="b">
        <f t="shared" si="170"/>
        <v>0</v>
      </c>
      <c r="AC392" s="678">
        <f t="shared" si="182"/>
        <v>0</v>
      </c>
      <c r="AD392" s="673"/>
      <c r="AE392" s="678">
        <f t="shared" si="171"/>
        <v>0</v>
      </c>
      <c r="AF392" s="678" t="e">
        <f t="shared" si="172"/>
        <v>#N/A</v>
      </c>
      <c r="AG392" s="678" t="e">
        <f t="shared" si="173"/>
        <v>#N/A</v>
      </c>
      <c r="AH392" s="673">
        <f t="shared" si="183"/>
        <v>0</v>
      </c>
      <c r="AI392" s="674" t="e">
        <f>IF(G392="مدير ولائي",(11000*35%),LOOKUP(D392,'f-travail'!A:A,'f-travail'!I:I))</f>
        <v>#N/A</v>
      </c>
      <c r="AJ392" s="673" t="e">
        <f>IF(G392="مدير ولائي",((W392+X392)*45)*80%,IF(V392&lt;8,0,IF(F392="إليزي",(LOOKUP(D392,'f-travail'!A:A,'f-travail'!O:O))*(AF392+AG392),LOOKUP(D392,'f-travail'!A:A,'f-travail'!P:P)*(AF392+AG392))))</f>
        <v>#N/A</v>
      </c>
      <c r="AK392" s="673" t="e">
        <f>IF(G392="مدير ولائي",0,LOOKUP(D392,'f-travail'!A:A,'f-travail'!Q:Q))</f>
        <v>#N/A</v>
      </c>
      <c r="AL392" s="673" t="e">
        <f>IF(G392="مدير ولائي",0,LOOKUP(D392,'f-travail'!A:A,'f-travail'!R:R)*(AF392+AG392))</f>
        <v>#N/A</v>
      </c>
      <c r="AM392" s="673" t="e">
        <f>IF(G392="مدير ولائي",0,LOOKUP(D392,'f-travail'!A:A,'f-travail'!S:S)*(AF392+AG392))</f>
        <v>#N/A</v>
      </c>
      <c r="AN392" s="673" t="e">
        <f>IF(G392="مدير ولائي",0,LOOKUP(D392,'f-travail'!A:A,'f-travail'!T:T)*(AF392+AG392))</f>
        <v>#N/A</v>
      </c>
      <c r="AO392" s="673" t="e">
        <f>IF(G392="مدير ولائي",0,LOOKUP(D392,'f-travail'!A:A,'f-travail'!U:U)*(AF392+AG392))</f>
        <v>#N/A</v>
      </c>
      <c r="AP392" s="673" t="e">
        <f>IF(G392="مدير ولائي",0,LOOKUP(D392,'f-travail'!A:A,'f-travail'!V:V)*(AF392+AG392))</f>
        <v>#N/A</v>
      </c>
      <c r="AQ392" s="673" t="e">
        <f>IF(G392="مدير ولائي",0,LOOKUP(D392,'f-travail'!A:A,'f-travail'!W:W)*(AF392+AG392))</f>
        <v>#N/A</v>
      </c>
      <c r="AR392" s="673">
        <f t="shared" si="184"/>
        <v>0</v>
      </c>
      <c r="AS392" s="673" t="e">
        <f>IF(G392="مدير ولائي",0,LOOKUP(D392,'f-travail'!A:A,'f-travail'!X:X)*(AF392+AG392))</f>
        <v>#N/A</v>
      </c>
      <c r="AT392" s="673" t="e">
        <f>IF(G392="مدير ولائي",0,LOOKUP(D392,'f-travail'!Y:Y,'f-travail'!R:R)*(AF392+AG392))</f>
        <v>#N/A</v>
      </c>
      <c r="AU392" s="673">
        <f t="shared" si="174"/>
        <v>0</v>
      </c>
      <c r="AV392" s="673">
        <f t="shared" si="175"/>
        <v>0</v>
      </c>
      <c r="AW392" s="673">
        <f t="shared" si="176"/>
        <v>0</v>
      </c>
      <c r="AY392" s="640" t="e">
        <f t="shared" si="185"/>
        <v>#N/A</v>
      </c>
      <c r="AZ392" s="673" t="e">
        <f t="shared" si="177"/>
        <v>#N/A</v>
      </c>
      <c r="BA392" s="639" t="e">
        <f t="shared" si="178"/>
        <v>#N/A</v>
      </c>
      <c r="BG392" s="639">
        <f t="shared" si="186"/>
        <v>0</v>
      </c>
      <c r="BH392" s="683">
        <f t="shared" si="187"/>
        <v>0</v>
      </c>
      <c r="BI392" s="683">
        <f t="shared" si="188"/>
        <v>0</v>
      </c>
      <c r="BJ392" s="641" t="e">
        <f t="shared" si="189"/>
        <v>#N/A</v>
      </c>
      <c r="BK392" s="641" t="e">
        <f t="shared" si="190"/>
        <v>#N/A</v>
      </c>
      <c r="BL392" s="641" t="e">
        <f t="shared" si="191"/>
        <v>#N/A</v>
      </c>
      <c r="BM392" s="684" t="e">
        <f t="shared" si="192"/>
        <v>#N/A</v>
      </c>
      <c r="BO392" s="682" t="e">
        <f>CONCATENATE(Z392," ",LOOKUP(D392,'f-travail'!A:A,'f-travail'!F:F))</f>
        <v>#N/A</v>
      </c>
      <c r="BP392" s="669" t="e">
        <f t="shared" si="179"/>
        <v>#N/A</v>
      </c>
    </row>
    <row r="393" spans="1:68">
      <c r="A393" s="636">
        <f t="shared" si="193"/>
        <v>392</v>
      </c>
      <c r="B393" s="637"/>
      <c r="C393" s="637"/>
      <c r="D393" s="652"/>
      <c r="E393" s="679" t="e">
        <f>LOOKUP(D393,'f-travail'!A:A,'f-travail'!B:B)</f>
        <v>#N/A</v>
      </c>
      <c r="F393" s="650"/>
      <c r="G393" s="650"/>
      <c r="H393" s="653"/>
      <c r="I393" s="653"/>
      <c r="J393" s="654"/>
      <c r="K393" s="650"/>
      <c r="L393" s="650"/>
      <c r="M393" s="650">
        <v>0</v>
      </c>
      <c r="N393" s="654"/>
      <c r="O393" s="654"/>
      <c r="P393" s="654"/>
      <c r="Q393" s="654"/>
      <c r="R393" s="676"/>
      <c r="S393" s="654"/>
      <c r="T393" s="675"/>
      <c r="U393" s="675"/>
      <c r="V393" s="670" t="e">
        <f>LOOKUP(D393,'f-travail'!A:A,'f-travail'!E:E)</f>
        <v>#N/A</v>
      </c>
      <c r="W393" s="670" t="e">
        <f>VLOOKUP(V393,جرقمإستدلالي,'f-travail'!$AD$4+1,FALSE)</f>
        <v>#N/A</v>
      </c>
      <c r="X393" s="671" t="e">
        <f t="shared" si="169"/>
        <v>#N/A</v>
      </c>
      <c r="Y393" s="671">
        <f>IF(G393="مدير ولائي",(HLOOKUP(I393,جدروظعليا,'f-travail'!$AT$3+1,FALSE)-3200),0)</f>
        <v>0</v>
      </c>
      <c r="Z393" s="672" t="str">
        <f t="shared" si="180"/>
        <v/>
      </c>
      <c r="AA393" s="671">
        <f t="shared" si="181"/>
        <v>0</v>
      </c>
      <c r="AB393" s="677" t="b">
        <f t="shared" si="170"/>
        <v>0</v>
      </c>
      <c r="AC393" s="678">
        <f t="shared" si="182"/>
        <v>0</v>
      </c>
      <c r="AD393" s="673"/>
      <c r="AE393" s="678">
        <f t="shared" si="171"/>
        <v>0</v>
      </c>
      <c r="AF393" s="678" t="e">
        <f t="shared" si="172"/>
        <v>#N/A</v>
      </c>
      <c r="AG393" s="678" t="e">
        <f t="shared" si="173"/>
        <v>#N/A</v>
      </c>
      <c r="AH393" s="673">
        <f t="shared" si="183"/>
        <v>0</v>
      </c>
      <c r="AI393" s="674" t="e">
        <f>IF(G393="مدير ولائي",(11000*35%),LOOKUP(D393,'f-travail'!A:A,'f-travail'!I:I))</f>
        <v>#N/A</v>
      </c>
      <c r="AJ393" s="673" t="e">
        <f>IF(G393="مدير ولائي",((W393+X393)*45)*80%,IF(V393&lt;8,0,IF(F393="إليزي",(LOOKUP(D393,'f-travail'!A:A,'f-travail'!O:O))*(AF393+AG393),LOOKUP(D393,'f-travail'!A:A,'f-travail'!P:P)*(AF393+AG393))))</f>
        <v>#N/A</v>
      </c>
      <c r="AK393" s="673" t="e">
        <f>IF(G393="مدير ولائي",0,LOOKUP(D393,'f-travail'!A:A,'f-travail'!Q:Q))</f>
        <v>#N/A</v>
      </c>
      <c r="AL393" s="673" t="e">
        <f>IF(G393="مدير ولائي",0,LOOKUP(D393,'f-travail'!A:A,'f-travail'!R:R)*(AF393+AG393))</f>
        <v>#N/A</v>
      </c>
      <c r="AM393" s="673" t="e">
        <f>IF(G393="مدير ولائي",0,LOOKUP(D393,'f-travail'!A:A,'f-travail'!S:S)*(AF393+AG393))</f>
        <v>#N/A</v>
      </c>
      <c r="AN393" s="673" t="e">
        <f>IF(G393="مدير ولائي",0,LOOKUP(D393,'f-travail'!A:A,'f-travail'!T:T)*(AF393+AG393))</f>
        <v>#N/A</v>
      </c>
      <c r="AO393" s="673" t="e">
        <f>IF(G393="مدير ولائي",0,LOOKUP(D393,'f-travail'!A:A,'f-travail'!U:U)*(AF393+AG393))</f>
        <v>#N/A</v>
      </c>
      <c r="AP393" s="673" t="e">
        <f>IF(G393="مدير ولائي",0,LOOKUP(D393,'f-travail'!A:A,'f-travail'!V:V)*(AF393+AG393))</f>
        <v>#N/A</v>
      </c>
      <c r="AQ393" s="673" t="e">
        <f>IF(G393="مدير ولائي",0,LOOKUP(D393,'f-travail'!A:A,'f-travail'!W:W)*(AF393+AG393))</f>
        <v>#N/A</v>
      </c>
      <c r="AR393" s="673">
        <f t="shared" si="184"/>
        <v>0</v>
      </c>
      <c r="AS393" s="673" t="e">
        <f>IF(G393="مدير ولائي",0,LOOKUP(D393,'f-travail'!A:A,'f-travail'!X:X)*(AF393+AG393))</f>
        <v>#N/A</v>
      </c>
      <c r="AT393" s="673" t="e">
        <f>IF(G393="مدير ولائي",0,LOOKUP(D393,'f-travail'!Y:Y,'f-travail'!R:R)*(AF393+AG393))</f>
        <v>#N/A</v>
      </c>
      <c r="AU393" s="673">
        <f t="shared" si="174"/>
        <v>0</v>
      </c>
      <c r="AV393" s="673">
        <f t="shared" si="175"/>
        <v>0</v>
      </c>
      <c r="AW393" s="673">
        <f t="shared" si="176"/>
        <v>0</v>
      </c>
      <c r="AY393" s="640" t="e">
        <f t="shared" si="185"/>
        <v>#N/A</v>
      </c>
      <c r="AZ393" s="673" t="e">
        <f t="shared" si="177"/>
        <v>#N/A</v>
      </c>
      <c r="BA393" s="639" t="e">
        <f t="shared" si="178"/>
        <v>#N/A</v>
      </c>
      <c r="BG393" s="639">
        <f t="shared" si="186"/>
        <v>0</v>
      </c>
      <c r="BH393" s="683">
        <f t="shared" si="187"/>
        <v>0</v>
      </c>
      <c r="BI393" s="683">
        <f t="shared" si="188"/>
        <v>0</v>
      </c>
      <c r="BJ393" s="641" t="e">
        <f t="shared" si="189"/>
        <v>#N/A</v>
      </c>
      <c r="BK393" s="641" t="e">
        <f t="shared" si="190"/>
        <v>#N/A</v>
      </c>
      <c r="BL393" s="641" t="e">
        <f t="shared" si="191"/>
        <v>#N/A</v>
      </c>
      <c r="BM393" s="684" t="e">
        <f t="shared" si="192"/>
        <v>#N/A</v>
      </c>
      <c r="BO393" s="682" t="e">
        <f>CONCATENATE(Z393," ",LOOKUP(D393,'f-travail'!A:A,'f-travail'!F:F))</f>
        <v>#N/A</v>
      </c>
      <c r="BP393" s="669" t="e">
        <f t="shared" si="179"/>
        <v>#N/A</v>
      </c>
    </row>
    <row r="394" spans="1:68">
      <c r="A394" s="636">
        <f t="shared" si="193"/>
        <v>393</v>
      </c>
      <c r="B394" s="637"/>
      <c r="C394" s="637"/>
      <c r="D394" s="652"/>
      <c r="E394" s="679" t="e">
        <f>LOOKUP(D394,'f-travail'!A:A,'f-travail'!B:B)</f>
        <v>#N/A</v>
      </c>
      <c r="F394" s="650"/>
      <c r="G394" s="650"/>
      <c r="H394" s="653"/>
      <c r="I394" s="653"/>
      <c r="J394" s="654"/>
      <c r="K394" s="650"/>
      <c r="L394" s="650"/>
      <c r="M394" s="650">
        <v>0</v>
      </c>
      <c r="N394" s="654"/>
      <c r="O394" s="654"/>
      <c r="P394" s="654"/>
      <c r="Q394" s="654"/>
      <c r="R394" s="676"/>
      <c r="S394" s="654"/>
      <c r="T394" s="675"/>
      <c r="U394" s="675"/>
      <c r="V394" s="670" t="e">
        <f>LOOKUP(D394,'f-travail'!A:A,'f-travail'!E:E)</f>
        <v>#N/A</v>
      </c>
      <c r="W394" s="670" t="e">
        <f>VLOOKUP(V394,جرقمإستدلالي,'f-travail'!$AD$4+1,FALSE)</f>
        <v>#N/A</v>
      </c>
      <c r="X394" s="671" t="e">
        <f t="shared" si="169"/>
        <v>#N/A</v>
      </c>
      <c r="Y394" s="671">
        <f>IF(G394="مدير ولائي",(HLOOKUP(I394,جدروظعليا,'f-travail'!$AT$3+1,FALSE)-3200),0)</f>
        <v>0</v>
      </c>
      <c r="Z394" s="672" t="str">
        <f t="shared" si="180"/>
        <v/>
      </c>
      <c r="AA394" s="671">
        <f t="shared" si="181"/>
        <v>0</v>
      </c>
      <c r="AB394" s="677" t="b">
        <f t="shared" si="170"/>
        <v>0</v>
      </c>
      <c r="AC394" s="678">
        <f t="shared" si="182"/>
        <v>0</v>
      </c>
      <c r="AD394" s="673"/>
      <c r="AE394" s="678">
        <f t="shared" si="171"/>
        <v>0</v>
      </c>
      <c r="AF394" s="678" t="e">
        <f t="shared" si="172"/>
        <v>#N/A</v>
      </c>
      <c r="AG394" s="678" t="e">
        <f t="shared" si="173"/>
        <v>#N/A</v>
      </c>
      <c r="AH394" s="673">
        <f t="shared" si="183"/>
        <v>0</v>
      </c>
      <c r="AI394" s="674" t="e">
        <f>IF(G394="مدير ولائي",(11000*35%),LOOKUP(D394,'f-travail'!A:A,'f-travail'!I:I))</f>
        <v>#N/A</v>
      </c>
      <c r="AJ394" s="673" t="e">
        <f>IF(G394="مدير ولائي",((W394+X394)*45)*80%,IF(V394&lt;8,0,IF(F394="إليزي",(LOOKUP(D394,'f-travail'!A:A,'f-travail'!O:O))*(AF394+AG394),LOOKUP(D394,'f-travail'!A:A,'f-travail'!P:P)*(AF394+AG394))))</f>
        <v>#N/A</v>
      </c>
      <c r="AK394" s="673" t="e">
        <f>IF(G394="مدير ولائي",0,LOOKUP(D394,'f-travail'!A:A,'f-travail'!Q:Q))</f>
        <v>#N/A</v>
      </c>
      <c r="AL394" s="673" t="e">
        <f>IF(G394="مدير ولائي",0,LOOKUP(D394,'f-travail'!A:A,'f-travail'!R:R)*(AF394+AG394))</f>
        <v>#N/A</v>
      </c>
      <c r="AM394" s="673" t="e">
        <f>IF(G394="مدير ولائي",0,LOOKUP(D394,'f-travail'!A:A,'f-travail'!S:S)*(AF394+AG394))</f>
        <v>#N/A</v>
      </c>
      <c r="AN394" s="673" t="e">
        <f>IF(G394="مدير ولائي",0,LOOKUP(D394,'f-travail'!A:A,'f-travail'!T:T)*(AF394+AG394))</f>
        <v>#N/A</v>
      </c>
      <c r="AO394" s="673" t="e">
        <f>IF(G394="مدير ولائي",0,LOOKUP(D394,'f-travail'!A:A,'f-travail'!U:U)*(AF394+AG394))</f>
        <v>#N/A</v>
      </c>
      <c r="AP394" s="673" t="e">
        <f>IF(G394="مدير ولائي",0,LOOKUP(D394,'f-travail'!A:A,'f-travail'!V:V)*(AF394+AG394))</f>
        <v>#N/A</v>
      </c>
      <c r="AQ394" s="673" t="e">
        <f>IF(G394="مدير ولائي",0,LOOKUP(D394,'f-travail'!A:A,'f-travail'!W:W)*(AF394+AG394))</f>
        <v>#N/A</v>
      </c>
      <c r="AR394" s="673">
        <f t="shared" si="184"/>
        <v>0</v>
      </c>
      <c r="AS394" s="673" t="e">
        <f>IF(G394="مدير ولائي",0,LOOKUP(D394,'f-travail'!A:A,'f-travail'!X:X)*(AF394+AG394))</f>
        <v>#N/A</v>
      </c>
      <c r="AT394" s="673" t="e">
        <f>IF(G394="مدير ولائي",0,LOOKUP(D394,'f-travail'!Y:Y,'f-travail'!R:R)*(AF394+AG394))</f>
        <v>#N/A</v>
      </c>
      <c r="AU394" s="673">
        <f t="shared" si="174"/>
        <v>0</v>
      </c>
      <c r="AV394" s="673">
        <f t="shared" si="175"/>
        <v>0</v>
      </c>
      <c r="AW394" s="673">
        <f t="shared" si="176"/>
        <v>0</v>
      </c>
      <c r="AY394" s="640" t="e">
        <f t="shared" si="185"/>
        <v>#N/A</v>
      </c>
      <c r="AZ394" s="673" t="e">
        <f t="shared" si="177"/>
        <v>#N/A</v>
      </c>
      <c r="BA394" s="639" t="e">
        <f t="shared" si="178"/>
        <v>#N/A</v>
      </c>
      <c r="BG394" s="639">
        <f t="shared" si="186"/>
        <v>0</v>
      </c>
      <c r="BH394" s="683">
        <f t="shared" si="187"/>
        <v>0</v>
      </c>
      <c r="BI394" s="683">
        <f t="shared" si="188"/>
        <v>0</v>
      </c>
      <c r="BJ394" s="641" t="e">
        <f t="shared" si="189"/>
        <v>#N/A</v>
      </c>
      <c r="BK394" s="641" t="e">
        <f t="shared" si="190"/>
        <v>#N/A</v>
      </c>
      <c r="BL394" s="641" t="e">
        <f t="shared" si="191"/>
        <v>#N/A</v>
      </c>
      <c r="BM394" s="684" t="e">
        <f t="shared" si="192"/>
        <v>#N/A</v>
      </c>
      <c r="BO394" s="682" t="e">
        <f>CONCATENATE(Z394," ",LOOKUP(D394,'f-travail'!A:A,'f-travail'!F:F))</f>
        <v>#N/A</v>
      </c>
      <c r="BP394" s="669" t="e">
        <f t="shared" si="179"/>
        <v>#N/A</v>
      </c>
    </row>
    <row r="395" spans="1:68">
      <c r="A395" s="636">
        <f t="shared" si="193"/>
        <v>394</v>
      </c>
      <c r="B395" s="637"/>
      <c r="C395" s="637"/>
      <c r="D395" s="652"/>
      <c r="E395" s="679" t="e">
        <f>LOOKUP(D395,'f-travail'!A:A,'f-travail'!B:B)</f>
        <v>#N/A</v>
      </c>
      <c r="F395" s="650"/>
      <c r="G395" s="650"/>
      <c r="H395" s="653"/>
      <c r="I395" s="653"/>
      <c r="J395" s="654"/>
      <c r="K395" s="650"/>
      <c r="L395" s="650"/>
      <c r="M395" s="650">
        <v>0</v>
      </c>
      <c r="N395" s="654"/>
      <c r="O395" s="654"/>
      <c r="P395" s="654"/>
      <c r="Q395" s="654"/>
      <c r="R395" s="676"/>
      <c r="S395" s="654"/>
      <c r="T395" s="675"/>
      <c r="U395" s="675"/>
      <c r="V395" s="670" t="e">
        <f>LOOKUP(D395,'f-travail'!A:A,'f-travail'!E:E)</f>
        <v>#N/A</v>
      </c>
      <c r="W395" s="670" t="e">
        <f>VLOOKUP(V395,جرقمإستدلالي,'f-travail'!$AD$4+1,FALSE)</f>
        <v>#N/A</v>
      </c>
      <c r="X395" s="671" t="e">
        <f t="shared" si="169"/>
        <v>#N/A</v>
      </c>
      <c r="Y395" s="671">
        <f>IF(G395="مدير ولائي",(HLOOKUP(I395,جدروظعليا,'f-travail'!$AT$3+1,FALSE)-3200),0)</f>
        <v>0</v>
      </c>
      <c r="Z395" s="672" t="str">
        <f t="shared" si="180"/>
        <v/>
      </c>
      <c r="AA395" s="671">
        <f t="shared" si="181"/>
        <v>0</v>
      </c>
      <c r="AB395" s="677" t="b">
        <f t="shared" si="170"/>
        <v>0</v>
      </c>
      <c r="AC395" s="678">
        <f t="shared" si="182"/>
        <v>0</v>
      </c>
      <c r="AD395" s="673"/>
      <c r="AE395" s="678">
        <f t="shared" si="171"/>
        <v>0</v>
      </c>
      <c r="AF395" s="678" t="e">
        <f t="shared" si="172"/>
        <v>#N/A</v>
      </c>
      <c r="AG395" s="678" t="e">
        <f t="shared" si="173"/>
        <v>#N/A</v>
      </c>
      <c r="AH395" s="673">
        <f t="shared" si="183"/>
        <v>0</v>
      </c>
      <c r="AI395" s="674" t="e">
        <f>IF(G395="مدير ولائي",(11000*35%),LOOKUP(D395,'f-travail'!A:A,'f-travail'!I:I))</f>
        <v>#N/A</v>
      </c>
      <c r="AJ395" s="673" t="e">
        <f>IF(G395="مدير ولائي",((W395+X395)*45)*80%,IF(V395&lt;8,0,IF(F395="إليزي",(LOOKUP(D395,'f-travail'!A:A,'f-travail'!O:O))*(AF395+AG395),LOOKUP(D395,'f-travail'!A:A,'f-travail'!P:P)*(AF395+AG395))))</f>
        <v>#N/A</v>
      </c>
      <c r="AK395" s="673" t="e">
        <f>IF(G395="مدير ولائي",0,LOOKUP(D395,'f-travail'!A:A,'f-travail'!Q:Q))</f>
        <v>#N/A</v>
      </c>
      <c r="AL395" s="673" t="e">
        <f>IF(G395="مدير ولائي",0,LOOKUP(D395,'f-travail'!A:A,'f-travail'!R:R)*(AF395+AG395))</f>
        <v>#N/A</v>
      </c>
      <c r="AM395" s="673" t="e">
        <f>IF(G395="مدير ولائي",0,LOOKUP(D395,'f-travail'!A:A,'f-travail'!S:S)*(AF395+AG395))</f>
        <v>#N/A</v>
      </c>
      <c r="AN395" s="673" t="e">
        <f>IF(G395="مدير ولائي",0,LOOKUP(D395,'f-travail'!A:A,'f-travail'!T:T)*(AF395+AG395))</f>
        <v>#N/A</v>
      </c>
      <c r="AO395" s="673" t="e">
        <f>IF(G395="مدير ولائي",0,LOOKUP(D395,'f-travail'!A:A,'f-travail'!U:U)*(AF395+AG395))</f>
        <v>#N/A</v>
      </c>
      <c r="AP395" s="673" t="e">
        <f>IF(G395="مدير ولائي",0,LOOKUP(D395,'f-travail'!A:A,'f-travail'!V:V)*(AF395+AG395))</f>
        <v>#N/A</v>
      </c>
      <c r="AQ395" s="673" t="e">
        <f>IF(G395="مدير ولائي",0,LOOKUP(D395,'f-travail'!A:A,'f-travail'!W:W)*(AF395+AG395))</f>
        <v>#N/A</v>
      </c>
      <c r="AR395" s="673">
        <f t="shared" si="184"/>
        <v>0</v>
      </c>
      <c r="AS395" s="673" t="e">
        <f>IF(G395="مدير ولائي",0,LOOKUP(D395,'f-travail'!A:A,'f-travail'!X:X)*(AF395+AG395))</f>
        <v>#N/A</v>
      </c>
      <c r="AT395" s="673" t="e">
        <f>IF(G395="مدير ولائي",0,LOOKUP(D395,'f-travail'!Y:Y,'f-travail'!R:R)*(AF395+AG395))</f>
        <v>#N/A</v>
      </c>
      <c r="AU395" s="673">
        <f t="shared" si="174"/>
        <v>0</v>
      </c>
      <c r="AV395" s="673">
        <f t="shared" si="175"/>
        <v>0</v>
      </c>
      <c r="AW395" s="673">
        <f t="shared" si="176"/>
        <v>0</v>
      </c>
      <c r="AY395" s="640" t="e">
        <f t="shared" si="185"/>
        <v>#N/A</v>
      </c>
      <c r="AZ395" s="673" t="e">
        <f t="shared" si="177"/>
        <v>#N/A</v>
      </c>
      <c r="BA395" s="639" t="e">
        <f t="shared" si="178"/>
        <v>#N/A</v>
      </c>
      <c r="BG395" s="639">
        <f t="shared" si="186"/>
        <v>0</v>
      </c>
      <c r="BH395" s="683">
        <f t="shared" si="187"/>
        <v>0</v>
      </c>
      <c r="BI395" s="683">
        <f t="shared" si="188"/>
        <v>0</v>
      </c>
      <c r="BJ395" s="641" t="e">
        <f t="shared" si="189"/>
        <v>#N/A</v>
      </c>
      <c r="BK395" s="641" t="e">
        <f t="shared" si="190"/>
        <v>#N/A</v>
      </c>
      <c r="BL395" s="641" t="e">
        <f t="shared" si="191"/>
        <v>#N/A</v>
      </c>
      <c r="BM395" s="684" t="e">
        <f t="shared" si="192"/>
        <v>#N/A</v>
      </c>
      <c r="BO395" s="682" t="e">
        <f>CONCATENATE(Z395," ",LOOKUP(D395,'f-travail'!A:A,'f-travail'!F:F))</f>
        <v>#N/A</v>
      </c>
      <c r="BP395" s="669" t="e">
        <f t="shared" si="179"/>
        <v>#N/A</v>
      </c>
    </row>
    <row r="396" spans="1:68">
      <c r="A396" s="636">
        <f t="shared" si="193"/>
        <v>395</v>
      </c>
      <c r="B396" s="637"/>
      <c r="C396" s="637"/>
      <c r="D396" s="652"/>
      <c r="E396" s="679" t="e">
        <f>LOOKUP(D396,'f-travail'!A:A,'f-travail'!B:B)</f>
        <v>#N/A</v>
      </c>
      <c r="F396" s="650"/>
      <c r="G396" s="650"/>
      <c r="H396" s="653"/>
      <c r="I396" s="653"/>
      <c r="J396" s="654"/>
      <c r="K396" s="650"/>
      <c r="L396" s="650"/>
      <c r="M396" s="650">
        <v>0</v>
      </c>
      <c r="N396" s="654"/>
      <c r="O396" s="654"/>
      <c r="P396" s="654"/>
      <c r="Q396" s="654"/>
      <c r="R396" s="676"/>
      <c r="S396" s="654"/>
      <c r="T396" s="675"/>
      <c r="U396" s="675"/>
      <c r="V396" s="670" t="e">
        <f>LOOKUP(D396,'f-travail'!A:A,'f-travail'!E:E)</f>
        <v>#N/A</v>
      </c>
      <c r="W396" s="670" t="e">
        <f>VLOOKUP(V396,جرقمإستدلالي,'f-travail'!$AD$4+1,FALSE)</f>
        <v>#N/A</v>
      </c>
      <c r="X396" s="671" t="e">
        <f t="shared" si="169"/>
        <v>#N/A</v>
      </c>
      <c r="Y396" s="671">
        <f>IF(G396="مدير ولائي",(HLOOKUP(I396,جدروظعليا,'f-travail'!$AT$3+1,FALSE)-3200),0)</f>
        <v>0</v>
      </c>
      <c r="Z396" s="672" t="str">
        <f t="shared" si="180"/>
        <v/>
      </c>
      <c r="AA396" s="671">
        <f t="shared" si="181"/>
        <v>0</v>
      </c>
      <c r="AB396" s="677" t="b">
        <f t="shared" si="170"/>
        <v>0</v>
      </c>
      <c r="AC396" s="678">
        <f t="shared" si="182"/>
        <v>0</v>
      </c>
      <c r="AD396" s="673"/>
      <c r="AE396" s="678">
        <f t="shared" si="171"/>
        <v>0</v>
      </c>
      <c r="AF396" s="678" t="e">
        <f t="shared" si="172"/>
        <v>#N/A</v>
      </c>
      <c r="AG396" s="678" t="e">
        <f t="shared" si="173"/>
        <v>#N/A</v>
      </c>
      <c r="AH396" s="673">
        <f t="shared" si="183"/>
        <v>0</v>
      </c>
      <c r="AI396" s="674" t="e">
        <f>IF(G396="مدير ولائي",(11000*35%),LOOKUP(D396,'f-travail'!A:A,'f-travail'!I:I))</f>
        <v>#N/A</v>
      </c>
      <c r="AJ396" s="673" t="e">
        <f>IF(G396="مدير ولائي",((W396+X396)*45)*80%,IF(V396&lt;8,0,IF(F396="إليزي",(LOOKUP(D396,'f-travail'!A:A,'f-travail'!O:O))*(AF396+AG396),LOOKUP(D396,'f-travail'!A:A,'f-travail'!P:P)*(AF396+AG396))))</f>
        <v>#N/A</v>
      </c>
      <c r="AK396" s="673" t="e">
        <f>IF(G396="مدير ولائي",0,LOOKUP(D396,'f-travail'!A:A,'f-travail'!Q:Q))</f>
        <v>#N/A</v>
      </c>
      <c r="AL396" s="673" t="e">
        <f>IF(G396="مدير ولائي",0,LOOKUP(D396,'f-travail'!A:A,'f-travail'!R:R)*(AF396+AG396))</f>
        <v>#N/A</v>
      </c>
      <c r="AM396" s="673" t="e">
        <f>IF(G396="مدير ولائي",0,LOOKUP(D396,'f-travail'!A:A,'f-travail'!S:S)*(AF396+AG396))</f>
        <v>#N/A</v>
      </c>
      <c r="AN396" s="673" t="e">
        <f>IF(G396="مدير ولائي",0,LOOKUP(D396,'f-travail'!A:A,'f-travail'!T:T)*(AF396+AG396))</f>
        <v>#N/A</v>
      </c>
      <c r="AO396" s="673" t="e">
        <f>IF(G396="مدير ولائي",0,LOOKUP(D396,'f-travail'!A:A,'f-travail'!U:U)*(AF396+AG396))</f>
        <v>#N/A</v>
      </c>
      <c r="AP396" s="673" t="e">
        <f>IF(G396="مدير ولائي",0,LOOKUP(D396,'f-travail'!A:A,'f-travail'!V:V)*(AF396+AG396))</f>
        <v>#N/A</v>
      </c>
      <c r="AQ396" s="673" t="e">
        <f>IF(G396="مدير ولائي",0,LOOKUP(D396,'f-travail'!A:A,'f-travail'!W:W)*(AF396+AG396))</f>
        <v>#N/A</v>
      </c>
      <c r="AR396" s="673">
        <f t="shared" si="184"/>
        <v>0</v>
      </c>
      <c r="AS396" s="673" t="e">
        <f>IF(G396="مدير ولائي",0,LOOKUP(D396,'f-travail'!A:A,'f-travail'!X:X)*(AF396+AG396))</f>
        <v>#N/A</v>
      </c>
      <c r="AT396" s="673" t="e">
        <f>IF(G396="مدير ولائي",0,LOOKUP(D396,'f-travail'!Y:Y,'f-travail'!R:R)*(AF396+AG396))</f>
        <v>#N/A</v>
      </c>
      <c r="AU396" s="673">
        <f t="shared" si="174"/>
        <v>0</v>
      </c>
      <c r="AV396" s="673">
        <f t="shared" si="175"/>
        <v>0</v>
      </c>
      <c r="AW396" s="673">
        <f t="shared" si="176"/>
        <v>0</v>
      </c>
      <c r="AY396" s="640" t="e">
        <f t="shared" si="185"/>
        <v>#N/A</v>
      </c>
      <c r="AZ396" s="673" t="e">
        <f t="shared" si="177"/>
        <v>#N/A</v>
      </c>
      <c r="BA396" s="639" t="e">
        <f t="shared" si="178"/>
        <v>#N/A</v>
      </c>
      <c r="BG396" s="639">
        <f t="shared" si="186"/>
        <v>0</v>
      </c>
      <c r="BH396" s="683">
        <f t="shared" si="187"/>
        <v>0</v>
      </c>
      <c r="BI396" s="683">
        <f t="shared" si="188"/>
        <v>0</v>
      </c>
      <c r="BJ396" s="641" t="e">
        <f t="shared" si="189"/>
        <v>#N/A</v>
      </c>
      <c r="BK396" s="641" t="e">
        <f t="shared" si="190"/>
        <v>#N/A</v>
      </c>
      <c r="BL396" s="641" t="e">
        <f t="shared" si="191"/>
        <v>#N/A</v>
      </c>
      <c r="BM396" s="684" t="e">
        <f t="shared" si="192"/>
        <v>#N/A</v>
      </c>
      <c r="BO396" s="682" t="e">
        <f>CONCATENATE(Z396," ",LOOKUP(D396,'f-travail'!A:A,'f-travail'!F:F))</f>
        <v>#N/A</v>
      </c>
      <c r="BP396" s="669" t="e">
        <f t="shared" si="179"/>
        <v>#N/A</v>
      </c>
    </row>
    <row r="397" spans="1:68">
      <c r="A397" s="636">
        <f t="shared" si="193"/>
        <v>396</v>
      </c>
      <c r="B397" s="637"/>
      <c r="C397" s="637"/>
      <c r="D397" s="652"/>
      <c r="E397" s="679" t="e">
        <f>LOOKUP(D397,'f-travail'!A:A,'f-travail'!B:B)</f>
        <v>#N/A</v>
      </c>
      <c r="F397" s="650"/>
      <c r="G397" s="650"/>
      <c r="H397" s="653"/>
      <c r="I397" s="653"/>
      <c r="J397" s="654"/>
      <c r="K397" s="650"/>
      <c r="L397" s="650"/>
      <c r="M397" s="650">
        <v>0</v>
      </c>
      <c r="N397" s="654"/>
      <c r="O397" s="654"/>
      <c r="P397" s="654"/>
      <c r="Q397" s="654"/>
      <c r="R397" s="676"/>
      <c r="S397" s="654"/>
      <c r="T397" s="675"/>
      <c r="U397" s="675"/>
      <c r="V397" s="670" t="e">
        <f>LOOKUP(D397,'f-travail'!A:A,'f-travail'!E:E)</f>
        <v>#N/A</v>
      </c>
      <c r="W397" s="670" t="e">
        <f>VLOOKUP(V397,جرقمإستدلالي,'f-travail'!$AD$4+1,FALSE)</f>
        <v>#N/A</v>
      </c>
      <c r="X397" s="671" t="e">
        <f t="shared" si="169"/>
        <v>#N/A</v>
      </c>
      <c r="Y397" s="671">
        <f>IF(G397="مدير ولائي",(HLOOKUP(I397,جدروظعليا,'f-travail'!$AT$3+1,FALSE)-3200),0)</f>
        <v>0</v>
      </c>
      <c r="Z397" s="672" t="str">
        <f t="shared" si="180"/>
        <v/>
      </c>
      <c r="AA397" s="671">
        <f t="shared" si="181"/>
        <v>0</v>
      </c>
      <c r="AB397" s="677" t="b">
        <f t="shared" si="170"/>
        <v>0</v>
      </c>
      <c r="AC397" s="678">
        <f t="shared" si="182"/>
        <v>0</v>
      </c>
      <c r="AD397" s="673"/>
      <c r="AE397" s="678">
        <f t="shared" si="171"/>
        <v>0</v>
      </c>
      <c r="AF397" s="678" t="e">
        <f t="shared" si="172"/>
        <v>#N/A</v>
      </c>
      <c r="AG397" s="678" t="e">
        <f t="shared" si="173"/>
        <v>#N/A</v>
      </c>
      <c r="AH397" s="673">
        <f t="shared" si="183"/>
        <v>0</v>
      </c>
      <c r="AI397" s="674" t="e">
        <f>IF(G397="مدير ولائي",(11000*35%),LOOKUP(D397,'f-travail'!A:A,'f-travail'!I:I))</f>
        <v>#N/A</v>
      </c>
      <c r="AJ397" s="673" t="e">
        <f>IF(G397="مدير ولائي",((W397+X397)*45)*80%,IF(V397&lt;8,0,IF(F397="إليزي",(LOOKUP(D397,'f-travail'!A:A,'f-travail'!O:O))*(AF397+AG397),LOOKUP(D397,'f-travail'!A:A,'f-travail'!P:P)*(AF397+AG397))))</f>
        <v>#N/A</v>
      </c>
      <c r="AK397" s="673" t="e">
        <f>IF(G397="مدير ولائي",0,LOOKUP(D397,'f-travail'!A:A,'f-travail'!Q:Q))</f>
        <v>#N/A</v>
      </c>
      <c r="AL397" s="673" t="e">
        <f>IF(G397="مدير ولائي",0,LOOKUP(D397,'f-travail'!A:A,'f-travail'!R:R)*(AF397+AG397))</f>
        <v>#N/A</v>
      </c>
      <c r="AM397" s="673" t="e">
        <f>IF(G397="مدير ولائي",0,LOOKUP(D397,'f-travail'!A:A,'f-travail'!S:S)*(AF397+AG397))</f>
        <v>#N/A</v>
      </c>
      <c r="AN397" s="673" t="e">
        <f>IF(G397="مدير ولائي",0,LOOKUP(D397,'f-travail'!A:A,'f-travail'!T:T)*(AF397+AG397))</f>
        <v>#N/A</v>
      </c>
      <c r="AO397" s="673" t="e">
        <f>IF(G397="مدير ولائي",0,LOOKUP(D397,'f-travail'!A:A,'f-travail'!U:U)*(AF397+AG397))</f>
        <v>#N/A</v>
      </c>
      <c r="AP397" s="673" t="e">
        <f>IF(G397="مدير ولائي",0,LOOKUP(D397,'f-travail'!A:A,'f-travail'!V:V)*(AF397+AG397))</f>
        <v>#N/A</v>
      </c>
      <c r="AQ397" s="673" t="e">
        <f>IF(G397="مدير ولائي",0,LOOKUP(D397,'f-travail'!A:A,'f-travail'!W:W)*(AF397+AG397))</f>
        <v>#N/A</v>
      </c>
      <c r="AR397" s="673">
        <f t="shared" si="184"/>
        <v>0</v>
      </c>
      <c r="AS397" s="673" t="e">
        <f>IF(G397="مدير ولائي",0,LOOKUP(D397,'f-travail'!A:A,'f-travail'!X:X)*(AF397+AG397))</f>
        <v>#N/A</v>
      </c>
      <c r="AT397" s="673" t="e">
        <f>IF(G397="مدير ولائي",0,LOOKUP(D397,'f-travail'!Y:Y,'f-travail'!R:R)*(AF397+AG397))</f>
        <v>#N/A</v>
      </c>
      <c r="AU397" s="673">
        <f t="shared" si="174"/>
        <v>0</v>
      </c>
      <c r="AV397" s="673">
        <f t="shared" si="175"/>
        <v>0</v>
      </c>
      <c r="AW397" s="673">
        <f t="shared" si="176"/>
        <v>0</v>
      </c>
      <c r="AY397" s="640" t="e">
        <f t="shared" si="185"/>
        <v>#N/A</v>
      </c>
      <c r="AZ397" s="673" t="e">
        <f t="shared" si="177"/>
        <v>#N/A</v>
      </c>
      <c r="BA397" s="639" t="e">
        <f t="shared" si="178"/>
        <v>#N/A</v>
      </c>
      <c r="BG397" s="639">
        <f t="shared" si="186"/>
        <v>0</v>
      </c>
      <c r="BH397" s="683">
        <f t="shared" si="187"/>
        <v>0</v>
      </c>
      <c r="BI397" s="683">
        <f t="shared" si="188"/>
        <v>0</v>
      </c>
      <c r="BJ397" s="641" t="e">
        <f t="shared" si="189"/>
        <v>#N/A</v>
      </c>
      <c r="BK397" s="641" t="e">
        <f t="shared" si="190"/>
        <v>#N/A</v>
      </c>
      <c r="BL397" s="641" t="e">
        <f t="shared" si="191"/>
        <v>#N/A</v>
      </c>
      <c r="BM397" s="684" t="e">
        <f t="shared" si="192"/>
        <v>#N/A</v>
      </c>
      <c r="BO397" s="682" t="e">
        <f>CONCATENATE(Z397," ",LOOKUP(D397,'f-travail'!A:A,'f-travail'!F:F))</f>
        <v>#N/A</v>
      </c>
      <c r="BP397" s="669" t="e">
        <f t="shared" si="179"/>
        <v>#N/A</v>
      </c>
    </row>
    <row r="398" spans="1:68">
      <c r="A398" s="636">
        <f t="shared" si="193"/>
        <v>397</v>
      </c>
      <c r="B398" s="637"/>
      <c r="C398" s="637"/>
      <c r="D398" s="652"/>
      <c r="E398" s="679" t="e">
        <f>LOOKUP(D398,'f-travail'!A:A,'f-travail'!B:B)</f>
        <v>#N/A</v>
      </c>
      <c r="F398" s="650"/>
      <c r="G398" s="650"/>
      <c r="H398" s="653"/>
      <c r="I398" s="653"/>
      <c r="J398" s="654"/>
      <c r="K398" s="650"/>
      <c r="L398" s="650"/>
      <c r="M398" s="650">
        <v>0</v>
      </c>
      <c r="N398" s="654"/>
      <c r="O398" s="654"/>
      <c r="P398" s="654"/>
      <c r="Q398" s="654"/>
      <c r="R398" s="676"/>
      <c r="S398" s="654"/>
      <c r="T398" s="675"/>
      <c r="U398" s="675"/>
      <c r="V398" s="670" t="e">
        <f>LOOKUP(D398,'f-travail'!A:A,'f-travail'!E:E)</f>
        <v>#N/A</v>
      </c>
      <c r="W398" s="670" t="e">
        <f>VLOOKUP(V398,جرقمإستدلالي,'f-travail'!$AD$4+1,FALSE)</f>
        <v>#N/A</v>
      </c>
      <c r="X398" s="671" t="e">
        <f t="shared" si="169"/>
        <v>#N/A</v>
      </c>
      <c r="Y398" s="671">
        <f>IF(G398="مدير ولائي",(HLOOKUP(I398,جدروظعليا,'f-travail'!$AT$3+1,FALSE)-3200),0)</f>
        <v>0</v>
      </c>
      <c r="Z398" s="672" t="str">
        <f t="shared" si="180"/>
        <v/>
      </c>
      <c r="AA398" s="671">
        <f t="shared" si="181"/>
        <v>0</v>
      </c>
      <c r="AB398" s="677" t="b">
        <f t="shared" si="170"/>
        <v>0</v>
      </c>
      <c r="AC398" s="678">
        <f t="shared" si="182"/>
        <v>0</v>
      </c>
      <c r="AD398" s="673"/>
      <c r="AE398" s="678">
        <f t="shared" si="171"/>
        <v>0</v>
      </c>
      <c r="AF398" s="678" t="e">
        <f t="shared" si="172"/>
        <v>#N/A</v>
      </c>
      <c r="AG398" s="678" t="e">
        <f t="shared" si="173"/>
        <v>#N/A</v>
      </c>
      <c r="AH398" s="673">
        <f t="shared" si="183"/>
        <v>0</v>
      </c>
      <c r="AI398" s="674" t="e">
        <f>IF(G398="مدير ولائي",(11000*35%),LOOKUP(D398,'f-travail'!A:A,'f-travail'!I:I))</f>
        <v>#N/A</v>
      </c>
      <c r="AJ398" s="673" t="e">
        <f>IF(G398="مدير ولائي",((W398+X398)*45)*80%,IF(V398&lt;8,0,IF(F398="إليزي",(LOOKUP(D398,'f-travail'!A:A,'f-travail'!O:O))*(AF398+AG398),LOOKUP(D398,'f-travail'!A:A,'f-travail'!P:P)*(AF398+AG398))))</f>
        <v>#N/A</v>
      </c>
      <c r="AK398" s="673" t="e">
        <f>IF(G398="مدير ولائي",0,LOOKUP(D398,'f-travail'!A:A,'f-travail'!Q:Q))</f>
        <v>#N/A</v>
      </c>
      <c r="AL398" s="673" t="e">
        <f>IF(G398="مدير ولائي",0,LOOKUP(D398,'f-travail'!A:A,'f-travail'!R:R)*(AF398+AG398))</f>
        <v>#N/A</v>
      </c>
      <c r="AM398" s="673" t="e">
        <f>IF(G398="مدير ولائي",0,LOOKUP(D398,'f-travail'!A:A,'f-travail'!S:S)*(AF398+AG398))</f>
        <v>#N/A</v>
      </c>
      <c r="AN398" s="673" t="e">
        <f>IF(G398="مدير ولائي",0,LOOKUP(D398,'f-travail'!A:A,'f-travail'!T:T)*(AF398+AG398))</f>
        <v>#N/A</v>
      </c>
      <c r="AO398" s="673" t="e">
        <f>IF(G398="مدير ولائي",0,LOOKUP(D398,'f-travail'!A:A,'f-travail'!U:U)*(AF398+AG398))</f>
        <v>#N/A</v>
      </c>
      <c r="AP398" s="673" t="e">
        <f>IF(G398="مدير ولائي",0,LOOKUP(D398,'f-travail'!A:A,'f-travail'!V:V)*(AF398+AG398))</f>
        <v>#N/A</v>
      </c>
      <c r="AQ398" s="673" t="e">
        <f>IF(G398="مدير ولائي",0,LOOKUP(D398,'f-travail'!A:A,'f-travail'!W:W)*(AF398+AG398))</f>
        <v>#N/A</v>
      </c>
      <c r="AR398" s="673">
        <f t="shared" si="184"/>
        <v>0</v>
      </c>
      <c r="AS398" s="673" t="e">
        <f>IF(G398="مدير ولائي",0,LOOKUP(D398,'f-travail'!A:A,'f-travail'!X:X)*(AF398+AG398))</f>
        <v>#N/A</v>
      </c>
      <c r="AT398" s="673" t="e">
        <f>IF(G398="مدير ولائي",0,LOOKUP(D398,'f-travail'!Y:Y,'f-travail'!R:R)*(AF398+AG398))</f>
        <v>#N/A</v>
      </c>
      <c r="AU398" s="673">
        <f t="shared" si="174"/>
        <v>0</v>
      </c>
      <c r="AV398" s="673">
        <f t="shared" si="175"/>
        <v>0</v>
      </c>
      <c r="AW398" s="673">
        <f t="shared" si="176"/>
        <v>0</v>
      </c>
      <c r="AY398" s="640" t="e">
        <f t="shared" si="185"/>
        <v>#N/A</v>
      </c>
      <c r="AZ398" s="673" t="e">
        <f t="shared" si="177"/>
        <v>#N/A</v>
      </c>
      <c r="BA398" s="639" t="e">
        <f t="shared" si="178"/>
        <v>#N/A</v>
      </c>
      <c r="BG398" s="639">
        <f t="shared" si="186"/>
        <v>0</v>
      </c>
      <c r="BH398" s="683">
        <f t="shared" si="187"/>
        <v>0</v>
      </c>
      <c r="BI398" s="683">
        <f t="shared" si="188"/>
        <v>0</v>
      </c>
      <c r="BJ398" s="641" t="e">
        <f t="shared" si="189"/>
        <v>#N/A</v>
      </c>
      <c r="BK398" s="641" t="e">
        <f t="shared" si="190"/>
        <v>#N/A</v>
      </c>
      <c r="BL398" s="641" t="e">
        <f t="shared" si="191"/>
        <v>#N/A</v>
      </c>
      <c r="BM398" s="684" t="e">
        <f t="shared" si="192"/>
        <v>#N/A</v>
      </c>
      <c r="BO398" s="682" t="e">
        <f>CONCATENATE(Z398," ",LOOKUP(D398,'f-travail'!A:A,'f-travail'!F:F))</f>
        <v>#N/A</v>
      </c>
      <c r="BP398" s="669" t="e">
        <f t="shared" si="179"/>
        <v>#N/A</v>
      </c>
    </row>
    <row r="399" spans="1:68">
      <c r="A399" s="636">
        <f t="shared" si="193"/>
        <v>398</v>
      </c>
      <c r="B399" s="637"/>
      <c r="C399" s="637"/>
      <c r="D399" s="652"/>
      <c r="E399" s="679" t="e">
        <f>LOOKUP(D399,'f-travail'!A:A,'f-travail'!B:B)</f>
        <v>#N/A</v>
      </c>
      <c r="F399" s="650"/>
      <c r="G399" s="650"/>
      <c r="H399" s="653"/>
      <c r="I399" s="653"/>
      <c r="J399" s="654"/>
      <c r="K399" s="650"/>
      <c r="L399" s="650"/>
      <c r="M399" s="650">
        <v>0</v>
      </c>
      <c r="N399" s="654"/>
      <c r="O399" s="654"/>
      <c r="P399" s="654"/>
      <c r="Q399" s="654"/>
      <c r="R399" s="676"/>
      <c r="S399" s="654"/>
      <c r="T399" s="675"/>
      <c r="U399" s="675"/>
      <c r="V399" s="670" t="e">
        <f>LOOKUP(D399,'f-travail'!A:A,'f-travail'!E:E)</f>
        <v>#N/A</v>
      </c>
      <c r="W399" s="670" t="e">
        <f>VLOOKUP(V399,جرقمإستدلالي,'f-travail'!$AD$4+1,FALSE)</f>
        <v>#N/A</v>
      </c>
      <c r="X399" s="671" t="e">
        <f t="shared" si="169"/>
        <v>#N/A</v>
      </c>
      <c r="Y399" s="671">
        <f>IF(G399="مدير ولائي",(HLOOKUP(I399,جدروظعليا,'f-travail'!$AT$3+1,FALSE)-3200),0)</f>
        <v>0</v>
      </c>
      <c r="Z399" s="672" t="str">
        <f t="shared" si="180"/>
        <v/>
      </c>
      <c r="AA399" s="671">
        <f t="shared" si="181"/>
        <v>0</v>
      </c>
      <c r="AB399" s="677" t="b">
        <f t="shared" si="170"/>
        <v>0</v>
      </c>
      <c r="AC399" s="678">
        <f t="shared" si="182"/>
        <v>0</v>
      </c>
      <c r="AD399" s="673"/>
      <c r="AE399" s="678">
        <f t="shared" si="171"/>
        <v>0</v>
      </c>
      <c r="AF399" s="678" t="e">
        <f t="shared" si="172"/>
        <v>#N/A</v>
      </c>
      <c r="AG399" s="678" t="e">
        <f t="shared" si="173"/>
        <v>#N/A</v>
      </c>
      <c r="AH399" s="673">
        <f t="shared" si="183"/>
        <v>0</v>
      </c>
      <c r="AI399" s="674" t="e">
        <f>IF(G399="مدير ولائي",(11000*35%),LOOKUP(D399,'f-travail'!A:A,'f-travail'!I:I))</f>
        <v>#N/A</v>
      </c>
      <c r="AJ399" s="673" t="e">
        <f>IF(G399="مدير ولائي",((W399+X399)*45)*80%,IF(V399&lt;8,0,IF(F399="إليزي",(LOOKUP(D399,'f-travail'!A:A,'f-travail'!O:O))*(AF399+AG399),LOOKUP(D399,'f-travail'!A:A,'f-travail'!P:P)*(AF399+AG399))))</f>
        <v>#N/A</v>
      </c>
      <c r="AK399" s="673" t="e">
        <f>IF(G399="مدير ولائي",0,LOOKUP(D399,'f-travail'!A:A,'f-travail'!Q:Q))</f>
        <v>#N/A</v>
      </c>
      <c r="AL399" s="673" t="e">
        <f>IF(G399="مدير ولائي",0,LOOKUP(D399,'f-travail'!A:A,'f-travail'!R:R)*(AF399+AG399))</f>
        <v>#N/A</v>
      </c>
      <c r="AM399" s="673" t="e">
        <f>IF(G399="مدير ولائي",0,LOOKUP(D399,'f-travail'!A:A,'f-travail'!S:S)*(AF399+AG399))</f>
        <v>#N/A</v>
      </c>
      <c r="AN399" s="673" t="e">
        <f>IF(G399="مدير ولائي",0,LOOKUP(D399,'f-travail'!A:A,'f-travail'!T:T)*(AF399+AG399))</f>
        <v>#N/A</v>
      </c>
      <c r="AO399" s="673" t="e">
        <f>IF(G399="مدير ولائي",0,LOOKUP(D399,'f-travail'!A:A,'f-travail'!U:U)*(AF399+AG399))</f>
        <v>#N/A</v>
      </c>
      <c r="AP399" s="673" t="e">
        <f>IF(G399="مدير ولائي",0,LOOKUP(D399,'f-travail'!A:A,'f-travail'!V:V)*(AF399+AG399))</f>
        <v>#N/A</v>
      </c>
      <c r="AQ399" s="673" t="e">
        <f>IF(G399="مدير ولائي",0,LOOKUP(D399,'f-travail'!A:A,'f-travail'!W:W)*(AF399+AG399))</f>
        <v>#N/A</v>
      </c>
      <c r="AR399" s="673">
        <f t="shared" si="184"/>
        <v>0</v>
      </c>
      <c r="AS399" s="673" t="e">
        <f>IF(G399="مدير ولائي",0,LOOKUP(D399,'f-travail'!A:A,'f-travail'!X:X)*(AF399+AG399))</f>
        <v>#N/A</v>
      </c>
      <c r="AT399" s="673" t="e">
        <f>IF(G399="مدير ولائي",0,LOOKUP(D399,'f-travail'!Y:Y,'f-travail'!R:R)*(AF399+AG399))</f>
        <v>#N/A</v>
      </c>
      <c r="AU399" s="673">
        <f t="shared" si="174"/>
        <v>0</v>
      </c>
      <c r="AV399" s="673">
        <f t="shared" si="175"/>
        <v>0</v>
      </c>
      <c r="AW399" s="673">
        <f t="shared" si="176"/>
        <v>0</v>
      </c>
      <c r="AY399" s="640" t="e">
        <f t="shared" si="185"/>
        <v>#N/A</v>
      </c>
      <c r="AZ399" s="673" t="e">
        <f t="shared" si="177"/>
        <v>#N/A</v>
      </c>
      <c r="BA399" s="639" t="e">
        <f t="shared" si="178"/>
        <v>#N/A</v>
      </c>
      <c r="BG399" s="639">
        <f t="shared" si="186"/>
        <v>0</v>
      </c>
      <c r="BH399" s="683">
        <f t="shared" si="187"/>
        <v>0</v>
      </c>
      <c r="BI399" s="683">
        <f t="shared" si="188"/>
        <v>0</v>
      </c>
      <c r="BJ399" s="641" t="e">
        <f t="shared" si="189"/>
        <v>#N/A</v>
      </c>
      <c r="BK399" s="641" t="e">
        <f t="shared" si="190"/>
        <v>#N/A</v>
      </c>
      <c r="BL399" s="641" t="e">
        <f t="shared" si="191"/>
        <v>#N/A</v>
      </c>
      <c r="BM399" s="684" t="e">
        <f t="shared" si="192"/>
        <v>#N/A</v>
      </c>
      <c r="BO399" s="682" t="e">
        <f>CONCATENATE(Z399," ",LOOKUP(D399,'f-travail'!A:A,'f-travail'!F:F))</f>
        <v>#N/A</v>
      </c>
      <c r="BP399" s="669" t="e">
        <f t="shared" si="179"/>
        <v>#N/A</v>
      </c>
    </row>
    <row r="400" spans="1:68">
      <c r="A400" s="636">
        <f t="shared" si="193"/>
        <v>399</v>
      </c>
      <c r="B400" s="637"/>
      <c r="C400" s="637"/>
      <c r="D400" s="652"/>
      <c r="E400" s="679" t="e">
        <f>LOOKUP(D400,'f-travail'!A:A,'f-travail'!B:B)</f>
        <v>#N/A</v>
      </c>
      <c r="F400" s="650"/>
      <c r="G400" s="650"/>
      <c r="H400" s="653"/>
      <c r="I400" s="653"/>
      <c r="J400" s="654"/>
      <c r="K400" s="650"/>
      <c r="L400" s="650"/>
      <c r="M400" s="650">
        <v>0</v>
      </c>
      <c r="N400" s="654"/>
      <c r="O400" s="654"/>
      <c r="P400" s="654"/>
      <c r="Q400" s="654"/>
      <c r="R400" s="676"/>
      <c r="S400" s="654"/>
      <c r="T400" s="675"/>
      <c r="U400" s="675"/>
      <c r="V400" s="670" t="e">
        <f>LOOKUP(D400,'f-travail'!A:A,'f-travail'!E:E)</f>
        <v>#N/A</v>
      </c>
      <c r="W400" s="670" t="e">
        <f>VLOOKUP(V400,جرقمإستدلالي,'f-travail'!$AD$4+1,FALSE)</f>
        <v>#N/A</v>
      </c>
      <c r="X400" s="671" t="e">
        <f t="shared" si="169"/>
        <v>#N/A</v>
      </c>
      <c r="Y400" s="671">
        <f>IF(G400="مدير ولائي",(HLOOKUP(I400,جدروظعليا,'f-travail'!$AT$3+1,FALSE)-3200),0)</f>
        <v>0</v>
      </c>
      <c r="Z400" s="672" t="str">
        <f t="shared" si="180"/>
        <v/>
      </c>
      <c r="AA400" s="671">
        <f t="shared" si="181"/>
        <v>0</v>
      </c>
      <c r="AB400" s="677" t="b">
        <f t="shared" si="170"/>
        <v>0</v>
      </c>
      <c r="AC400" s="678">
        <f t="shared" si="182"/>
        <v>0</v>
      </c>
      <c r="AD400" s="673"/>
      <c r="AE400" s="678">
        <f t="shared" si="171"/>
        <v>0</v>
      </c>
      <c r="AF400" s="678" t="e">
        <f t="shared" si="172"/>
        <v>#N/A</v>
      </c>
      <c r="AG400" s="678" t="e">
        <f t="shared" si="173"/>
        <v>#N/A</v>
      </c>
      <c r="AH400" s="673">
        <f t="shared" si="183"/>
        <v>0</v>
      </c>
      <c r="AI400" s="674" t="e">
        <f>IF(G400="مدير ولائي",(11000*35%),LOOKUP(D400,'f-travail'!A:A,'f-travail'!I:I))</f>
        <v>#N/A</v>
      </c>
      <c r="AJ400" s="673" t="e">
        <f>IF(G400="مدير ولائي",((W400+X400)*45)*80%,IF(V400&lt;8,0,IF(F400="إليزي",(LOOKUP(D400,'f-travail'!A:A,'f-travail'!O:O))*(AF400+AG400),LOOKUP(D400,'f-travail'!A:A,'f-travail'!P:P)*(AF400+AG400))))</f>
        <v>#N/A</v>
      </c>
      <c r="AK400" s="673" t="e">
        <f>IF(G400="مدير ولائي",0,LOOKUP(D400,'f-travail'!A:A,'f-travail'!Q:Q))</f>
        <v>#N/A</v>
      </c>
      <c r="AL400" s="673" t="e">
        <f>IF(G400="مدير ولائي",0,LOOKUP(D400,'f-travail'!A:A,'f-travail'!R:R)*(AF400+AG400))</f>
        <v>#N/A</v>
      </c>
      <c r="AM400" s="673" t="e">
        <f>IF(G400="مدير ولائي",0,LOOKUP(D400,'f-travail'!A:A,'f-travail'!S:S)*(AF400+AG400))</f>
        <v>#N/A</v>
      </c>
      <c r="AN400" s="673" t="e">
        <f>IF(G400="مدير ولائي",0,LOOKUP(D400,'f-travail'!A:A,'f-travail'!T:T)*(AF400+AG400))</f>
        <v>#N/A</v>
      </c>
      <c r="AO400" s="673" t="e">
        <f>IF(G400="مدير ولائي",0,LOOKUP(D400,'f-travail'!A:A,'f-travail'!U:U)*(AF400+AG400))</f>
        <v>#N/A</v>
      </c>
      <c r="AP400" s="673" t="e">
        <f>IF(G400="مدير ولائي",0,LOOKUP(D400,'f-travail'!A:A,'f-travail'!V:V)*(AF400+AG400))</f>
        <v>#N/A</v>
      </c>
      <c r="AQ400" s="673" t="e">
        <f>IF(G400="مدير ولائي",0,LOOKUP(D400,'f-travail'!A:A,'f-travail'!W:W)*(AF400+AG400))</f>
        <v>#N/A</v>
      </c>
      <c r="AR400" s="673">
        <f t="shared" si="184"/>
        <v>0</v>
      </c>
      <c r="AS400" s="673" t="e">
        <f>IF(G400="مدير ولائي",0,LOOKUP(D400,'f-travail'!A:A,'f-travail'!X:X)*(AF400+AG400))</f>
        <v>#N/A</v>
      </c>
      <c r="AT400" s="673" t="e">
        <f>IF(G400="مدير ولائي",0,LOOKUP(D400,'f-travail'!Y:Y,'f-travail'!R:R)*(AF400+AG400))</f>
        <v>#N/A</v>
      </c>
      <c r="AU400" s="673">
        <f t="shared" si="174"/>
        <v>0</v>
      </c>
      <c r="AV400" s="673">
        <f t="shared" si="175"/>
        <v>0</v>
      </c>
      <c r="AW400" s="673">
        <f t="shared" si="176"/>
        <v>0</v>
      </c>
      <c r="AY400" s="640" t="e">
        <f t="shared" si="185"/>
        <v>#N/A</v>
      </c>
      <c r="AZ400" s="673" t="e">
        <f t="shared" si="177"/>
        <v>#N/A</v>
      </c>
      <c r="BA400" s="639" t="e">
        <f t="shared" si="178"/>
        <v>#N/A</v>
      </c>
      <c r="BG400" s="639">
        <f t="shared" si="186"/>
        <v>0</v>
      </c>
      <c r="BH400" s="683">
        <f t="shared" si="187"/>
        <v>0</v>
      </c>
      <c r="BI400" s="683">
        <f t="shared" si="188"/>
        <v>0</v>
      </c>
      <c r="BJ400" s="641" t="e">
        <f t="shared" si="189"/>
        <v>#N/A</v>
      </c>
      <c r="BK400" s="641" t="e">
        <f t="shared" si="190"/>
        <v>#N/A</v>
      </c>
      <c r="BL400" s="641" t="e">
        <f t="shared" si="191"/>
        <v>#N/A</v>
      </c>
      <c r="BM400" s="684" t="e">
        <f t="shared" si="192"/>
        <v>#N/A</v>
      </c>
      <c r="BO400" s="682" t="e">
        <f>CONCATENATE(Z400," ",LOOKUP(D400,'f-travail'!A:A,'f-travail'!F:F))</f>
        <v>#N/A</v>
      </c>
      <c r="BP400" s="669" t="e">
        <f t="shared" si="179"/>
        <v>#N/A</v>
      </c>
    </row>
    <row r="401" spans="1:68">
      <c r="A401" s="636">
        <f t="shared" si="193"/>
        <v>400</v>
      </c>
      <c r="B401" s="637"/>
      <c r="C401" s="637"/>
      <c r="D401" s="652"/>
      <c r="E401" s="679" t="e">
        <f>LOOKUP(D401,'f-travail'!A:A,'f-travail'!B:B)</f>
        <v>#N/A</v>
      </c>
      <c r="F401" s="650"/>
      <c r="G401" s="650"/>
      <c r="H401" s="653"/>
      <c r="I401" s="653"/>
      <c r="J401" s="654"/>
      <c r="K401" s="650"/>
      <c r="L401" s="650"/>
      <c r="M401" s="650">
        <v>0</v>
      </c>
      <c r="N401" s="654"/>
      <c r="O401" s="654"/>
      <c r="P401" s="654"/>
      <c r="Q401" s="654"/>
      <c r="R401" s="676"/>
      <c r="S401" s="654"/>
      <c r="T401" s="675"/>
      <c r="U401" s="675"/>
      <c r="V401" s="670" t="e">
        <f>LOOKUP(D401,'f-travail'!A:A,'f-travail'!E:E)</f>
        <v>#N/A</v>
      </c>
      <c r="W401" s="670" t="e">
        <f>VLOOKUP(V401,جرقمإستدلالي,'f-travail'!$AD$4+1,FALSE)</f>
        <v>#N/A</v>
      </c>
      <c r="X401" s="671" t="e">
        <f t="shared" si="169"/>
        <v>#N/A</v>
      </c>
      <c r="Y401" s="671">
        <f>IF(G401="مدير ولائي",(HLOOKUP(I401,جدروظعليا,'f-travail'!$AT$3+1,FALSE)-3200),0)</f>
        <v>0</v>
      </c>
      <c r="Z401" s="672" t="str">
        <f t="shared" si="180"/>
        <v/>
      </c>
      <c r="AA401" s="671">
        <f t="shared" si="181"/>
        <v>0</v>
      </c>
      <c r="AB401" s="677" t="b">
        <f t="shared" si="170"/>
        <v>0</v>
      </c>
      <c r="AC401" s="678">
        <f t="shared" si="182"/>
        <v>0</v>
      </c>
      <c r="AD401" s="673"/>
      <c r="AE401" s="678">
        <f t="shared" si="171"/>
        <v>0</v>
      </c>
      <c r="AF401" s="678" t="e">
        <f t="shared" si="172"/>
        <v>#N/A</v>
      </c>
      <c r="AG401" s="678" t="e">
        <f t="shared" si="173"/>
        <v>#N/A</v>
      </c>
      <c r="AH401" s="673">
        <f t="shared" si="183"/>
        <v>0</v>
      </c>
      <c r="AI401" s="674" t="e">
        <f>IF(G401="مدير ولائي",(11000*35%),LOOKUP(D401,'f-travail'!A:A,'f-travail'!I:I))</f>
        <v>#N/A</v>
      </c>
      <c r="AJ401" s="673" t="e">
        <f>IF(G401="مدير ولائي",((W401+X401)*45)*80%,IF(V401&lt;8,0,IF(F401="إليزي",(LOOKUP(D401,'f-travail'!A:A,'f-travail'!O:O))*(AF401+AG401),LOOKUP(D401,'f-travail'!A:A,'f-travail'!P:P)*(AF401+AG401))))</f>
        <v>#N/A</v>
      </c>
      <c r="AK401" s="673" t="e">
        <f>IF(G401="مدير ولائي",0,LOOKUP(D401,'f-travail'!A:A,'f-travail'!Q:Q))</f>
        <v>#N/A</v>
      </c>
      <c r="AL401" s="673" t="e">
        <f>IF(G401="مدير ولائي",0,LOOKUP(D401,'f-travail'!A:A,'f-travail'!R:R)*(AF401+AG401))</f>
        <v>#N/A</v>
      </c>
      <c r="AM401" s="673" t="e">
        <f>IF(G401="مدير ولائي",0,LOOKUP(D401,'f-travail'!A:A,'f-travail'!S:S)*(AF401+AG401))</f>
        <v>#N/A</v>
      </c>
      <c r="AN401" s="673" t="e">
        <f>IF(G401="مدير ولائي",0,LOOKUP(D401,'f-travail'!A:A,'f-travail'!T:T)*(AF401+AG401))</f>
        <v>#N/A</v>
      </c>
      <c r="AO401" s="673" t="e">
        <f>IF(G401="مدير ولائي",0,LOOKUP(D401,'f-travail'!A:A,'f-travail'!U:U)*(AF401+AG401))</f>
        <v>#N/A</v>
      </c>
      <c r="AP401" s="673" t="e">
        <f>IF(G401="مدير ولائي",0,LOOKUP(D401,'f-travail'!A:A,'f-travail'!V:V)*(AF401+AG401))</f>
        <v>#N/A</v>
      </c>
      <c r="AQ401" s="673" t="e">
        <f>IF(G401="مدير ولائي",0,LOOKUP(D401,'f-travail'!A:A,'f-travail'!W:W)*(AF401+AG401))</f>
        <v>#N/A</v>
      </c>
      <c r="AR401" s="673">
        <f t="shared" si="184"/>
        <v>0</v>
      </c>
      <c r="AS401" s="673" t="e">
        <f>IF(G401="مدير ولائي",0,LOOKUP(D401,'f-travail'!A:A,'f-travail'!X:X)*(AF401+AG401))</f>
        <v>#N/A</v>
      </c>
      <c r="AT401" s="673" t="e">
        <f>IF(G401="مدير ولائي",0,LOOKUP(D401,'f-travail'!Y:Y,'f-travail'!R:R)*(AF401+AG401))</f>
        <v>#N/A</v>
      </c>
      <c r="AU401" s="673">
        <f t="shared" si="174"/>
        <v>0</v>
      </c>
      <c r="AV401" s="673">
        <f t="shared" si="175"/>
        <v>0</v>
      </c>
      <c r="AW401" s="673">
        <f t="shared" si="176"/>
        <v>0</v>
      </c>
      <c r="AY401" s="640" t="e">
        <f t="shared" si="185"/>
        <v>#N/A</v>
      </c>
      <c r="AZ401" s="673" t="e">
        <f t="shared" si="177"/>
        <v>#N/A</v>
      </c>
      <c r="BA401" s="639" t="e">
        <f t="shared" si="178"/>
        <v>#N/A</v>
      </c>
      <c r="BG401" s="639">
        <f t="shared" si="186"/>
        <v>0</v>
      </c>
      <c r="BH401" s="683">
        <f t="shared" si="187"/>
        <v>0</v>
      </c>
      <c r="BI401" s="683">
        <f t="shared" si="188"/>
        <v>0</v>
      </c>
      <c r="BJ401" s="641" t="e">
        <f t="shared" si="189"/>
        <v>#N/A</v>
      </c>
      <c r="BK401" s="641" t="e">
        <f t="shared" si="190"/>
        <v>#N/A</v>
      </c>
      <c r="BL401" s="641" t="e">
        <f t="shared" si="191"/>
        <v>#N/A</v>
      </c>
      <c r="BM401" s="684" t="e">
        <f t="shared" si="192"/>
        <v>#N/A</v>
      </c>
      <c r="BO401" s="682" t="e">
        <f>CONCATENATE(Z401," ",LOOKUP(D401,'f-travail'!A:A,'f-travail'!F:F))</f>
        <v>#N/A</v>
      </c>
      <c r="BP401" s="669" t="e">
        <f t="shared" si="179"/>
        <v>#N/A</v>
      </c>
    </row>
    <row r="402" spans="1:68">
      <c r="A402" s="636">
        <f t="shared" si="193"/>
        <v>401</v>
      </c>
      <c r="B402" s="637"/>
      <c r="C402" s="637"/>
      <c r="D402" s="652"/>
      <c r="E402" s="679" t="e">
        <f>LOOKUP(D402,'f-travail'!A:A,'f-travail'!B:B)</f>
        <v>#N/A</v>
      </c>
      <c r="F402" s="650"/>
      <c r="G402" s="650"/>
      <c r="H402" s="653"/>
      <c r="I402" s="653"/>
      <c r="J402" s="654"/>
      <c r="K402" s="650"/>
      <c r="L402" s="650"/>
      <c r="M402" s="650">
        <v>0</v>
      </c>
      <c r="N402" s="654"/>
      <c r="O402" s="654"/>
      <c r="P402" s="654"/>
      <c r="Q402" s="654"/>
      <c r="R402" s="676"/>
      <c r="S402" s="654"/>
      <c r="T402" s="675"/>
      <c r="U402" s="675"/>
      <c r="V402" s="670" t="e">
        <f>LOOKUP(D402,'f-travail'!A:A,'f-travail'!E:E)</f>
        <v>#N/A</v>
      </c>
      <c r="W402" s="670" t="e">
        <f>VLOOKUP(V402,جرقمإستدلالي,'f-travail'!$AD$4+1,FALSE)</f>
        <v>#N/A</v>
      </c>
      <c r="X402" s="671" t="e">
        <f t="shared" si="169"/>
        <v>#N/A</v>
      </c>
      <c r="Y402" s="671">
        <f>IF(G402="مدير ولائي",(HLOOKUP(I402,جدروظعليا,'f-travail'!$AT$3+1,FALSE)-3200),0)</f>
        <v>0</v>
      </c>
      <c r="Z402" s="672" t="str">
        <f t="shared" si="180"/>
        <v/>
      </c>
      <c r="AA402" s="671">
        <f t="shared" si="181"/>
        <v>0</v>
      </c>
      <c r="AB402" s="677" t="b">
        <f t="shared" si="170"/>
        <v>0</v>
      </c>
      <c r="AC402" s="678">
        <f t="shared" si="182"/>
        <v>0</v>
      </c>
      <c r="AD402" s="673"/>
      <c r="AE402" s="678">
        <f t="shared" si="171"/>
        <v>0</v>
      </c>
      <c r="AF402" s="678" t="e">
        <f t="shared" si="172"/>
        <v>#N/A</v>
      </c>
      <c r="AG402" s="678" t="e">
        <f t="shared" si="173"/>
        <v>#N/A</v>
      </c>
      <c r="AH402" s="673">
        <f t="shared" si="183"/>
        <v>0</v>
      </c>
      <c r="AI402" s="674" t="e">
        <f>IF(G402="مدير ولائي",(11000*35%),LOOKUP(D402,'f-travail'!A:A,'f-travail'!I:I))</f>
        <v>#N/A</v>
      </c>
      <c r="AJ402" s="673" t="e">
        <f>IF(G402="مدير ولائي",((W402+X402)*45)*80%,IF(V402&lt;8,0,IF(F402="إليزي",(LOOKUP(D402,'f-travail'!A:A,'f-travail'!O:O))*(AF402+AG402),LOOKUP(D402,'f-travail'!A:A,'f-travail'!P:P)*(AF402+AG402))))</f>
        <v>#N/A</v>
      </c>
      <c r="AK402" s="673" t="e">
        <f>IF(G402="مدير ولائي",0,LOOKUP(D402,'f-travail'!A:A,'f-travail'!Q:Q))</f>
        <v>#N/A</v>
      </c>
      <c r="AL402" s="673" t="e">
        <f>IF(G402="مدير ولائي",0,LOOKUP(D402,'f-travail'!A:A,'f-travail'!R:R)*(AF402+AG402))</f>
        <v>#N/A</v>
      </c>
      <c r="AM402" s="673" t="e">
        <f>IF(G402="مدير ولائي",0,LOOKUP(D402,'f-travail'!A:A,'f-travail'!S:S)*(AF402+AG402))</f>
        <v>#N/A</v>
      </c>
      <c r="AN402" s="673" t="e">
        <f>IF(G402="مدير ولائي",0,LOOKUP(D402,'f-travail'!A:A,'f-travail'!T:T)*(AF402+AG402))</f>
        <v>#N/A</v>
      </c>
      <c r="AO402" s="673" t="e">
        <f>IF(G402="مدير ولائي",0,LOOKUP(D402,'f-travail'!A:A,'f-travail'!U:U)*(AF402+AG402))</f>
        <v>#N/A</v>
      </c>
      <c r="AP402" s="673" t="e">
        <f>IF(G402="مدير ولائي",0,LOOKUP(D402,'f-travail'!A:A,'f-travail'!V:V)*(AF402+AG402))</f>
        <v>#N/A</v>
      </c>
      <c r="AQ402" s="673" t="e">
        <f>IF(G402="مدير ولائي",0,LOOKUP(D402,'f-travail'!A:A,'f-travail'!W:W)*(AF402+AG402))</f>
        <v>#N/A</v>
      </c>
      <c r="AR402" s="673">
        <f t="shared" si="184"/>
        <v>0</v>
      </c>
      <c r="AS402" s="673" t="e">
        <f>IF(G402="مدير ولائي",0,LOOKUP(D402,'f-travail'!A:A,'f-travail'!X:X)*(AF402+AG402))</f>
        <v>#N/A</v>
      </c>
      <c r="AT402" s="673" t="e">
        <f>IF(G402="مدير ولائي",0,LOOKUP(D402,'f-travail'!Y:Y,'f-travail'!R:R)*(AF402+AG402))</f>
        <v>#N/A</v>
      </c>
      <c r="AU402" s="673">
        <f t="shared" si="174"/>
        <v>0</v>
      </c>
      <c r="AV402" s="673">
        <f t="shared" si="175"/>
        <v>0</v>
      </c>
      <c r="AW402" s="673">
        <f t="shared" si="176"/>
        <v>0</v>
      </c>
      <c r="AY402" s="640" t="e">
        <f t="shared" si="185"/>
        <v>#N/A</v>
      </c>
      <c r="AZ402" s="673" t="e">
        <f t="shared" si="177"/>
        <v>#N/A</v>
      </c>
      <c r="BA402" s="639" t="e">
        <f t="shared" si="178"/>
        <v>#N/A</v>
      </c>
      <c r="BG402" s="639">
        <f t="shared" si="186"/>
        <v>0</v>
      </c>
      <c r="BH402" s="683">
        <f t="shared" si="187"/>
        <v>0</v>
      </c>
      <c r="BI402" s="683">
        <f t="shared" si="188"/>
        <v>0</v>
      </c>
      <c r="BJ402" s="641" t="e">
        <f t="shared" si="189"/>
        <v>#N/A</v>
      </c>
      <c r="BK402" s="641" t="e">
        <f t="shared" si="190"/>
        <v>#N/A</v>
      </c>
      <c r="BL402" s="641" t="e">
        <f t="shared" si="191"/>
        <v>#N/A</v>
      </c>
      <c r="BM402" s="684" t="e">
        <f t="shared" si="192"/>
        <v>#N/A</v>
      </c>
      <c r="BO402" s="682" t="e">
        <f>CONCATENATE(Z402," ",LOOKUP(D402,'f-travail'!A:A,'f-travail'!F:F))</f>
        <v>#N/A</v>
      </c>
      <c r="BP402" s="669" t="e">
        <f t="shared" si="179"/>
        <v>#N/A</v>
      </c>
    </row>
    <row r="403" spans="1:68">
      <c r="A403" s="636">
        <f t="shared" si="193"/>
        <v>402</v>
      </c>
      <c r="B403" s="637"/>
      <c r="C403" s="637"/>
      <c r="D403" s="652"/>
      <c r="E403" s="679" t="e">
        <f>LOOKUP(D403,'f-travail'!A:A,'f-travail'!B:B)</f>
        <v>#N/A</v>
      </c>
      <c r="F403" s="650"/>
      <c r="G403" s="650"/>
      <c r="H403" s="653"/>
      <c r="I403" s="653"/>
      <c r="J403" s="654"/>
      <c r="K403" s="650"/>
      <c r="L403" s="650"/>
      <c r="M403" s="650">
        <v>0</v>
      </c>
      <c r="N403" s="654"/>
      <c r="O403" s="654"/>
      <c r="P403" s="654"/>
      <c r="Q403" s="654"/>
      <c r="R403" s="676"/>
      <c r="S403" s="654"/>
      <c r="T403" s="675"/>
      <c r="U403" s="675"/>
      <c r="V403" s="670" t="e">
        <f>LOOKUP(D403,'f-travail'!A:A,'f-travail'!E:E)</f>
        <v>#N/A</v>
      </c>
      <c r="W403" s="670" t="e">
        <f>VLOOKUP(V403,جرقمإستدلالي,'f-travail'!$AD$4+1,FALSE)</f>
        <v>#N/A</v>
      </c>
      <c r="X403" s="671" t="e">
        <f t="shared" si="169"/>
        <v>#N/A</v>
      </c>
      <c r="Y403" s="671">
        <f>IF(G403="مدير ولائي",(HLOOKUP(I403,جدروظعليا,'f-travail'!$AT$3+1,FALSE)-3200),0)</f>
        <v>0</v>
      </c>
      <c r="Z403" s="672" t="str">
        <f t="shared" si="180"/>
        <v/>
      </c>
      <c r="AA403" s="671">
        <f t="shared" si="181"/>
        <v>0</v>
      </c>
      <c r="AB403" s="677" t="b">
        <f t="shared" si="170"/>
        <v>0</v>
      </c>
      <c r="AC403" s="678">
        <f t="shared" si="182"/>
        <v>0</v>
      </c>
      <c r="AD403" s="673"/>
      <c r="AE403" s="678">
        <f t="shared" si="171"/>
        <v>0</v>
      </c>
      <c r="AF403" s="678" t="e">
        <f t="shared" si="172"/>
        <v>#N/A</v>
      </c>
      <c r="AG403" s="678" t="e">
        <f t="shared" si="173"/>
        <v>#N/A</v>
      </c>
      <c r="AH403" s="673">
        <f t="shared" si="183"/>
        <v>0</v>
      </c>
      <c r="AI403" s="674" t="e">
        <f>IF(G403="مدير ولائي",(11000*35%),LOOKUP(D403,'f-travail'!A:A,'f-travail'!I:I))</f>
        <v>#N/A</v>
      </c>
      <c r="AJ403" s="673" t="e">
        <f>IF(G403="مدير ولائي",((W403+X403)*45)*80%,IF(V403&lt;8,0,IF(F403="إليزي",(LOOKUP(D403,'f-travail'!A:A,'f-travail'!O:O))*(AF403+AG403),LOOKUP(D403,'f-travail'!A:A,'f-travail'!P:P)*(AF403+AG403))))</f>
        <v>#N/A</v>
      </c>
      <c r="AK403" s="673" t="e">
        <f>IF(G403="مدير ولائي",0,LOOKUP(D403,'f-travail'!A:A,'f-travail'!Q:Q))</f>
        <v>#N/A</v>
      </c>
      <c r="AL403" s="673" t="e">
        <f>IF(G403="مدير ولائي",0,LOOKUP(D403,'f-travail'!A:A,'f-travail'!R:R)*(AF403+AG403))</f>
        <v>#N/A</v>
      </c>
      <c r="AM403" s="673" t="e">
        <f>IF(G403="مدير ولائي",0,LOOKUP(D403,'f-travail'!A:A,'f-travail'!S:S)*(AF403+AG403))</f>
        <v>#N/A</v>
      </c>
      <c r="AN403" s="673" t="e">
        <f>IF(G403="مدير ولائي",0,LOOKUP(D403,'f-travail'!A:A,'f-travail'!T:T)*(AF403+AG403))</f>
        <v>#N/A</v>
      </c>
      <c r="AO403" s="673" t="e">
        <f>IF(G403="مدير ولائي",0,LOOKUP(D403,'f-travail'!A:A,'f-travail'!U:U)*(AF403+AG403))</f>
        <v>#N/A</v>
      </c>
      <c r="AP403" s="673" t="e">
        <f>IF(G403="مدير ولائي",0,LOOKUP(D403,'f-travail'!A:A,'f-travail'!V:V)*(AF403+AG403))</f>
        <v>#N/A</v>
      </c>
      <c r="AQ403" s="673" t="e">
        <f>IF(G403="مدير ولائي",0,LOOKUP(D403,'f-travail'!A:A,'f-travail'!W:W)*(AF403+AG403))</f>
        <v>#N/A</v>
      </c>
      <c r="AR403" s="673">
        <f t="shared" si="184"/>
        <v>0</v>
      </c>
      <c r="AS403" s="673" t="e">
        <f>IF(G403="مدير ولائي",0,LOOKUP(D403,'f-travail'!A:A,'f-travail'!X:X)*(AF403+AG403))</f>
        <v>#N/A</v>
      </c>
      <c r="AT403" s="673" t="e">
        <f>IF(G403="مدير ولائي",0,LOOKUP(D403,'f-travail'!Y:Y,'f-travail'!R:R)*(AF403+AG403))</f>
        <v>#N/A</v>
      </c>
      <c r="AU403" s="673">
        <f t="shared" si="174"/>
        <v>0</v>
      </c>
      <c r="AV403" s="673">
        <f t="shared" si="175"/>
        <v>0</v>
      </c>
      <c r="AW403" s="673">
        <f t="shared" si="176"/>
        <v>0</v>
      </c>
      <c r="AY403" s="640" t="e">
        <f t="shared" si="185"/>
        <v>#N/A</v>
      </c>
      <c r="AZ403" s="673" t="e">
        <f t="shared" si="177"/>
        <v>#N/A</v>
      </c>
      <c r="BA403" s="639" t="e">
        <f t="shared" si="178"/>
        <v>#N/A</v>
      </c>
      <c r="BG403" s="639">
        <f t="shared" si="186"/>
        <v>0</v>
      </c>
      <c r="BH403" s="683">
        <f t="shared" si="187"/>
        <v>0</v>
      </c>
      <c r="BI403" s="683">
        <f t="shared" si="188"/>
        <v>0</v>
      </c>
      <c r="BJ403" s="641" t="e">
        <f t="shared" si="189"/>
        <v>#N/A</v>
      </c>
      <c r="BK403" s="641" t="e">
        <f t="shared" si="190"/>
        <v>#N/A</v>
      </c>
      <c r="BL403" s="641" t="e">
        <f t="shared" si="191"/>
        <v>#N/A</v>
      </c>
      <c r="BM403" s="684" t="e">
        <f t="shared" si="192"/>
        <v>#N/A</v>
      </c>
      <c r="BO403" s="682" t="e">
        <f>CONCATENATE(Z403," ",LOOKUP(D403,'f-travail'!A:A,'f-travail'!F:F))</f>
        <v>#N/A</v>
      </c>
      <c r="BP403" s="669" t="e">
        <f t="shared" si="179"/>
        <v>#N/A</v>
      </c>
    </row>
    <row r="404" spans="1:68">
      <c r="A404" s="636">
        <f t="shared" si="193"/>
        <v>403</v>
      </c>
      <c r="B404" s="637"/>
      <c r="C404" s="637"/>
      <c r="D404" s="652"/>
      <c r="E404" s="679" t="e">
        <f>LOOKUP(D404,'f-travail'!A:A,'f-travail'!B:B)</f>
        <v>#N/A</v>
      </c>
      <c r="F404" s="650"/>
      <c r="G404" s="650"/>
      <c r="H404" s="653"/>
      <c r="I404" s="653"/>
      <c r="J404" s="654"/>
      <c r="K404" s="650"/>
      <c r="L404" s="650"/>
      <c r="M404" s="650">
        <v>0</v>
      </c>
      <c r="N404" s="654"/>
      <c r="O404" s="654"/>
      <c r="P404" s="654"/>
      <c r="Q404" s="654"/>
      <c r="R404" s="676"/>
      <c r="S404" s="654"/>
      <c r="T404" s="675"/>
      <c r="U404" s="675"/>
      <c r="V404" s="670" t="e">
        <f>LOOKUP(D404,'f-travail'!A:A,'f-travail'!E:E)</f>
        <v>#N/A</v>
      </c>
      <c r="W404" s="670" t="e">
        <f>VLOOKUP(V404,جرقمإستدلالي,'f-travail'!$AD$4+1,FALSE)</f>
        <v>#N/A</v>
      </c>
      <c r="X404" s="671" t="e">
        <f t="shared" si="169"/>
        <v>#N/A</v>
      </c>
      <c r="Y404" s="671">
        <f>IF(G404="مدير ولائي",(HLOOKUP(I404,جدروظعليا,'f-travail'!$AT$3+1,FALSE)-3200),0)</f>
        <v>0</v>
      </c>
      <c r="Z404" s="672" t="str">
        <f t="shared" si="180"/>
        <v/>
      </c>
      <c r="AA404" s="671">
        <f t="shared" si="181"/>
        <v>0</v>
      </c>
      <c r="AB404" s="677" t="b">
        <f t="shared" si="170"/>
        <v>0</v>
      </c>
      <c r="AC404" s="678">
        <f t="shared" si="182"/>
        <v>0</v>
      </c>
      <c r="AD404" s="673"/>
      <c r="AE404" s="678">
        <f t="shared" si="171"/>
        <v>0</v>
      </c>
      <c r="AF404" s="678" t="e">
        <f t="shared" si="172"/>
        <v>#N/A</v>
      </c>
      <c r="AG404" s="678" t="e">
        <f t="shared" si="173"/>
        <v>#N/A</v>
      </c>
      <c r="AH404" s="673">
        <f t="shared" si="183"/>
        <v>0</v>
      </c>
      <c r="AI404" s="674" t="e">
        <f>IF(G404="مدير ولائي",(11000*35%),LOOKUP(D404,'f-travail'!A:A,'f-travail'!I:I))</f>
        <v>#N/A</v>
      </c>
      <c r="AJ404" s="673" t="e">
        <f>IF(G404="مدير ولائي",((W404+X404)*45)*80%,IF(V404&lt;8,0,IF(F404="إليزي",(LOOKUP(D404,'f-travail'!A:A,'f-travail'!O:O))*(AF404+AG404),LOOKUP(D404,'f-travail'!A:A,'f-travail'!P:P)*(AF404+AG404))))</f>
        <v>#N/A</v>
      </c>
      <c r="AK404" s="673" t="e">
        <f>IF(G404="مدير ولائي",0,LOOKUP(D404,'f-travail'!A:A,'f-travail'!Q:Q))</f>
        <v>#N/A</v>
      </c>
      <c r="AL404" s="673" t="e">
        <f>IF(G404="مدير ولائي",0,LOOKUP(D404,'f-travail'!A:A,'f-travail'!R:R)*(AF404+AG404))</f>
        <v>#N/A</v>
      </c>
      <c r="AM404" s="673" t="e">
        <f>IF(G404="مدير ولائي",0,LOOKUP(D404,'f-travail'!A:A,'f-travail'!S:S)*(AF404+AG404))</f>
        <v>#N/A</v>
      </c>
      <c r="AN404" s="673" t="e">
        <f>IF(G404="مدير ولائي",0,LOOKUP(D404,'f-travail'!A:A,'f-travail'!T:T)*(AF404+AG404))</f>
        <v>#N/A</v>
      </c>
      <c r="AO404" s="673" t="e">
        <f>IF(G404="مدير ولائي",0,LOOKUP(D404,'f-travail'!A:A,'f-travail'!U:U)*(AF404+AG404))</f>
        <v>#N/A</v>
      </c>
      <c r="AP404" s="673" t="e">
        <f>IF(G404="مدير ولائي",0,LOOKUP(D404,'f-travail'!A:A,'f-travail'!V:V)*(AF404+AG404))</f>
        <v>#N/A</v>
      </c>
      <c r="AQ404" s="673" t="e">
        <f>IF(G404="مدير ولائي",0,LOOKUP(D404,'f-travail'!A:A,'f-travail'!W:W)*(AF404+AG404))</f>
        <v>#N/A</v>
      </c>
      <c r="AR404" s="673">
        <f t="shared" si="184"/>
        <v>0</v>
      </c>
      <c r="AS404" s="673" t="e">
        <f>IF(G404="مدير ولائي",0,LOOKUP(D404,'f-travail'!A:A,'f-travail'!X:X)*(AF404+AG404))</f>
        <v>#N/A</v>
      </c>
      <c r="AT404" s="673" t="e">
        <f>IF(G404="مدير ولائي",0,LOOKUP(D404,'f-travail'!Y:Y,'f-travail'!R:R)*(AF404+AG404))</f>
        <v>#N/A</v>
      </c>
      <c r="AU404" s="673">
        <f t="shared" si="174"/>
        <v>0</v>
      </c>
      <c r="AV404" s="673">
        <f t="shared" si="175"/>
        <v>0</v>
      </c>
      <c r="AW404" s="673">
        <f t="shared" si="176"/>
        <v>0</v>
      </c>
      <c r="AY404" s="640" t="e">
        <f t="shared" si="185"/>
        <v>#N/A</v>
      </c>
      <c r="AZ404" s="673" t="e">
        <f t="shared" si="177"/>
        <v>#N/A</v>
      </c>
      <c r="BA404" s="639" t="e">
        <f t="shared" si="178"/>
        <v>#N/A</v>
      </c>
      <c r="BG404" s="639">
        <f t="shared" si="186"/>
        <v>0</v>
      </c>
      <c r="BH404" s="683">
        <f t="shared" si="187"/>
        <v>0</v>
      </c>
      <c r="BI404" s="683">
        <f t="shared" si="188"/>
        <v>0</v>
      </c>
      <c r="BJ404" s="641" t="e">
        <f t="shared" si="189"/>
        <v>#N/A</v>
      </c>
      <c r="BK404" s="641" t="e">
        <f t="shared" si="190"/>
        <v>#N/A</v>
      </c>
      <c r="BL404" s="641" t="e">
        <f t="shared" si="191"/>
        <v>#N/A</v>
      </c>
      <c r="BM404" s="684" t="e">
        <f t="shared" si="192"/>
        <v>#N/A</v>
      </c>
      <c r="BO404" s="682" t="e">
        <f>CONCATENATE(Z404," ",LOOKUP(D404,'f-travail'!A:A,'f-travail'!F:F))</f>
        <v>#N/A</v>
      </c>
      <c r="BP404" s="669" t="e">
        <f t="shared" si="179"/>
        <v>#N/A</v>
      </c>
    </row>
    <row r="405" spans="1:68">
      <c r="A405" s="636">
        <f t="shared" si="193"/>
        <v>404</v>
      </c>
      <c r="B405" s="637"/>
      <c r="C405" s="637"/>
      <c r="D405" s="652"/>
      <c r="E405" s="679" t="e">
        <f>LOOKUP(D405,'f-travail'!A:A,'f-travail'!B:B)</f>
        <v>#N/A</v>
      </c>
      <c r="F405" s="650"/>
      <c r="G405" s="650"/>
      <c r="H405" s="653"/>
      <c r="I405" s="653"/>
      <c r="J405" s="654"/>
      <c r="K405" s="650"/>
      <c r="L405" s="650"/>
      <c r="M405" s="650">
        <v>0</v>
      </c>
      <c r="N405" s="654"/>
      <c r="O405" s="654"/>
      <c r="P405" s="654"/>
      <c r="Q405" s="654"/>
      <c r="R405" s="676"/>
      <c r="S405" s="654"/>
      <c r="T405" s="675"/>
      <c r="U405" s="675"/>
      <c r="V405" s="670" t="e">
        <f>LOOKUP(D405,'f-travail'!A:A,'f-travail'!E:E)</f>
        <v>#N/A</v>
      </c>
      <c r="W405" s="670" t="e">
        <f>VLOOKUP(V405,جرقمإستدلالي,'f-travail'!$AD$4+1,FALSE)</f>
        <v>#N/A</v>
      </c>
      <c r="X405" s="671" t="e">
        <f t="shared" si="169"/>
        <v>#N/A</v>
      </c>
      <c r="Y405" s="671">
        <f>IF(G405="مدير ولائي",(HLOOKUP(I405,جدروظعليا,'f-travail'!$AT$3+1,FALSE)-3200),0)</f>
        <v>0</v>
      </c>
      <c r="Z405" s="672" t="str">
        <f t="shared" si="180"/>
        <v/>
      </c>
      <c r="AA405" s="671">
        <f t="shared" si="181"/>
        <v>0</v>
      </c>
      <c r="AB405" s="677" t="b">
        <f t="shared" si="170"/>
        <v>0</v>
      </c>
      <c r="AC405" s="678">
        <f t="shared" si="182"/>
        <v>0</v>
      </c>
      <c r="AD405" s="673"/>
      <c r="AE405" s="678">
        <f t="shared" si="171"/>
        <v>0</v>
      </c>
      <c r="AF405" s="678" t="e">
        <f t="shared" si="172"/>
        <v>#N/A</v>
      </c>
      <c r="AG405" s="678" t="e">
        <f t="shared" si="173"/>
        <v>#N/A</v>
      </c>
      <c r="AH405" s="673">
        <f t="shared" si="183"/>
        <v>0</v>
      </c>
      <c r="AI405" s="674" t="e">
        <f>IF(G405="مدير ولائي",(11000*35%),LOOKUP(D405,'f-travail'!A:A,'f-travail'!I:I))</f>
        <v>#N/A</v>
      </c>
      <c r="AJ405" s="673" t="e">
        <f>IF(G405="مدير ولائي",((W405+X405)*45)*80%,IF(V405&lt;8,0,IF(F405="إليزي",(LOOKUP(D405,'f-travail'!A:A,'f-travail'!O:O))*(AF405+AG405),LOOKUP(D405,'f-travail'!A:A,'f-travail'!P:P)*(AF405+AG405))))</f>
        <v>#N/A</v>
      </c>
      <c r="AK405" s="673" t="e">
        <f>IF(G405="مدير ولائي",0,LOOKUP(D405,'f-travail'!A:A,'f-travail'!Q:Q))</f>
        <v>#N/A</v>
      </c>
      <c r="AL405" s="673" t="e">
        <f>IF(G405="مدير ولائي",0,LOOKUP(D405,'f-travail'!A:A,'f-travail'!R:R)*(AF405+AG405))</f>
        <v>#N/A</v>
      </c>
      <c r="AM405" s="673" t="e">
        <f>IF(G405="مدير ولائي",0,LOOKUP(D405,'f-travail'!A:A,'f-travail'!S:S)*(AF405+AG405))</f>
        <v>#N/A</v>
      </c>
      <c r="AN405" s="673" t="e">
        <f>IF(G405="مدير ولائي",0,LOOKUP(D405,'f-travail'!A:A,'f-travail'!T:T)*(AF405+AG405))</f>
        <v>#N/A</v>
      </c>
      <c r="AO405" s="673" t="e">
        <f>IF(G405="مدير ولائي",0,LOOKUP(D405,'f-travail'!A:A,'f-travail'!U:U)*(AF405+AG405))</f>
        <v>#N/A</v>
      </c>
      <c r="AP405" s="673" t="e">
        <f>IF(G405="مدير ولائي",0,LOOKUP(D405,'f-travail'!A:A,'f-travail'!V:V)*(AF405+AG405))</f>
        <v>#N/A</v>
      </c>
      <c r="AQ405" s="673" t="e">
        <f>IF(G405="مدير ولائي",0,LOOKUP(D405,'f-travail'!A:A,'f-travail'!W:W)*(AF405+AG405))</f>
        <v>#N/A</v>
      </c>
      <c r="AR405" s="673">
        <f t="shared" si="184"/>
        <v>0</v>
      </c>
      <c r="AS405" s="673" t="e">
        <f>IF(G405="مدير ولائي",0,LOOKUP(D405,'f-travail'!A:A,'f-travail'!X:X)*(AF405+AG405))</f>
        <v>#N/A</v>
      </c>
      <c r="AT405" s="673" t="e">
        <f>IF(G405="مدير ولائي",0,LOOKUP(D405,'f-travail'!Y:Y,'f-travail'!R:R)*(AF405+AG405))</f>
        <v>#N/A</v>
      </c>
      <c r="AU405" s="673">
        <f t="shared" si="174"/>
        <v>0</v>
      </c>
      <c r="AV405" s="673">
        <f t="shared" si="175"/>
        <v>0</v>
      </c>
      <c r="AW405" s="673">
        <f t="shared" si="176"/>
        <v>0</v>
      </c>
      <c r="AY405" s="640" t="e">
        <f t="shared" si="185"/>
        <v>#N/A</v>
      </c>
      <c r="AZ405" s="673" t="e">
        <f t="shared" si="177"/>
        <v>#N/A</v>
      </c>
      <c r="BA405" s="639" t="e">
        <f t="shared" si="178"/>
        <v>#N/A</v>
      </c>
      <c r="BG405" s="639">
        <f t="shared" si="186"/>
        <v>0</v>
      </c>
      <c r="BH405" s="683">
        <f t="shared" si="187"/>
        <v>0</v>
      </c>
      <c r="BI405" s="683">
        <f t="shared" si="188"/>
        <v>0</v>
      </c>
      <c r="BJ405" s="641" t="e">
        <f t="shared" si="189"/>
        <v>#N/A</v>
      </c>
      <c r="BK405" s="641" t="e">
        <f t="shared" si="190"/>
        <v>#N/A</v>
      </c>
      <c r="BL405" s="641" t="e">
        <f t="shared" si="191"/>
        <v>#N/A</v>
      </c>
      <c r="BM405" s="684" t="e">
        <f t="shared" si="192"/>
        <v>#N/A</v>
      </c>
      <c r="BO405" s="682" t="e">
        <f>CONCATENATE(Z405," ",LOOKUP(D405,'f-travail'!A:A,'f-travail'!F:F))</f>
        <v>#N/A</v>
      </c>
      <c r="BP405" s="669" t="e">
        <f t="shared" si="179"/>
        <v>#N/A</v>
      </c>
    </row>
    <row r="406" spans="1:68">
      <c r="A406" s="636">
        <f t="shared" si="193"/>
        <v>405</v>
      </c>
      <c r="B406" s="637"/>
      <c r="C406" s="637"/>
      <c r="D406" s="652"/>
      <c r="E406" s="679" t="e">
        <f>LOOKUP(D406,'f-travail'!A:A,'f-travail'!B:B)</f>
        <v>#N/A</v>
      </c>
      <c r="F406" s="650"/>
      <c r="G406" s="650"/>
      <c r="H406" s="653"/>
      <c r="I406" s="653"/>
      <c r="J406" s="654"/>
      <c r="K406" s="650"/>
      <c r="L406" s="650"/>
      <c r="M406" s="650">
        <v>0</v>
      </c>
      <c r="N406" s="654"/>
      <c r="O406" s="654"/>
      <c r="P406" s="654"/>
      <c r="Q406" s="654"/>
      <c r="R406" s="676"/>
      <c r="S406" s="654"/>
      <c r="T406" s="675"/>
      <c r="U406" s="675"/>
      <c r="V406" s="670" t="e">
        <f>LOOKUP(D406,'f-travail'!A:A,'f-travail'!E:E)</f>
        <v>#N/A</v>
      </c>
      <c r="W406" s="670" t="e">
        <f>VLOOKUP(V406,جرقمإستدلالي,'f-travail'!$AD$4+1,FALSE)</f>
        <v>#N/A</v>
      </c>
      <c r="X406" s="671" t="e">
        <f t="shared" si="169"/>
        <v>#N/A</v>
      </c>
      <c r="Y406" s="671">
        <f>IF(G406="مدير ولائي",(HLOOKUP(I406,جدروظعليا,'f-travail'!$AT$3+1,FALSE)-3200),0)</f>
        <v>0</v>
      </c>
      <c r="Z406" s="672" t="str">
        <f t="shared" si="180"/>
        <v/>
      </c>
      <c r="AA406" s="671">
        <f t="shared" si="181"/>
        <v>0</v>
      </c>
      <c r="AB406" s="677" t="b">
        <f t="shared" si="170"/>
        <v>0</v>
      </c>
      <c r="AC406" s="678">
        <f t="shared" si="182"/>
        <v>0</v>
      </c>
      <c r="AD406" s="673"/>
      <c r="AE406" s="678">
        <f t="shared" si="171"/>
        <v>0</v>
      </c>
      <c r="AF406" s="678" t="e">
        <f t="shared" si="172"/>
        <v>#N/A</v>
      </c>
      <c r="AG406" s="678" t="e">
        <f t="shared" si="173"/>
        <v>#N/A</v>
      </c>
      <c r="AH406" s="673">
        <f t="shared" si="183"/>
        <v>0</v>
      </c>
      <c r="AI406" s="674" t="e">
        <f>IF(G406="مدير ولائي",(11000*35%),LOOKUP(D406,'f-travail'!A:A,'f-travail'!I:I))</f>
        <v>#N/A</v>
      </c>
      <c r="AJ406" s="673" t="e">
        <f>IF(G406="مدير ولائي",((W406+X406)*45)*80%,IF(V406&lt;8,0,IF(F406="إليزي",(LOOKUP(D406,'f-travail'!A:A,'f-travail'!O:O))*(AF406+AG406),LOOKUP(D406,'f-travail'!A:A,'f-travail'!P:P)*(AF406+AG406))))</f>
        <v>#N/A</v>
      </c>
      <c r="AK406" s="673" t="e">
        <f>IF(G406="مدير ولائي",0,LOOKUP(D406,'f-travail'!A:A,'f-travail'!Q:Q))</f>
        <v>#N/A</v>
      </c>
      <c r="AL406" s="673" t="e">
        <f>IF(G406="مدير ولائي",0,LOOKUP(D406,'f-travail'!A:A,'f-travail'!R:R)*(AF406+AG406))</f>
        <v>#N/A</v>
      </c>
      <c r="AM406" s="673" t="e">
        <f>IF(G406="مدير ولائي",0,LOOKUP(D406,'f-travail'!A:A,'f-travail'!S:S)*(AF406+AG406))</f>
        <v>#N/A</v>
      </c>
      <c r="AN406" s="673" t="e">
        <f>IF(G406="مدير ولائي",0,LOOKUP(D406,'f-travail'!A:A,'f-travail'!T:T)*(AF406+AG406))</f>
        <v>#N/A</v>
      </c>
      <c r="AO406" s="673" t="e">
        <f>IF(G406="مدير ولائي",0,LOOKUP(D406,'f-travail'!A:A,'f-travail'!U:U)*(AF406+AG406))</f>
        <v>#N/A</v>
      </c>
      <c r="AP406" s="673" t="e">
        <f>IF(G406="مدير ولائي",0,LOOKUP(D406,'f-travail'!A:A,'f-travail'!V:V)*(AF406+AG406))</f>
        <v>#N/A</v>
      </c>
      <c r="AQ406" s="673" t="e">
        <f>IF(G406="مدير ولائي",0,LOOKUP(D406,'f-travail'!A:A,'f-travail'!W:W)*(AF406+AG406))</f>
        <v>#N/A</v>
      </c>
      <c r="AR406" s="673">
        <f t="shared" si="184"/>
        <v>0</v>
      </c>
      <c r="AS406" s="673" t="e">
        <f>IF(G406="مدير ولائي",0,LOOKUP(D406,'f-travail'!A:A,'f-travail'!X:X)*(AF406+AG406))</f>
        <v>#N/A</v>
      </c>
      <c r="AT406" s="673" t="e">
        <f>IF(G406="مدير ولائي",0,LOOKUP(D406,'f-travail'!Y:Y,'f-travail'!R:R)*(AF406+AG406))</f>
        <v>#N/A</v>
      </c>
      <c r="AU406" s="673">
        <f t="shared" si="174"/>
        <v>0</v>
      </c>
      <c r="AV406" s="673">
        <f t="shared" si="175"/>
        <v>0</v>
      </c>
      <c r="AW406" s="673">
        <f t="shared" si="176"/>
        <v>0</v>
      </c>
      <c r="AY406" s="640" t="e">
        <f t="shared" si="185"/>
        <v>#N/A</v>
      </c>
      <c r="AZ406" s="673" t="e">
        <f t="shared" si="177"/>
        <v>#N/A</v>
      </c>
      <c r="BA406" s="639" t="e">
        <f t="shared" si="178"/>
        <v>#N/A</v>
      </c>
      <c r="BG406" s="639">
        <f t="shared" si="186"/>
        <v>0</v>
      </c>
      <c r="BH406" s="683">
        <f t="shared" si="187"/>
        <v>0</v>
      </c>
      <c r="BI406" s="683">
        <f t="shared" si="188"/>
        <v>0</v>
      </c>
      <c r="BJ406" s="641" t="e">
        <f t="shared" si="189"/>
        <v>#N/A</v>
      </c>
      <c r="BK406" s="641" t="e">
        <f t="shared" si="190"/>
        <v>#N/A</v>
      </c>
      <c r="BL406" s="641" t="e">
        <f t="shared" si="191"/>
        <v>#N/A</v>
      </c>
      <c r="BM406" s="684" t="e">
        <f t="shared" si="192"/>
        <v>#N/A</v>
      </c>
      <c r="BO406" s="682" t="e">
        <f>CONCATENATE(Z406," ",LOOKUP(D406,'f-travail'!A:A,'f-travail'!F:F))</f>
        <v>#N/A</v>
      </c>
      <c r="BP406" s="669" t="e">
        <f t="shared" si="179"/>
        <v>#N/A</v>
      </c>
    </row>
    <row r="407" spans="1:68">
      <c r="A407" s="636">
        <f t="shared" si="193"/>
        <v>406</v>
      </c>
      <c r="B407" s="637"/>
      <c r="C407" s="637"/>
      <c r="D407" s="652"/>
      <c r="E407" s="679" t="e">
        <f>LOOKUP(D407,'f-travail'!A:A,'f-travail'!B:B)</f>
        <v>#N/A</v>
      </c>
      <c r="F407" s="650"/>
      <c r="G407" s="650"/>
      <c r="H407" s="653"/>
      <c r="I407" s="653"/>
      <c r="J407" s="654"/>
      <c r="K407" s="650"/>
      <c r="L407" s="650"/>
      <c r="M407" s="650">
        <v>0</v>
      </c>
      <c r="N407" s="654"/>
      <c r="O407" s="654"/>
      <c r="P407" s="654"/>
      <c r="Q407" s="654"/>
      <c r="R407" s="676"/>
      <c r="S407" s="654"/>
      <c r="T407" s="675"/>
      <c r="U407" s="675"/>
      <c r="V407" s="670" t="e">
        <f>LOOKUP(D407,'f-travail'!A:A,'f-travail'!E:E)</f>
        <v>#N/A</v>
      </c>
      <c r="W407" s="670" t="e">
        <f>VLOOKUP(V407,جرقمإستدلالي,'f-travail'!$AD$4+1,FALSE)</f>
        <v>#N/A</v>
      </c>
      <c r="X407" s="671" t="e">
        <f t="shared" si="169"/>
        <v>#N/A</v>
      </c>
      <c r="Y407" s="671">
        <f>IF(G407="مدير ولائي",(HLOOKUP(I407,جدروظعليا,'f-travail'!$AT$3+1,FALSE)-3200),0)</f>
        <v>0</v>
      </c>
      <c r="Z407" s="672" t="str">
        <f t="shared" si="180"/>
        <v/>
      </c>
      <c r="AA407" s="671">
        <f t="shared" si="181"/>
        <v>0</v>
      </c>
      <c r="AB407" s="677" t="b">
        <f t="shared" si="170"/>
        <v>0</v>
      </c>
      <c r="AC407" s="678">
        <f t="shared" si="182"/>
        <v>0</v>
      </c>
      <c r="AD407" s="673"/>
      <c r="AE407" s="678">
        <f t="shared" si="171"/>
        <v>0</v>
      </c>
      <c r="AF407" s="678" t="e">
        <f t="shared" si="172"/>
        <v>#N/A</v>
      </c>
      <c r="AG407" s="678" t="e">
        <f t="shared" si="173"/>
        <v>#N/A</v>
      </c>
      <c r="AH407" s="673">
        <f t="shared" si="183"/>
        <v>0</v>
      </c>
      <c r="AI407" s="674" t="e">
        <f>IF(G407="مدير ولائي",(11000*35%),LOOKUP(D407,'f-travail'!A:A,'f-travail'!I:I))</f>
        <v>#N/A</v>
      </c>
      <c r="AJ407" s="673" t="e">
        <f>IF(G407="مدير ولائي",((W407+X407)*45)*80%,IF(V407&lt;8,0,IF(F407="إليزي",(LOOKUP(D407,'f-travail'!A:A,'f-travail'!O:O))*(AF407+AG407),LOOKUP(D407,'f-travail'!A:A,'f-travail'!P:P)*(AF407+AG407))))</f>
        <v>#N/A</v>
      </c>
      <c r="AK407" s="673" t="e">
        <f>IF(G407="مدير ولائي",0,LOOKUP(D407,'f-travail'!A:A,'f-travail'!Q:Q))</f>
        <v>#N/A</v>
      </c>
      <c r="AL407" s="673" t="e">
        <f>IF(G407="مدير ولائي",0,LOOKUP(D407,'f-travail'!A:A,'f-travail'!R:R)*(AF407+AG407))</f>
        <v>#N/A</v>
      </c>
      <c r="AM407" s="673" t="e">
        <f>IF(G407="مدير ولائي",0,LOOKUP(D407,'f-travail'!A:A,'f-travail'!S:S)*(AF407+AG407))</f>
        <v>#N/A</v>
      </c>
      <c r="AN407" s="673" t="e">
        <f>IF(G407="مدير ولائي",0,LOOKUP(D407,'f-travail'!A:A,'f-travail'!T:T)*(AF407+AG407))</f>
        <v>#N/A</v>
      </c>
      <c r="AO407" s="673" t="e">
        <f>IF(G407="مدير ولائي",0,LOOKUP(D407,'f-travail'!A:A,'f-travail'!U:U)*(AF407+AG407))</f>
        <v>#N/A</v>
      </c>
      <c r="AP407" s="673" t="e">
        <f>IF(G407="مدير ولائي",0,LOOKUP(D407,'f-travail'!A:A,'f-travail'!V:V)*(AF407+AG407))</f>
        <v>#N/A</v>
      </c>
      <c r="AQ407" s="673" t="e">
        <f>IF(G407="مدير ولائي",0,LOOKUP(D407,'f-travail'!A:A,'f-travail'!W:W)*(AF407+AG407))</f>
        <v>#N/A</v>
      </c>
      <c r="AR407" s="673">
        <f t="shared" si="184"/>
        <v>0</v>
      </c>
      <c r="AS407" s="673" t="e">
        <f>IF(G407="مدير ولائي",0,LOOKUP(D407,'f-travail'!A:A,'f-travail'!X:X)*(AF407+AG407))</f>
        <v>#N/A</v>
      </c>
      <c r="AT407" s="673" t="e">
        <f>IF(G407="مدير ولائي",0,LOOKUP(D407,'f-travail'!Y:Y,'f-travail'!R:R)*(AF407+AG407))</f>
        <v>#N/A</v>
      </c>
      <c r="AU407" s="673">
        <f t="shared" si="174"/>
        <v>0</v>
      </c>
      <c r="AV407" s="673">
        <f t="shared" si="175"/>
        <v>0</v>
      </c>
      <c r="AW407" s="673">
        <f t="shared" si="176"/>
        <v>0</v>
      </c>
      <c r="AY407" s="640" t="e">
        <f t="shared" si="185"/>
        <v>#N/A</v>
      </c>
      <c r="AZ407" s="673" t="e">
        <f t="shared" si="177"/>
        <v>#N/A</v>
      </c>
      <c r="BA407" s="639" t="e">
        <f t="shared" si="178"/>
        <v>#N/A</v>
      </c>
      <c r="BG407" s="639">
        <f t="shared" si="186"/>
        <v>0</v>
      </c>
      <c r="BH407" s="683">
        <f t="shared" si="187"/>
        <v>0</v>
      </c>
      <c r="BI407" s="683">
        <f t="shared" si="188"/>
        <v>0</v>
      </c>
      <c r="BJ407" s="641" t="e">
        <f t="shared" si="189"/>
        <v>#N/A</v>
      </c>
      <c r="BK407" s="641" t="e">
        <f t="shared" si="190"/>
        <v>#N/A</v>
      </c>
      <c r="BL407" s="641" t="e">
        <f t="shared" si="191"/>
        <v>#N/A</v>
      </c>
      <c r="BM407" s="684" t="e">
        <f t="shared" si="192"/>
        <v>#N/A</v>
      </c>
      <c r="BO407" s="682" t="e">
        <f>CONCATENATE(Z407," ",LOOKUP(D407,'f-travail'!A:A,'f-travail'!F:F))</f>
        <v>#N/A</v>
      </c>
      <c r="BP407" s="669" t="e">
        <f t="shared" si="179"/>
        <v>#N/A</v>
      </c>
    </row>
    <row r="408" spans="1:68">
      <c r="A408" s="636">
        <f t="shared" si="193"/>
        <v>407</v>
      </c>
      <c r="B408" s="637"/>
      <c r="C408" s="637"/>
      <c r="D408" s="652"/>
      <c r="E408" s="679" t="e">
        <f>LOOKUP(D408,'f-travail'!A:A,'f-travail'!B:B)</f>
        <v>#N/A</v>
      </c>
      <c r="F408" s="650"/>
      <c r="G408" s="650"/>
      <c r="H408" s="653"/>
      <c r="I408" s="653"/>
      <c r="J408" s="654"/>
      <c r="K408" s="650"/>
      <c r="L408" s="650"/>
      <c r="M408" s="650">
        <v>0</v>
      </c>
      <c r="N408" s="654"/>
      <c r="O408" s="654"/>
      <c r="P408" s="654"/>
      <c r="Q408" s="654"/>
      <c r="R408" s="676"/>
      <c r="S408" s="654"/>
      <c r="T408" s="675"/>
      <c r="U408" s="675"/>
      <c r="V408" s="670" t="e">
        <f>LOOKUP(D408,'f-travail'!A:A,'f-travail'!E:E)</f>
        <v>#N/A</v>
      </c>
      <c r="W408" s="670" t="e">
        <f>VLOOKUP(V408,جرقمإستدلالي,'f-travail'!$AD$4+1,FALSE)</f>
        <v>#N/A</v>
      </c>
      <c r="X408" s="671" t="e">
        <f t="shared" si="169"/>
        <v>#N/A</v>
      </c>
      <c r="Y408" s="671">
        <f>IF(G408="مدير ولائي",(HLOOKUP(I408,جدروظعليا,'f-travail'!$AT$3+1,FALSE)-3200),0)</f>
        <v>0</v>
      </c>
      <c r="Z408" s="672" t="str">
        <f t="shared" si="180"/>
        <v/>
      </c>
      <c r="AA408" s="671">
        <f t="shared" si="181"/>
        <v>0</v>
      </c>
      <c r="AB408" s="677" t="b">
        <f t="shared" si="170"/>
        <v>0</v>
      </c>
      <c r="AC408" s="678">
        <f t="shared" si="182"/>
        <v>0</v>
      </c>
      <c r="AD408" s="673"/>
      <c r="AE408" s="678">
        <f t="shared" si="171"/>
        <v>0</v>
      </c>
      <c r="AF408" s="678" t="e">
        <f t="shared" si="172"/>
        <v>#N/A</v>
      </c>
      <c r="AG408" s="678" t="e">
        <f t="shared" si="173"/>
        <v>#N/A</v>
      </c>
      <c r="AH408" s="673">
        <f t="shared" si="183"/>
        <v>0</v>
      </c>
      <c r="AI408" s="674" t="e">
        <f>IF(G408="مدير ولائي",(11000*35%),LOOKUP(D408,'f-travail'!A:A,'f-travail'!I:I))</f>
        <v>#N/A</v>
      </c>
      <c r="AJ408" s="673" t="e">
        <f>IF(G408="مدير ولائي",((W408+X408)*45)*80%,IF(V408&lt;8,0,IF(F408="إليزي",(LOOKUP(D408,'f-travail'!A:A,'f-travail'!O:O))*(AF408+AG408),LOOKUP(D408,'f-travail'!A:A,'f-travail'!P:P)*(AF408+AG408))))</f>
        <v>#N/A</v>
      </c>
      <c r="AK408" s="673" t="e">
        <f>IF(G408="مدير ولائي",0,LOOKUP(D408,'f-travail'!A:A,'f-travail'!Q:Q))</f>
        <v>#N/A</v>
      </c>
      <c r="AL408" s="673" t="e">
        <f>IF(G408="مدير ولائي",0,LOOKUP(D408,'f-travail'!A:A,'f-travail'!R:R)*(AF408+AG408))</f>
        <v>#N/A</v>
      </c>
      <c r="AM408" s="673" t="e">
        <f>IF(G408="مدير ولائي",0,LOOKUP(D408,'f-travail'!A:A,'f-travail'!S:S)*(AF408+AG408))</f>
        <v>#N/A</v>
      </c>
      <c r="AN408" s="673" t="e">
        <f>IF(G408="مدير ولائي",0,LOOKUP(D408,'f-travail'!A:A,'f-travail'!T:T)*(AF408+AG408))</f>
        <v>#N/A</v>
      </c>
      <c r="AO408" s="673" t="e">
        <f>IF(G408="مدير ولائي",0,LOOKUP(D408,'f-travail'!A:A,'f-travail'!U:U)*(AF408+AG408))</f>
        <v>#N/A</v>
      </c>
      <c r="AP408" s="673" t="e">
        <f>IF(G408="مدير ولائي",0,LOOKUP(D408,'f-travail'!A:A,'f-travail'!V:V)*(AF408+AG408))</f>
        <v>#N/A</v>
      </c>
      <c r="AQ408" s="673" t="e">
        <f>IF(G408="مدير ولائي",0,LOOKUP(D408,'f-travail'!A:A,'f-travail'!W:W)*(AF408+AG408))</f>
        <v>#N/A</v>
      </c>
      <c r="AR408" s="673">
        <f t="shared" si="184"/>
        <v>0</v>
      </c>
      <c r="AS408" s="673" t="e">
        <f>IF(G408="مدير ولائي",0,LOOKUP(D408,'f-travail'!A:A,'f-travail'!X:X)*(AF408+AG408))</f>
        <v>#N/A</v>
      </c>
      <c r="AT408" s="673" t="e">
        <f>IF(G408="مدير ولائي",0,LOOKUP(D408,'f-travail'!Y:Y,'f-travail'!R:R)*(AF408+AG408))</f>
        <v>#N/A</v>
      </c>
      <c r="AU408" s="673">
        <f t="shared" si="174"/>
        <v>0</v>
      </c>
      <c r="AV408" s="673">
        <f t="shared" si="175"/>
        <v>0</v>
      </c>
      <c r="AW408" s="673">
        <f t="shared" si="176"/>
        <v>0</v>
      </c>
      <c r="AY408" s="640" t="e">
        <f t="shared" si="185"/>
        <v>#N/A</v>
      </c>
      <c r="AZ408" s="673" t="e">
        <f t="shared" si="177"/>
        <v>#N/A</v>
      </c>
      <c r="BA408" s="639" t="e">
        <f t="shared" si="178"/>
        <v>#N/A</v>
      </c>
      <c r="BG408" s="639">
        <f t="shared" si="186"/>
        <v>0</v>
      </c>
      <c r="BH408" s="683">
        <f t="shared" si="187"/>
        <v>0</v>
      </c>
      <c r="BI408" s="683">
        <f t="shared" si="188"/>
        <v>0</v>
      </c>
      <c r="BJ408" s="641" t="e">
        <f t="shared" si="189"/>
        <v>#N/A</v>
      </c>
      <c r="BK408" s="641" t="e">
        <f t="shared" si="190"/>
        <v>#N/A</v>
      </c>
      <c r="BL408" s="641" t="e">
        <f t="shared" si="191"/>
        <v>#N/A</v>
      </c>
      <c r="BM408" s="684" t="e">
        <f t="shared" si="192"/>
        <v>#N/A</v>
      </c>
      <c r="BO408" s="682" t="e">
        <f>CONCATENATE(Z408," ",LOOKUP(D408,'f-travail'!A:A,'f-travail'!F:F))</f>
        <v>#N/A</v>
      </c>
      <c r="BP408" s="669" t="e">
        <f t="shared" si="179"/>
        <v>#N/A</v>
      </c>
    </row>
    <row r="409" spans="1:68">
      <c r="A409" s="636">
        <f t="shared" si="193"/>
        <v>408</v>
      </c>
      <c r="B409" s="637"/>
      <c r="C409" s="637"/>
      <c r="D409" s="652"/>
      <c r="E409" s="679" t="e">
        <f>LOOKUP(D409,'f-travail'!A:A,'f-travail'!B:B)</f>
        <v>#N/A</v>
      </c>
      <c r="F409" s="650"/>
      <c r="G409" s="650"/>
      <c r="H409" s="653"/>
      <c r="I409" s="653"/>
      <c r="J409" s="654"/>
      <c r="K409" s="650"/>
      <c r="L409" s="650"/>
      <c r="M409" s="650">
        <v>0</v>
      </c>
      <c r="N409" s="654"/>
      <c r="O409" s="654"/>
      <c r="P409" s="654"/>
      <c r="Q409" s="654"/>
      <c r="R409" s="676"/>
      <c r="S409" s="654"/>
      <c r="T409" s="675"/>
      <c r="U409" s="675"/>
      <c r="V409" s="670" t="e">
        <f>LOOKUP(D409,'f-travail'!A:A,'f-travail'!E:E)</f>
        <v>#N/A</v>
      </c>
      <c r="W409" s="670" t="e">
        <f>VLOOKUP(V409,جرقمإستدلالي,'f-travail'!$AD$4+1,FALSE)</f>
        <v>#N/A</v>
      </c>
      <c r="X409" s="671" t="e">
        <f t="shared" si="169"/>
        <v>#N/A</v>
      </c>
      <c r="Y409" s="671">
        <f>IF(G409="مدير ولائي",(HLOOKUP(I409,جدروظعليا,'f-travail'!$AT$3+1,FALSE)-3200),0)</f>
        <v>0</v>
      </c>
      <c r="Z409" s="672" t="str">
        <f t="shared" si="180"/>
        <v/>
      </c>
      <c r="AA409" s="671">
        <f t="shared" si="181"/>
        <v>0</v>
      </c>
      <c r="AB409" s="677" t="b">
        <f t="shared" si="170"/>
        <v>0</v>
      </c>
      <c r="AC409" s="678">
        <f t="shared" si="182"/>
        <v>0</v>
      </c>
      <c r="AD409" s="673"/>
      <c r="AE409" s="678">
        <f t="shared" si="171"/>
        <v>0</v>
      </c>
      <c r="AF409" s="678" t="e">
        <f t="shared" si="172"/>
        <v>#N/A</v>
      </c>
      <c r="AG409" s="678" t="e">
        <f t="shared" si="173"/>
        <v>#N/A</v>
      </c>
      <c r="AH409" s="673">
        <f t="shared" si="183"/>
        <v>0</v>
      </c>
      <c r="AI409" s="674" t="e">
        <f>IF(G409="مدير ولائي",(11000*35%),LOOKUP(D409,'f-travail'!A:A,'f-travail'!I:I))</f>
        <v>#N/A</v>
      </c>
      <c r="AJ409" s="673" t="e">
        <f>IF(G409="مدير ولائي",((W409+X409)*45)*80%,IF(V409&lt;8,0,IF(F409="إليزي",(LOOKUP(D409,'f-travail'!A:A,'f-travail'!O:O))*(AF409+AG409),LOOKUP(D409,'f-travail'!A:A,'f-travail'!P:P)*(AF409+AG409))))</f>
        <v>#N/A</v>
      </c>
      <c r="AK409" s="673" t="e">
        <f>IF(G409="مدير ولائي",0,LOOKUP(D409,'f-travail'!A:A,'f-travail'!Q:Q))</f>
        <v>#N/A</v>
      </c>
      <c r="AL409" s="673" t="e">
        <f>IF(G409="مدير ولائي",0,LOOKUP(D409,'f-travail'!A:A,'f-travail'!R:R)*(AF409+AG409))</f>
        <v>#N/A</v>
      </c>
      <c r="AM409" s="673" t="e">
        <f>IF(G409="مدير ولائي",0,LOOKUP(D409,'f-travail'!A:A,'f-travail'!S:S)*(AF409+AG409))</f>
        <v>#N/A</v>
      </c>
      <c r="AN409" s="673" t="e">
        <f>IF(G409="مدير ولائي",0,LOOKUP(D409,'f-travail'!A:A,'f-travail'!T:T)*(AF409+AG409))</f>
        <v>#N/A</v>
      </c>
      <c r="AO409" s="673" t="e">
        <f>IF(G409="مدير ولائي",0,LOOKUP(D409,'f-travail'!A:A,'f-travail'!U:U)*(AF409+AG409))</f>
        <v>#N/A</v>
      </c>
      <c r="AP409" s="673" t="e">
        <f>IF(G409="مدير ولائي",0,LOOKUP(D409,'f-travail'!A:A,'f-travail'!V:V)*(AF409+AG409))</f>
        <v>#N/A</v>
      </c>
      <c r="AQ409" s="673" t="e">
        <f>IF(G409="مدير ولائي",0,LOOKUP(D409,'f-travail'!A:A,'f-travail'!W:W)*(AF409+AG409))</f>
        <v>#N/A</v>
      </c>
      <c r="AR409" s="673">
        <f t="shared" si="184"/>
        <v>0</v>
      </c>
      <c r="AS409" s="673" t="e">
        <f>IF(G409="مدير ولائي",0,LOOKUP(D409,'f-travail'!A:A,'f-travail'!X:X)*(AF409+AG409))</f>
        <v>#N/A</v>
      </c>
      <c r="AT409" s="673" t="e">
        <f>IF(G409="مدير ولائي",0,LOOKUP(D409,'f-travail'!Y:Y,'f-travail'!R:R)*(AF409+AG409))</f>
        <v>#N/A</v>
      </c>
      <c r="AU409" s="673">
        <f t="shared" si="174"/>
        <v>0</v>
      </c>
      <c r="AV409" s="673">
        <f t="shared" si="175"/>
        <v>0</v>
      </c>
      <c r="AW409" s="673">
        <f t="shared" si="176"/>
        <v>0</v>
      </c>
      <c r="AY409" s="640" t="e">
        <f t="shared" si="185"/>
        <v>#N/A</v>
      </c>
      <c r="AZ409" s="673" t="e">
        <f t="shared" si="177"/>
        <v>#N/A</v>
      </c>
      <c r="BA409" s="639" t="e">
        <f t="shared" si="178"/>
        <v>#N/A</v>
      </c>
      <c r="BG409" s="639">
        <f t="shared" si="186"/>
        <v>0</v>
      </c>
      <c r="BH409" s="683">
        <f t="shared" si="187"/>
        <v>0</v>
      </c>
      <c r="BI409" s="683">
        <f t="shared" si="188"/>
        <v>0</v>
      </c>
      <c r="BJ409" s="641" t="e">
        <f t="shared" si="189"/>
        <v>#N/A</v>
      </c>
      <c r="BK409" s="641" t="e">
        <f t="shared" si="190"/>
        <v>#N/A</v>
      </c>
      <c r="BL409" s="641" t="e">
        <f t="shared" si="191"/>
        <v>#N/A</v>
      </c>
      <c r="BM409" s="684" t="e">
        <f t="shared" si="192"/>
        <v>#N/A</v>
      </c>
      <c r="BO409" s="682" t="e">
        <f>CONCATENATE(Z409," ",LOOKUP(D409,'f-travail'!A:A,'f-travail'!F:F))</f>
        <v>#N/A</v>
      </c>
      <c r="BP409" s="669" t="e">
        <f t="shared" si="179"/>
        <v>#N/A</v>
      </c>
    </row>
    <row r="410" spans="1:68">
      <c r="A410" s="636">
        <f t="shared" si="193"/>
        <v>409</v>
      </c>
      <c r="B410" s="637"/>
      <c r="C410" s="637"/>
      <c r="D410" s="652"/>
      <c r="E410" s="679" t="e">
        <f>LOOKUP(D410,'f-travail'!A:A,'f-travail'!B:B)</f>
        <v>#N/A</v>
      </c>
      <c r="F410" s="650"/>
      <c r="G410" s="650"/>
      <c r="H410" s="653"/>
      <c r="I410" s="653"/>
      <c r="J410" s="654"/>
      <c r="K410" s="650"/>
      <c r="L410" s="650"/>
      <c r="M410" s="650">
        <v>0</v>
      </c>
      <c r="N410" s="654"/>
      <c r="O410" s="654"/>
      <c r="P410" s="654"/>
      <c r="Q410" s="654"/>
      <c r="R410" s="676"/>
      <c r="S410" s="654"/>
      <c r="T410" s="675"/>
      <c r="U410" s="675"/>
      <c r="V410" s="670" t="e">
        <f>LOOKUP(D410,'f-travail'!A:A,'f-travail'!E:E)</f>
        <v>#N/A</v>
      </c>
      <c r="W410" s="670" t="e">
        <f>VLOOKUP(V410,جرقمإستدلالي,'f-travail'!$AD$4+1,FALSE)</f>
        <v>#N/A</v>
      </c>
      <c r="X410" s="671" t="e">
        <f t="shared" si="169"/>
        <v>#N/A</v>
      </c>
      <c r="Y410" s="671">
        <f>IF(G410="مدير ولائي",(HLOOKUP(I410,جدروظعليا,'f-travail'!$AT$3+1,FALSE)-3200),0)</f>
        <v>0</v>
      </c>
      <c r="Z410" s="672" t="str">
        <f t="shared" si="180"/>
        <v/>
      </c>
      <c r="AA410" s="671">
        <f t="shared" si="181"/>
        <v>0</v>
      </c>
      <c r="AB410" s="677" t="b">
        <f t="shared" si="170"/>
        <v>0</v>
      </c>
      <c r="AC410" s="678">
        <f t="shared" si="182"/>
        <v>0</v>
      </c>
      <c r="AD410" s="673"/>
      <c r="AE410" s="678">
        <f t="shared" si="171"/>
        <v>0</v>
      </c>
      <c r="AF410" s="678" t="e">
        <f t="shared" si="172"/>
        <v>#N/A</v>
      </c>
      <c r="AG410" s="678" t="e">
        <f t="shared" si="173"/>
        <v>#N/A</v>
      </c>
      <c r="AH410" s="673">
        <f t="shared" si="183"/>
        <v>0</v>
      </c>
      <c r="AI410" s="674" t="e">
        <f>IF(G410="مدير ولائي",(11000*35%),LOOKUP(D410,'f-travail'!A:A,'f-travail'!I:I))</f>
        <v>#N/A</v>
      </c>
      <c r="AJ410" s="673" t="e">
        <f>IF(G410="مدير ولائي",((W410+X410)*45)*80%,IF(V410&lt;8,0,IF(F410="إليزي",(LOOKUP(D410,'f-travail'!A:A,'f-travail'!O:O))*(AF410+AG410),LOOKUP(D410,'f-travail'!A:A,'f-travail'!P:P)*(AF410+AG410))))</f>
        <v>#N/A</v>
      </c>
      <c r="AK410" s="673" t="e">
        <f>IF(G410="مدير ولائي",0,LOOKUP(D410,'f-travail'!A:A,'f-travail'!Q:Q))</f>
        <v>#N/A</v>
      </c>
      <c r="AL410" s="673" t="e">
        <f>IF(G410="مدير ولائي",0,LOOKUP(D410,'f-travail'!A:A,'f-travail'!R:R)*(AF410+AG410))</f>
        <v>#N/A</v>
      </c>
      <c r="AM410" s="673" t="e">
        <f>IF(G410="مدير ولائي",0,LOOKUP(D410,'f-travail'!A:A,'f-travail'!S:S)*(AF410+AG410))</f>
        <v>#N/A</v>
      </c>
      <c r="AN410" s="673" t="e">
        <f>IF(G410="مدير ولائي",0,LOOKUP(D410,'f-travail'!A:A,'f-travail'!T:T)*(AF410+AG410))</f>
        <v>#N/A</v>
      </c>
      <c r="AO410" s="673" t="e">
        <f>IF(G410="مدير ولائي",0,LOOKUP(D410,'f-travail'!A:A,'f-travail'!U:U)*(AF410+AG410))</f>
        <v>#N/A</v>
      </c>
      <c r="AP410" s="673" t="e">
        <f>IF(G410="مدير ولائي",0,LOOKUP(D410,'f-travail'!A:A,'f-travail'!V:V)*(AF410+AG410))</f>
        <v>#N/A</v>
      </c>
      <c r="AQ410" s="673" t="e">
        <f>IF(G410="مدير ولائي",0,LOOKUP(D410,'f-travail'!A:A,'f-travail'!W:W)*(AF410+AG410))</f>
        <v>#N/A</v>
      </c>
      <c r="AR410" s="673">
        <f t="shared" si="184"/>
        <v>0</v>
      </c>
      <c r="AS410" s="673" t="e">
        <f>IF(G410="مدير ولائي",0,LOOKUP(D410,'f-travail'!A:A,'f-travail'!X:X)*(AF410+AG410))</f>
        <v>#N/A</v>
      </c>
      <c r="AT410" s="673" t="e">
        <f>IF(G410="مدير ولائي",0,LOOKUP(D410,'f-travail'!Y:Y,'f-travail'!R:R)*(AF410+AG410))</f>
        <v>#N/A</v>
      </c>
      <c r="AU410" s="673">
        <f t="shared" si="174"/>
        <v>0</v>
      </c>
      <c r="AV410" s="673">
        <f t="shared" si="175"/>
        <v>0</v>
      </c>
      <c r="AW410" s="673">
        <f t="shared" si="176"/>
        <v>0</v>
      </c>
      <c r="AY410" s="640" t="e">
        <f t="shared" si="185"/>
        <v>#N/A</v>
      </c>
      <c r="AZ410" s="673" t="e">
        <f t="shared" si="177"/>
        <v>#N/A</v>
      </c>
      <c r="BA410" s="639" t="e">
        <f t="shared" si="178"/>
        <v>#N/A</v>
      </c>
      <c r="BG410" s="639">
        <f t="shared" si="186"/>
        <v>0</v>
      </c>
      <c r="BH410" s="683">
        <f t="shared" si="187"/>
        <v>0</v>
      </c>
      <c r="BI410" s="683">
        <f t="shared" si="188"/>
        <v>0</v>
      </c>
      <c r="BJ410" s="641" t="e">
        <f t="shared" si="189"/>
        <v>#N/A</v>
      </c>
      <c r="BK410" s="641" t="e">
        <f t="shared" si="190"/>
        <v>#N/A</v>
      </c>
      <c r="BL410" s="641" t="e">
        <f t="shared" si="191"/>
        <v>#N/A</v>
      </c>
      <c r="BM410" s="684" t="e">
        <f t="shared" si="192"/>
        <v>#N/A</v>
      </c>
      <c r="BO410" s="682" t="e">
        <f>CONCATENATE(Z410," ",LOOKUP(D410,'f-travail'!A:A,'f-travail'!F:F))</f>
        <v>#N/A</v>
      </c>
      <c r="BP410" s="669" t="e">
        <f t="shared" si="179"/>
        <v>#N/A</v>
      </c>
    </row>
    <row r="411" spans="1:68">
      <c r="A411" s="636">
        <f t="shared" si="193"/>
        <v>410</v>
      </c>
      <c r="B411" s="637"/>
      <c r="C411" s="637"/>
      <c r="D411" s="652"/>
      <c r="E411" s="679" t="e">
        <f>LOOKUP(D411,'f-travail'!A:A,'f-travail'!B:B)</f>
        <v>#N/A</v>
      </c>
      <c r="F411" s="650"/>
      <c r="G411" s="650"/>
      <c r="H411" s="653"/>
      <c r="I411" s="653"/>
      <c r="J411" s="654"/>
      <c r="K411" s="650"/>
      <c r="L411" s="650"/>
      <c r="M411" s="650">
        <v>0</v>
      </c>
      <c r="N411" s="654"/>
      <c r="O411" s="654"/>
      <c r="P411" s="654"/>
      <c r="Q411" s="654"/>
      <c r="R411" s="676"/>
      <c r="S411" s="654"/>
      <c r="T411" s="675"/>
      <c r="U411" s="675"/>
      <c r="V411" s="670" t="e">
        <f>LOOKUP(D411,'f-travail'!A:A,'f-travail'!E:E)</f>
        <v>#N/A</v>
      </c>
      <c r="W411" s="670" t="e">
        <f>VLOOKUP(V411,جرقمإستدلالي,'f-travail'!$AD$4+1,FALSE)</f>
        <v>#N/A</v>
      </c>
      <c r="X411" s="671" t="e">
        <f t="shared" si="169"/>
        <v>#N/A</v>
      </c>
      <c r="Y411" s="671">
        <f>IF(G411="مدير ولائي",(HLOOKUP(I411,جدروظعليا,'f-travail'!$AT$3+1,FALSE)-3200),0)</f>
        <v>0</v>
      </c>
      <c r="Z411" s="672" t="str">
        <f t="shared" si="180"/>
        <v/>
      </c>
      <c r="AA411" s="671">
        <f t="shared" si="181"/>
        <v>0</v>
      </c>
      <c r="AB411" s="677" t="b">
        <f t="shared" si="170"/>
        <v>0</v>
      </c>
      <c r="AC411" s="678">
        <f t="shared" si="182"/>
        <v>0</v>
      </c>
      <c r="AD411" s="673"/>
      <c r="AE411" s="678">
        <f t="shared" si="171"/>
        <v>0</v>
      </c>
      <c r="AF411" s="678" t="e">
        <f t="shared" si="172"/>
        <v>#N/A</v>
      </c>
      <c r="AG411" s="678" t="e">
        <f t="shared" si="173"/>
        <v>#N/A</v>
      </c>
      <c r="AH411" s="673">
        <f t="shared" si="183"/>
        <v>0</v>
      </c>
      <c r="AI411" s="674" t="e">
        <f>IF(G411="مدير ولائي",(11000*35%),LOOKUP(D411,'f-travail'!A:A,'f-travail'!I:I))</f>
        <v>#N/A</v>
      </c>
      <c r="AJ411" s="673" t="e">
        <f>IF(G411="مدير ولائي",((W411+X411)*45)*80%,IF(V411&lt;8,0,IF(F411="إليزي",(LOOKUP(D411,'f-travail'!A:A,'f-travail'!O:O))*(AF411+AG411),LOOKUP(D411,'f-travail'!A:A,'f-travail'!P:P)*(AF411+AG411))))</f>
        <v>#N/A</v>
      </c>
      <c r="AK411" s="673" t="e">
        <f>IF(G411="مدير ولائي",0,LOOKUP(D411,'f-travail'!A:A,'f-travail'!Q:Q))</f>
        <v>#N/A</v>
      </c>
      <c r="AL411" s="673" t="e">
        <f>IF(G411="مدير ولائي",0,LOOKUP(D411,'f-travail'!A:A,'f-travail'!R:R)*(AF411+AG411))</f>
        <v>#N/A</v>
      </c>
      <c r="AM411" s="673" t="e">
        <f>IF(G411="مدير ولائي",0,LOOKUP(D411,'f-travail'!A:A,'f-travail'!S:S)*(AF411+AG411))</f>
        <v>#N/A</v>
      </c>
      <c r="AN411" s="673" t="e">
        <f>IF(G411="مدير ولائي",0,LOOKUP(D411,'f-travail'!A:A,'f-travail'!T:T)*(AF411+AG411))</f>
        <v>#N/A</v>
      </c>
      <c r="AO411" s="673" t="e">
        <f>IF(G411="مدير ولائي",0,LOOKUP(D411,'f-travail'!A:A,'f-travail'!U:U)*(AF411+AG411))</f>
        <v>#N/A</v>
      </c>
      <c r="AP411" s="673" t="e">
        <f>IF(G411="مدير ولائي",0,LOOKUP(D411,'f-travail'!A:A,'f-travail'!V:V)*(AF411+AG411))</f>
        <v>#N/A</v>
      </c>
      <c r="AQ411" s="673" t="e">
        <f>IF(G411="مدير ولائي",0,LOOKUP(D411,'f-travail'!A:A,'f-travail'!W:W)*(AF411+AG411))</f>
        <v>#N/A</v>
      </c>
      <c r="AR411" s="673">
        <f t="shared" si="184"/>
        <v>0</v>
      </c>
      <c r="AS411" s="673" t="e">
        <f>IF(G411="مدير ولائي",0,LOOKUP(D411,'f-travail'!A:A,'f-travail'!X:X)*(AF411+AG411))</f>
        <v>#N/A</v>
      </c>
      <c r="AT411" s="673" t="e">
        <f>IF(G411="مدير ولائي",0,LOOKUP(D411,'f-travail'!Y:Y,'f-travail'!R:R)*(AF411+AG411))</f>
        <v>#N/A</v>
      </c>
      <c r="AU411" s="673">
        <f t="shared" si="174"/>
        <v>0</v>
      </c>
      <c r="AV411" s="673">
        <f t="shared" si="175"/>
        <v>0</v>
      </c>
      <c r="AW411" s="673">
        <f t="shared" si="176"/>
        <v>0</v>
      </c>
      <c r="AY411" s="640" t="e">
        <f t="shared" si="185"/>
        <v>#N/A</v>
      </c>
      <c r="AZ411" s="673" t="e">
        <f t="shared" si="177"/>
        <v>#N/A</v>
      </c>
      <c r="BA411" s="639" t="e">
        <f t="shared" si="178"/>
        <v>#N/A</v>
      </c>
      <c r="BG411" s="639">
        <f t="shared" si="186"/>
        <v>0</v>
      </c>
      <c r="BH411" s="683">
        <f t="shared" si="187"/>
        <v>0</v>
      </c>
      <c r="BI411" s="683">
        <f t="shared" si="188"/>
        <v>0</v>
      </c>
      <c r="BJ411" s="641" t="e">
        <f t="shared" si="189"/>
        <v>#N/A</v>
      </c>
      <c r="BK411" s="641" t="e">
        <f t="shared" si="190"/>
        <v>#N/A</v>
      </c>
      <c r="BL411" s="641" t="e">
        <f t="shared" si="191"/>
        <v>#N/A</v>
      </c>
      <c r="BM411" s="684" t="e">
        <f t="shared" si="192"/>
        <v>#N/A</v>
      </c>
      <c r="BO411" s="682" t="e">
        <f>CONCATENATE(Z411," ",LOOKUP(D411,'f-travail'!A:A,'f-travail'!F:F))</f>
        <v>#N/A</v>
      </c>
      <c r="BP411" s="669" t="e">
        <f t="shared" si="179"/>
        <v>#N/A</v>
      </c>
    </row>
    <row r="412" spans="1:68">
      <c r="A412" s="636">
        <f t="shared" si="193"/>
        <v>411</v>
      </c>
      <c r="B412" s="637"/>
      <c r="C412" s="637"/>
      <c r="D412" s="652"/>
      <c r="E412" s="679" t="e">
        <f>LOOKUP(D412,'f-travail'!A:A,'f-travail'!B:B)</f>
        <v>#N/A</v>
      </c>
      <c r="F412" s="650"/>
      <c r="G412" s="650"/>
      <c r="H412" s="653"/>
      <c r="I412" s="653"/>
      <c r="J412" s="654"/>
      <c r="K412" s="650"/>
      <c r="L412" s="650"/>
      <c r="M412" s="650">
        <v>0</v>
      </c>
      <c r="N412" s="654"/>
      <c r="O412" s="654"/>
      <c r="P412" s="654"/>
      <c r="Q412" s="654"/>
      <c r="R412" s="676"/>
      <c r="S412" s="654"/>
      <c r="T412" s="675"/>
      <c r="U412" s="675"/>
      <c r="V412" s="670" t="e">
        <f>LOOKUP(D412,'f-travail'!A:A,'f-travail'!E:E)</f>
        <v>#N/A</v>
      </c>
      <c r="W412" s="670" t="e">
        <f>VLOOKUP(V412,جرقمإستدلالي,'f-travail'!$AD$4+1,FALSE)</f>
        <v>#N/A</v>
      </c>
      <c r="X412" s="671" t="e">
        <f t="shared" si="169"/>
        <v>#N/A</v>
      </c>
      <c r="Y412" s="671">
        <f>IF(G412="مدير ولائي",(HLOOKUP(I412,جدروظعليا,'f-travail'!$AT$3+1,FALSE)-3200),0)</f>
        <v>0</v>
      </c>
      <c r="Z412" s="672" t="str">
        <f t="shared" si="180"/>
        <v/>
      </c>
      <c r="AA412" s="671">
        <f t="shared" si="181"/>
        <v>0</v>
      </c>
      <c r="AB412" s="677" t="b">
        <f t="shared" si="170"/>
        <v>0</v>
      </c>
      <c r="AC412" s="678">
        <f t="shared" si="182"/>
        <v>0</v>
      </c>
      <c r="AD412" s="673"/>
      <c r="AE412" s="678">
        <f t="shared" si="171"/>
        <v>0</v>
      </c>
      <c r="AF412" s="678" t="e">
        <f t="shared" si="172"/>
        <v>#N/A</v>
      </c>
      <c r="AG412" s="678" t="e">
        <f t="shared" si="173"/>
        <v>#N/A</v>
      </c>
      <c r="AH412" s="673">
        <f t="shared" si="183"/>
        <v>0</v>
      </c>
      <c r="AI412" s="674" t="e">
        <f>IF(G412="مدير ولائي",(11000*35%),LOOKUP(D412,'f-travail'!A:A,'f-travail'!I:I))</f>
        <v>#N/A</v>
      </c>
      <c r="AJ412" s="673" t="e">
        <f>IF(G412="مدير ولائي",((W412+X412)*45)*80%,IF(V412&lt;8,0,IF(F412="إليزي",(LOOKUP(D412,'f-travail'!A:A,'f-travail'!O:O))*(AF412+AG412),LOOKUP(D412,'f-travail'!A:A,'f-travail'!P:P)*(AF412+AG412))))</f>
        <v>#N/A</v>
      </c>
      <c r="AK412" s="673" t="e">
        <f>IF(G412="مدير ولائي",0,LOOKUP(D412,'f-travail'!A:A,'f-travail'!Q:Q))</f>
        <v>#N/A</v>
      </c>
      <c r="AL412" s="673" t="e">
        <f>IF(G412="مدير ولائي",0,LOOKUP(D412,'f-travail'!A:A,'f-travail'!R:R)*(AF412+AG412))</f>
        <v>#N/A</v>
      </c>
      <c r="AM412" s="673" t="e">
        <f>IF(G412="مدير ولائي",0,LOOKUP(D412,'f-travail'!A:A,'f-travail'!S:S)*(AF412+AG412))</f>
        <v>#N/A</v>
      </c>
      <c r="AN412" s="673" t="e">
        <f>IF(G412="مدير ولائي",0,LOOKUP(D412,'f-travail'!A:A,'f-travail'!T:T)*(AF412+AG412))</f>
        <v>#N/A</v>
      </c>
      <c r="AO412" s="673" t="e">
        <f>IF(G412="مدير ولائي",0,LOOKUP(D412,'f-travail'!A:A,'f-travail'!U:U)*(AF412+AG412))</f>
        <v>#N/A</v>
      </c>
      <c r="AP412" s="673" t="e">
        <f>IF(G412="مدير ولائي",0,LOOKUP(D412,'f-travail'!A:A,'f-travail'!V:V)*(AF412+AG412))</f>
        <v>#N/A</v>
      </c>
      <c r="AQ412" s="673" t="e">
        <f>IF(G412="مدير ولائي",0,LOOKUP(D412,'f-travail'!A:A,'f-travail'!W:W)*(AF412+AG412))</f>
        <v>#N/A</v>
      </c>
      <c r="AR412" s="673">
        <f t="shared" si="184"/>
        <v>0</v>
      </c>
      <c r="AS412" s="673" t="e">
        <f>IF(G412="مدير ولائي",0,LOOKUP(D412,'f-travail'!A:A,'f-travail'!X:X)*(AF412+AG412))</f>
        <v>#N/A</v>
      </c>
      <c r="AT412" s="673" t="e">
        <f>IF(G412="مدير ولائي",0,LOOKUP(D412,'f-travail'!Y:Y,'f-travail'!R:R)*(AF412+AG412))</f>
        <v>#N/A</v>
      </c>
      <c r="AU412" s="673">
        <f t="shared" si="174"/>
        <v>0</v>
      </c>
      <c r="AV412" s="673">
        <f t="shared" si="175"/>
        <v>0</v>
      </c>
      <c r="AW412" s="673">
        <f t="shared" si="176"/>
        <v>0</v>
      </c>
      <c r="AY412" s="640" t="e">
        <f t="shared" si="185"/>
        <v>#N/A</v>
      </c>
      <c r="AZ412" s="673" t="e">
        <f t="shared" si="177"/>
        <v>#N/A</v>
      </c>
      <c r="BA412" s="639" t="e">
        <f t="shared" si="178"/>
        <v>#N/A</v>
      </c>
      <c r="BG412" s="639">
        <f t="shared" si="186"/>
        <v>0</v>
      </c>
      <c r="BH412" s="683">
        <f t="shared" si="187"/>
        <v>0</v>
      </c>
      <c r="BI412" s="683">
        <f t="shared" si="188"/>
        <v>0</v>
      </c>
      <c r="BJ412" s="641" t="e">
        <f t="shared" si="189"/>
        <v>#N/A</v>
      </c>
      <c r="BK412" s="641" t="e">
        <f t="shared" si="190"/>
        <v>#N/A</v>
      </c>
      <c r="BL412" s="641" t="e">
        <f t="shared" si="191"/>
        <v>#N/A</v>
      </c>
      <c r="BM412" s="684" t="e">
        <f t="shared" si="192"/>
        <v>#N/A</v>
      </c>
      <c r="BO412" s="682" t="e">
        <f>CONCATENATE(Z412," ",LOOKUP(D412,'f-travail'!A:A,'f-travail'!F:F))</f>
        <v>#N/A</v>
      </c>
      <c r="BP412" s="669" t="e">
        <f t="shared" si="179"/>
        <v>#N/A</v>
      </c>
    </row>
    <row r="413" spans="1:68">
      <c r="A413" s="636">
        <f t="shared" si="193"/>
        <v>412</v>
      </c>
      <c r="B413" s="637"/>
      <c r="C413" s="637"/>
      <c r="D413" s="652"/>
      <c r="E413" s="679" t="e">
        <f>LOOKUP(D413,'f-travail'!A:A,'f-travail'!B:B)</f>
        <v>#N/A</v>
      </c>
      <c r="F413" s="650"/>
      <c r="G413" s="650"/>
      <c r="H413" s="653"/>
      <c r="I413" s="653"/>
      <c r="J413" s="654"/>
      <c r="K413" s="650"/>
      <c r="L413" s="650"/>
      <c r="M413" s="650">
        <v>0</v>
      </c>
      <c r="N413" s="654"/>
      <c r="O413" s="654"/>
      <c r="P413" s="654"/>
      <c r="Q413" s="654"/>
      <c r="R413" s="676"/>
      <c r="S413" s="654"/>
      <c r="T413" s="675"/>
      <c r="U413" s="675"/>
      <c r="V413" s="670" t="e">
        <f>LOOKUP(D413,'f-travail'!A:A,'f-travail'!E:E)</f>
        <v>#N/A</v>
      </c>
      <c r="W413" s="670" t="e">
        <f>VLOOKUP(V413,جرقمإستدلالي,'f-travail'!$AD$4+1,FALSE)</f>
        <v>#N/A</v>
      </c>
      <c r="X413" s="671" t="e">
        <f t="shared" si="169"/>
        <v>#N/A</v>
      </c>
      <c r="Y413" s="671">
        <f>IF(G413="مدير ولائي",(HLOOKUP(I413,جدروظعليا,'f-travail'!$AT$3+1,FALSE)-3200),0)</f>
        <v>0</v>
      </c>
      <c r="Z413" s="672" t="str">
        <f t="shared" si="180"/>
        <v/>
      </c>
      <c r="AA413" s="671">
        <f t="shared" si="181"/>
        <v>0</v>
      </c>
      <c r="AB413" s="677" t="b">
        <f t="shared" si="170"/>
        <v>0</v>
      </c>
      <c r="AC413" s="678">
        <f t="shared" si="182"/>
        <v>0</v>
      </c>
      <c r="AD413" s="673"/>
      <c r="AE413" s="678">
        <f t="shared" si="171"/>
        <v>0</v>
      </c>
      <c r="AF413" s="678" t="e">
        <f t="shared" si="172"/>
        <v>#N/A</v>
      </c>
      <c r="AG413" s="678" t="e">
        <f t="shared" si="173"/>
        <v>#N/A</v>
      </c>
      <c r="AH413" s="673">
        <f t="shared" si="183"/>
        <v>0</v>
      </c>
      <c r="AI413" s="674" t="e">
        <f>IF(G413="مدير ولائي",(11000*35%),LOOKUP(D413,'f-travail'!A:A,'f-travail'!I:I))</f>
        <v>#N/A</v>
      </c>
      <c r="AJ413" s="673" t="e">
        <f>IF(G413="مدير ولائي",((W413+X413)*45)*80%,IF(V413&lt;8,0,IF(F413="إليزي",(LOOKUP(D413,'f-travail'!A:A,'f-travail'!O:O))*(AF413+AG413),LOOKUP(D413,'f-travail'!A:A,'f-travail'!P:P)*(AF413+AG413))))</f>
        <v>#N/A</v>
      </c>
      <c r="AK413" s="673" t="e">
        <f>IF(G413="مدير ولائي",0,LOOKUP(D413,'f-travail'!A:A,'f-travail'!Q:Q))</f>
        <v>#N/A</v>
      </c>
      <c r="AL413" s="673" t="e">
        <f>IF(G413="مدير ولائي",0,LOOKUP(D413,'f-travail'!A:A,'f-travail'!R:R)*(AF413+AG413))</f>
        <v>#N/A</v>
      </c>
      <c r="AM413" s="673" t="e">
        <f>IF(G413="مدير ولائي",0,LOOKUP(D413,'f-travail'!A:A,'f-travail'!S:S)*(AF413+AG413))</f>
        <v>#N/A</v>
      </c>
      <c r="AN413" s="673" t="e">
        <f>IF(G413="مدير ولائي",0,LOOKUP(D413,'f-travail'!A:A,'f-travail'!T:T)*(AF413+AG413))</f>
        <v>#N/A</v>
      </c>
      <c r="AO413" s="673" t="e">
        <f>IF(G413="مدير ولائي",0,LOOKUP(D413,'f-travail'!A:A,'f-travail'!U:U)*(AF413+AG413))</f>
        <v>#N/A</v>
      </c>
      <c r="AP413" s="673" t="e">
        <f>IF(G413="مدير ولائي",0,LOOKUP(D413,'f-travail'!A:A,'f-travail'!V:V)*(AF413+AG413))</f>
        <v>#N/A</v>
      </c>
      <c r="AQ413" s="673" t="e">
        <f>IF(G413="مدير ولائي",0,LOOKUP(D413,'f-travail'!A:A,'f-travail'!W:W)*(AF413+AG413))</f>
        <v>#N/A</v>
      </c>
      <c r="AR413" s="673">
        <f t="shared" si="184"/>
        <v>0</v>
      </c>
      <c r="AS413" s="673" t="e">
        <f>IF(G413="مدير ولائي",0,LOOKUP(D413,'f-travail'!A:A,'f-travail'!X:X)*(AF413+AG413))</f>
        <v>#N/A</v>
      </c>
      <c r="AT413" s="673" t="e">
        <f>IF(G413="مدير ولائي",0,LOOKUP(D413,'f-travail'!Y:Y,'f-travail'!R:R)*(AF413+AG413))</f>
        <v>#N/A</v>
      </c>
      <c r="AU413" s="673">
        <f t="shared" si="174"/>
        <v>0</v>
      </c>
      <c r="AV413" s="673">
        <f t="shared" si="175"/>
        <v>0</v>
      </c>
      <c r="AW413" s="673">
        <f t="shared" si="176"/>
        <v>0</v>
      </c>
      <c r="AY413" s="640" t="e">
        <f t="shared" si="185"/>
        <v>#N/A</v>
      </c>
      <c r="AZ413" s="673" t="e">
        <f t="shared" si="177"/>
        <v>#N/A</v>
      </c>
      <c r="BA413" s="639" t="e">
        <f t="shared" si="178"/>
        <v>#N/A</v>
      </c>
      <c r="BG413" s="639">
        <f t="shared" si="186"/>
        <v>0</v>
      </c>
      <c r="BH413" s="683">
        <f t="shared" si="187"/>
        <v>0</v>
      </c>
      <c r="BI413" s="683">
        <f t="shared" si="188"/>
        <v>0</v>
      </c>
      <c r="BJ413" s="641" t="e">
        <f t="shared" si="189"/>
        <v>#N/A</v>
      </c>
      <c r="BK413" s="641" t="e">
        <f t="shared" si="190"/>
        <v>#N/A</v>
      </c>
      <c r="BL413" s="641" t="e">
        <f t="shared" si="191"/>
        <v>#N/A</v>
      </c>
      <c r="BM413" s="684" t="e">
        <f t="shared" si="192"/>
        <v>#N/A</v>
      </c>
      <c r="BO413" s="682" t="e">
        <f>CONCATENATE(Z413," ",LOOKUP(D413,'f-travail'!A:A,'f-travail'!F:F))</f>
        <v>#N/A</v>
      </c>
      <c r="BP413" s="669" t="e">
        <f t="shared" si="179"/>
        <v>#N/A</v>
      </c>
    </row>
    <row r="414" spans="1:68">
      <c r="A414" s="636">
        <f t="shared" si="193"/>
        <v>413</v>
      </c>
      <c r="B414" s="637"/>
      <c r="C414" s="637"/>
      <c r="D414" s="652"/>
      <c r="E414" s="679" t="e">
        <f>LOOKUP(D414,'f-travail'!A:A,'f-travail'!B:B)</f>
        <v>#N/A</v>
      </c>
      <c r="F414" s="650"/>
      <c r="G414" s="650"/>
      <c r="H414" s="653"/>
      <c r="I414" s="653"/>
      <c r="J414" s="654"/>
      <c r="K414" s="650"/>
      <c r="L414" s="650"/>
      <c r="M414" s="650">
        <v>0</v>
      </c>
      <c r="N414" s="654"/>
      <c r="O414" s="654"/>
      <c r="P414" s="654"/>
      <c r="Q414" s="654"/>
      <c r="R414" s="676"/>
      <c r="S414" s="654"/>
      <c r="T414" s="675"/>
      <c r="U414" s="675"/>
      <c r="V414" s="670" t="e">
        <f>LOOKUP(D414,'f-travail'!A:A,'f-travail'!E:E)</f>
        <v>#N/A</v>
      </c>
      <c r="W414" s="670" t="e">
        <f>VLOOKUP(V414,جرقمإستدلالي,'f-travail'!$AD$4+1,FALSE)</f>
        <v>#N/A</v>
      </c>
      <c r="X414" s="671" t="e">
        <f t="shared" si="169"/>
        <v>#N/A</v>
      </c>
      <c r="Y414" s="671">
        <f>IF(G414="مدير ولائي",(HLOOKUP(I414,جدروظعليا,'f-travail'!$AT$3+1,FALSE)-3200),0)</f>
        <v>0</v>
      </c>
      <c r="Z414" s="672" t="str">
        <f t="shared" si="180"/>
        <v/>
      </c>
      <c r="AA414" s="671">
        <f t="shared" si="181"/>
        <v>0</v>
      </c>
      <c r="AB414" s="677" t="b">
        <f t="shared" si="170"/>
        <v>0</v>
      </c>
      <c r="AC414" s="678">
        <f t="shared" si="182"/>
        <v>0</v>
      </c>
      <c r="AD414" s="673"/>
      <c r="AE414" s="678">
        <f t="shared" si="171"/>
        <v>0</v>
      </c>
      <c r="AF414" s="678" t="e">
        <f t="shared" si="172"/>
        <v>#N/A</v>
      </c>
      <c r="AG414" s="678" t="e">
        <f t="shared" si="173"/>
        <v>#N/A</v>
      </c>
      <c r="AH414" s="673">
        <f t="shared" si="183"/>
        <v>0</v>
      </c>
      <c r="AI414" s="674" t="e">
        <f>IF(G414="مدير ولائي",(11000*35%),LOOKUP(D414,'f-travail'!A:A,'f-travail'!I:I))</f>
        <v>#N/A</v>
      </c>
      <c r="AJ414" s="673" t="e">
        <f>IF(G414="مدير ولائي",((W414+X414)*45)*80%,IF(V414&lt;8,0,IF(F414="إليزي",(LOOKUP(D414,'f-travail'!A:A,'f-travail'!O:O))*(AF414+AG414),LOOKUP(D414,'f-travail'!A:A,'f-travail'!P:P)*(AF414+AG414))))</f>
        <v>#N/A</v>
      </c>
      <c r="AK414" s="673" t="e">
        <f>IF(G414="مدير ولائي",0,LOOKUP(D414,'f-travail'!A:A,'f-travail'!Q:Q))</f>
        <v>#N/A</v>
      </c>
      <c r="AL414" s="673" t="e">
        <f>IF(G414="مدير ولائي",0,LOOKUP(D414,'f-travail'!A:A,'f-travail'!R:R)*(AF414+AG414))</f>
        <v>#N/A</v>
      </c>
      <c r="AM414" s="673" t="e">
        <f>IF(G414="مدير ولائي",0,LOOKUP(D414,'f-travail'!A:A,'f-travail'!S:S)*(AF414+AG414))</f>
        <v>#N/A</v>
      </c>
      <c r="AN414" s="673" t="e">
        <f>IF(G414="مدير ولائي",0,LOOKUP(D414,'f-travail'!A:A,'f-travail'!T:T)*(AF414+AG414))</f>
        <v>#N/A</v>
      </c>
      <c r="AO414" s="673" t="e">
        <f>IF(G414="مدير ولائي",0,LOOKUP(D414,'f-travail'!A:A,'f-travail'!U:U)*(AF414+AG414))</f>
        <v>#N/A</v>
      </c>
      <c r="AP414" s="673" t="e">
        <f>IF(G414="مدير ولائي",0,LOOKUP(D414,'f-travail'!A:A,'f-travail'!V:V)*(AF414+AG414))</f>
        <v>#N/A</v>
      </c>
      <c r="AQ414" s="673" t="e">
        <f>IF(G414="مدير ولائي",0,LOOKUP(D414,'f-travail'!A:A,'f-travail'!W:W)*(AF414+AG414))</f>
        <v>#N/A</v>
      </c>
      <c r="AR414" s="673">
        <f t="shared" si="184"/>
        <v>0</v>
      </c>
      <c r="AS414" s="673" t="e">
        <f>IF(G414="مدير ولائي",0,LOOKUP(D414,'f-travail'!A:A,'f-travail'!X:X)*(AF414+AG414))</f>
        <v>#N/A</v>
      </c>
      <c r="AT414" s="673" t="e">
        <f>IF(G414="مدير ولائي",0,LOOKUP(D414,'f-travail'!Y:Y,'f-travail'!R:R)*(AF414+AG414))</f>
        <v>#N/A</v>
      </c>
      <c r="AU414" s="673">
        <f t="shared" si="174"/>
        <v>0</v>
      </c>
      <c r="AV414" s="673">
        <f t="shared" si="175"/>
        <v>0</v>
      </c>
      <c r="AW414" s="673">
        <f t="shared" si="176"/>
        <v>0</v>
      </c>
      <c r="AY414" s="640" t="e">
        <f t="shared" si="185"/>
        <v>#N/A</v>
      </c>
      <c r="AZ414" s="673" t="e">
        <f t="shared" si="177"/>
        <v>#N/A</v>
      </c>
      <c r="BA414" s="639" t="e">
        <f t="shared" si="178"/>
        <v>#N/A</v>
      </c>
      <c r="BG414" s="639">
        <f t="shared" si="186"/>
        <v>0</v>
      </c>
      <c r="BH414" s="683">
        <f t="shared" si="187"/>
        <v>0</v>
      </c>
      <c r="BI414" s="683">
        <f t="shared" si="188"/>
        <v>0</v>
      </c>
      <c r="BJ414" s="641" t="e">
        <f t="shared" si="189"/>
        <v>#N/A</v>
      </c>
      <c r="BK414" s="641" t="e">
        <f t="shared" si="190"/>
        <v>#N/A</v>
      </c>
      <c r="BL414" s="641" t="e">
        <f t="shared" si="191"/>
        <v>#N/A</v>
      </c>
      <c r="BM414" s="684" t="e">
        <f t="shared" si="192"/>
        <v>#N/A</v>
      </c>
      <c r="BO414" s="682" t="e">
        <f>CONCATENATE(Z414," ",LOOKUP(D414,'f-travail'!A:A,'f-travail'!F:F))</f>
        <v>#N/A</v>
      </c>
      <c r="BP414" s="669" t="e">
        <f t="shared" si="179"/>
        <v>#N/A</v>
      </c>
    </row>
    <row r="415" spans="1:68">
      <c r="A415" s="636">
        <f t="shared" si="193"/>
        <v>414</v>
      </c>
      <c r="B415" s="637"/>
      <c r="C415" s="637"/>
      <c r="D415" s="652"/>
      <c r="E415" s="679" t="e">
        <f>LOOKUP(D415,'f-travail'!A:A,'f-travail'!B:B)</f>
        <v>#N/A</v>
      </c>
      <c r="F415" s="650"/>
      <c r="G415" s="650"/>
      <c r="H415" s="653"/>
      <c r="I415" s="653"/>
      <c r="J415" s="654"/>
      <c r="K415" s="650"/>
      <c r="L415" s="650"/>
      <c r="M415" s="650">
        <v>0</v>
      </c>
      <c r="N415" s="654"/>
      <c r="O415" s="654"/>
      <c r="P415" s="654"/>
      <c r="Q415" s="654"/>
      <c r="R415" s="676"/>
      <c r="S415" s="654"/>
      <c r="T415" s="675"/>
      <c r="U415" s="675"/>
      <c r="V415" s="670" t="e">
        <f>LOOKUP(D415,'f-travail'!A:A,'f-travail'!E:E)</f>
        <v>#N/A</v>
      </c>
      <c r="W415" s="670" t="e">
        <f>VLOOKUP(V415,جرقمإستدلالي,'f-travail'!$AD$4+1,FALSE)</f>
        <v>#N/A</v>
      </c>
      <c r="X415" s="671" t="e">
        <f t="shared" si="169"/>
        <v>#N/A</v>
      </c>
      <c r="Y415" s="671">
        <f>IF(G415="مدير ولائي",(HLOOKUP(I415,جدروظعليا,'f-travail'!$AT$3+1,FALSE)-3200),0)</f>
        <v>0</v>
      </c>
      <c r="Z415" s="672" t="str">
        <f t="shared" si="180"/>
        <v/>
      </c>
      <c r="AA415" s="671">
        <f t="shared" si="181"/>
        <v>0</v>
      </c>
      <c r="AB415" s="677" t="b">
        <f t="shared" si="170"/>
        <v>0</v>
      </c>
      <c r="AC415" s="678">
        <f t="shared" si="182"/>
        <v>0</v>
      </c>
      <c r="AD415" s="673"/>
      <c r="AE415" s="678">
        <f t="shared" si="171"/>
        <v>0</v>
      </c>
      <c r="AF415" s="678" t="e">
        <f t="shared" si="172"/>
        <v>#N/A</v>
      </c>
      <c r="AG415" s="678" t="e">
        <f t="shared" si="173"/>
        <v>#N/A</v>
      </c>
      <c r="AH415" s="673">
        <f t="shared" si="183"/>
        <v>0</v>
      </c>
      <c r="AI415" s="674" t="e">
        <f>IF(G415="مدير ولائي",(11000*35%),LOOKUP(D415,'f-travail'!A:A,'f-travail'!I:I))</f>
        <v>#N/A</v>
      </c>
      <c r="AJ415" s="673" t="e">
        <f>IF(G415="مدير ولائي",((W415+X415)*45)*80%,IF(V415&lt;8,0,IF(F415="إليزي",(LOOKUP(D415,'f-travail'!A:A,'f-travail'!O:O))*(AF415+AG415),LOOKUP(D415,'f-travail'!A:A,'f-travail'!P:P)*(AF415+AG415))))</f>
        <v>#N/A</v>
      </c>
      <c r="AK415" s="673" t="e">
        <f>IF(G415="مدير ولائي",0,LOOKUP(D415,'f-travail'!A:A,'f-travail'!Q:Q))</f>
        <v>#N/A</v>
      </c>
      <c r="AL415" s="673" t="e">
        <f>IF(G415="مدير ولائي",0,LOOKUP(D415,'f-travail'!A:A,'f-travail'!R:R)*(AF415+AG415))</f>
        <v>#N/A</v>
      </c>
      <c r="AM415" s="673" t="e">
        <f>IF(G415="مدير ولائي",0,LOOKUP(D415,'f-travail'!A:A,'f-travail'!S:S)*(AF415+AG415))</f>
        <v>#N/A</v>
      </c>
      <c r="AN415" s="673" t="e">
        <f>IF(G415="مدير ولائي",0,LOOKUP(D415,'f-travail'!A:A,'f-travail'!T:T)*(AF415+AG415))</f>
        <v>#N/A</v>
      </c>
      <c r="AO415" s="673" t="e">
        <f>IF(G415="مدير ولائي",0,LOOKUP(D415,'f-travail'!A:A,'f-travail'!U:U)*(AF415+AG415))</f>
        <v>#N/A</v>
      </c>
      <c r="AP415" s="673" t="e">
        <f>IF(G415="مدير ولائي",0,LOOKUP(D415,'f-travail'!A:A,'f-travail'!V:V)*(AF415+AG415))</f>
        <v>#N/A</v>
      </c>
      <c r="AQ415" s="673" t="e">
        <f>IF(G415="مدير ولائي",0,LOOKUP(D415,'f-travail'!A:A,'f-travail'!W:W)*(AF415+AG415))</f>
        <v>#N/A</v>
      </c>
      <c r="AR415" s="673">
        <f t="shared" si="184"/>
        <v>0</v>
      </c>
      <c r="AS415" s="673" t="e">
        <f>IF(G415="مدير ولائي",0,LOOKUP(D415,'f-travail'!A:A,'f-travail'!X:X)*(AF415+AG415))</f>
        <v>#N/A</v>
      </c>
      <c r="AT415" s="673" t="e">
        <f>IF(G415="مدير ولائي",0,LOOKUP(D415,'f-travail'!Y:Y,'f-travail'!R:R)*(AF415+AG415))</f>
        <v>#N/A</v>
      </c>
      <c r="AU415" s="673">
        <f t="shared" si="174"/>
        <v>0</v>
      </c>
      <c r="AV415" s="673">
        <f t="shared" si="175"/>
        <v>0</v>
      </c>
      <c r="AW415" s="673">
        <f t="shared" si="176"/>
        <v>0</v>
      </c>
      <c r="AY415" s="640" t="e">
        <f t="shared" si="185"/>
        <v>#N/A</v>
      </c>
      <c r="AZ415" s="673" t="e">
        <f t="shared" si="177"/>
        <v>#N/A</v>
      </c>
      <c r="BA415" s="639" t="e">
        <f t="shared" si="178"/>
        <v>#N/A</v>
      </c>
      <c r="BG415" s="639">
        <f t="shared" si="186"/>
        <v>0</v>
      </c>
      <c r="BH415" s="683">
        <f t="shared" si="187"/>
        <v>0</v>
      </c>
      <c r="BI415" s="683">
        <f t="shared" si="188"/>
        <v>0</v>
      </c>
      <c r="BJ415" s="641" t="e">
        <f t="shared" si="189"/>
        <v>#N/A</v>
      </c>
      <c r="BK415" s="641" t="e">
        <f t="shared" si="190"/>
        <v>#N/A</v>
      </c>
      <c r="BL415" s="641" t="e">
        <f t="shared" si="191"/>
        <v>#N/A</v>
      </c>
      <c r="BM415" s="684" t="e">
        <f t="shared" si="192"/>
        <v>#N/A</v>
      </c>
      <c r="BO415" s="682" t="e">
        <f>CONCATENATE(Z415," ",LOOKUP(D415,'f-travail'!A:A,'f-travail'!F:F))</f>
        <v>#N/A</v>
      </c>
      <c r="BP415" s="669" t="e">
        <f t="shared" si="179"/>
        <v>#N/A</v>
      </c>
    </row>
    <row r="416" spans="1:68">
      <c r="A416" s="636">
        <f t="shared" si="193"/>
        <v>415</v>
      </c>
      <c r="B416" s="637"/>
      <c r="C416" s="637"/>
      <c r="D416" s="652"/>
      <c r="E416" s="679" t="e">
        <f>LOOKUP(D416,'f-travail'!A:A,'f-travail'!B:B)</f>
        <v>#N/A</v>
      </c>
      <c r="F416" s="650"/>
      <c r="G416" s="650"/>
      <c r="H416" s="653"/>
      <c r="I416" s="653"/>
      <c r="J416" s="654"/>
      <c r="K416" s="650"/>
      <c r="L416" s="650"/>
      <c r="M416" s="650">
        <v>0</v>
      </c>
      <c r="N416" s="654"/>
      <c r="O416" s="654"/>
      <c r="P416" s="654"/>
      <c r="Q416" s="654"/>
      <c r="R416" s="676"/>
      <c r="S416" s="654"/>
      <c r="T416" s="675"/>
      <c r="U416" s="675"/>
      <c r="V416" s="670" t="e">
        <f>LOOKUP(D416,'f-travail'!A:A,'f-travail'!E:E)</f>
        <v>#N/A</v>
      </c>
      <c r="W416" s="670" t="e">
        <f>VLOOKUP(V416,جرقمإستدلالي,'f-travail'!$AD$4+1,FALSE)</f>
        <v>#N/A</v>
      </c>
      <c r="X416" s="671" t="e">
        <f t="shared" si="169"/>
        <v>#N/A</v>
      </c>
      <c r="Y416" s="671">
        <f>IF(G416="مدير ولائي",(HLOOKUP(I416,جدروظعليا,'f-travail'!$AT$3+1,FALSE)-3200),0)</f>
        <v>0</v>
      </c>
      <c r="Z416" s="672" t="str">
        <f t="shared" si="180"/>
        <v/>
      </c>
      <c r="AA416" s="671">
        <f t="shared" si="181"/>
        <v>0</v>
      </c>
      <c r="AB416" s="677" t="b">
        <f t="shared" si="170"/>
        <v>0</v>
      </c>
      <c r="AC416" s="678">
        <f t="shared" si="182"/>
        <v>0</v>
      </c>
      <c r="AD416" s="673"/>
      <c r="AE416" s="678">
        <f t="shared" si="171"/>
        <v>0</v>
      </c>
      <c r="AF416" s="678" t="e">
        <f t="shared" si="172"/>
        <v>#N/A</v>
      </c>
      <c r="AG416" s="678" t="e">
        <f t="shared" si="173"/>
        <v>#N/A</v>
      </c>
      <c r="AH416" s="673">
        <f t="shared" si="183"/>
        <v>0</v>
      </c>
      <c r="AI416" s="674" t="e">
        <f>IF(G416="مدير ولائي",(11000*35%),LOOKUP(D416,'f-travail'!A:A,'f-travail'!I:I))</f>
        <v>#N/A</v>
      </c>
      <c r="AJ416" s="673" t="e">
        <f>IF(G416="مدير ولائي",((W416+X416)*45)*80%,IF(V416&lt;8,0,IF(F416="إليزي",(LOOKUP(D416,'f-travail'!A:A,'f-travail'!O:O))*(AF416+AG416),LOOKUP(D416,'f-travail'!A:A,'f-travail'!P:P)*(AF416+AG416))))</f>
        <v>#N/A</v>
      </c>
      <c r="AK416" s="673" t="e">
        <f>IF(G416="مدير ولائي",0,LOOKUP(D416,'f-travail'!A:A,'f-travail'!Q:Q))</f>
        <v>#N/A</v>
      </c>
      <c r="AL416" s="673" t="e">
        <f>IF(G416="مدير ولائي",0,LOOKUP(D416,'f-travail'!A:A,'f-travail'!R:R)*(AF416+AG416))</f>
        <v>#N/A</v>
      </c>
      <c r="AM416" s="673" t="e">
        <f>IF(G416="مدير ولائي",0,LOOKUP(D416,'f-travail'!A:A,'f-travail'!S:S)*(AF416+AG416))</f>
        <v>#N/A</v>
      </c>
      <c r="AN416" s="673" t="e">
        <f>IF(G416="مدير ولائي",0,LOOKUP(D416,'f-travail'!A:A,'f-travail'!T:T)*(AF416+AG416))</f>
        <v>#N/A</v>
      </c>
      <c r="AO416" s="673" t="e">
        <f>IF(G416="مدير ولائي",0,LOOKUP(D416,'f-travail'!A:A,'f-travail'!U:U)*(AF416+AG416))</f>
        <v>#N/A</v>
      </c>
      <c r="AP416" s="673" t="e">
        <f>IF(G416="مدير ولائي",0,LOOKUP(D416,'f-travail'!A:A,'f-travail'!V:V)*(AF416+AG416))</f>
        <v>#N/A</v>
      </c>
      <c r="AQ416" s="673" t="e">
        <f>IF(G416="مدير ولائي",0,LOOKUP(D416,'f-travail'!A:A,'f-travail'!W:W)*(AF416+AG416))</f>
        <v>#N/A</v>
      </c>
      <c r="AR416" s="673">
        <f t="shared" si="184"/>
        <v>0</v>
      </c>
      <c r="AS416" s="673" t="e">
        <f>IF(G416="مدير ولائي",0,LOOKUP(D416,'f-travail'!A:A,'f-travail'!X:X)*(AF416+AG416))</f>
        <v>#N/A</v>
      </c>
      <c r="AT416" s="673" t="e">
        <f>IF(G416="مدير ولائي",0,LOOKUP(D416,'f-travail'!Y:Y,'f-travail'!R:R)*(AF416+AG416))</f>
        <v>#N/A</v>
      </c>
      <c r="AU416" s="673">
        <f t="shared" si="174"/>
        <v>0</v>
      </c>
      <c r="AV416" s="673">
        <f t="shared" si="175"/>
        <v>0</v>
      </c>
      <c r="AW416" s="673">
        <f t="shared" si="176"/>
        <v>0</v>
      </c>
      <c r="AY416" s="640" t="e">
        <f t="shared" si="185"/>
        <v>#N/A</v>
      </c>
      <c r="AZ416" s="673" t="e">
        <f t="shared" si="177"/>
        <v>#N/A</v>
      </c>
      <c r="BA416" s="639" t="e">
        <f t="shared" si="178"/>
        <v>#N/A</v>
      </c>
      <c r="BG416" s="639">
        <f t="shared" si="186"/>
        <v>0</v>
      </c>
      <c r="BH416" s="683">
        <f t="shared" si="187"/>
        <v>0</v>
      </c>
      <c r="BI416" s="683">
        <f t="shared" si="188"/>
        <v>0</v>
      </c>
      <c r="BJ416" s="641" t="e">
        <f t="shared" si="189"/>
        <v>#N/A</v>
      </c>
      <c r="BK416" s="641" t="e">
        <f t="shared" si="190"/>
        <v>#N/A</v>
      </c>
      <c r="BL416" s="641" t="e">
        <f t="shared" si="191"/>
        <v>#N/A</v>
      </c>
      <c r="BM416" s="684" t="e">
        <f t="shared" si="192"/>
        <v>#N/A</v>
      </c>
      <c r="BO416" s="682" t="e">
        <f>CONCATENATE(Z416," ",LOOKUP(D416,'f-travail'!A:A,'f-travail'!F:F))</f>
        <v>#N/A</v>
      </c>
      <c r="BP416" s="669" t="e">
        <f t="shared" si="179"/>
        <v>#N/A</v>
      </c>
    </row>
    <row r="417" spans="1:68">
      <c r="A417" s="636">
        <f t="shared" si="193"/>
        <v>416</v>
      </c>
      <c r="B417" s="637"/>
      <c r="C417" s="637"/>
      <c r="D417" s="652"/>
      <c r="E417" s="679" t="e">
        <f>LOOKUP(D417,'f-travail'!A:A,'f-travail'!B:B)</f>
        <v>#N/A</v>
      </c>
      <c r="F417" s="650"/>
      <c r="G417" s="650"/>
      <c r="H417" s="653"/>
      <c r="I417" s="653"/>
      <c r="J417" s="654"/>
      <c r="K417" s="650"/>
      <c r="L417" s="650"/>
      <c r="M417" s="650">
        <v>0</v>
      </c>
      <c r="N417" s="654"/>
      <c r="O417" s="654"/>
      <c r="P417" s="654"/>
      <c r="Q417" s="654"/>
      <c r="R417" s="676"/>
      <c r="S417" s="654"/>
      <c r="T417" s="675"/>
      <c r="U417" s="675"/>
      <c r="V417" s="670" t="e">
        <f>LOOKUP(D417,'f-travail'!A:A,'f-travail'!E:E)</f>
        <v>#N/A</v>
      </c>
      <c r="W417" s="670" t="e">
        <f>VLOOKUP(V417,جرقمإستدلالي,'f-travail'!$AD$4+1,FALSE)</f>
        <v>#N/A</v>
      </c>
      <c r="X417" s="671" t="e">
        <f t="shared" si="169"/>
        <v>#N/A</v>
      </c>
      <c r="Y417" s="671">
        <f>IF(G417="مدير ولائي",(HLOOKUP(I417,جدروظعليا,'f-travail'!$AT$3+1,FALSE)-3200),0)</f>
        <v>0</v>
      </c>
      <c r="Z417" s="672" t="str">
        <f t="shared" si="180"/>
        <v/>
      </c>
      <c r="AA417" s="671">
        <f t="shared" si="181"/>
        <v>0</v>
      </c>
      <c r="AB417" s="677" t="b">
        <f t="shared" si="170"/>
        <v>0</v>
      </c>
      <c r="AC417" s="678">
        <f t="shared" si="182"/>
        <v>0</v>
      </c>
      <c r="AD417" s="673"/>
      <c r="AE417" s="678">
        <f t="shared" si="171"/>
        <v>0</v>
      </c>
      <c r="AF417" s="678" t="e">
        <f t="shared" si="172"/>
        <v>#N/A</v>
      </c>
      <c r="AG417" s="678" t="e">
        <f t="shared" si="173"/>
        <v>#N/A</v>
      </c>
      <c r="AH417" s="673">
        <f t="shared" si="183"/>
        <v>0</v>
      </c>
      <c r="AI417" s="674" t="e">
        <f>IF(G417="مدير ولائي",(11000*35%),LOOKUP(D417,'f-travail'!A:A,'f-travail'!I:I))</f>
        <v>#N/A</v>
      </c>
      <c r="AJ417" s="673" t="e">
        <f>IF(G417="مدير ولائي",((W417+X417)*45)*80%,IF(V417&lt;8,0,IF(F417="إليزي",(LOOKUP(D417,'f-travail'!A:A,'f-travail'!O:O))*(AF417+AG417),LOOKUP(D417,'f-travail'!A:A,'f-travail'!P:P)*(AF417+AG417))))</f>
        <v>#N/A</v>
      </c>
      <c r="AK417" s="673" t="e">
        <f>IF(G417="مدير ولائي",0,LOOKUP(D417,'f-travail'!A:A,'f-travail'!Q:Q))</f>
        <v>#N/A</v>
      </c>
      <c r="AL417" s="673" t="e">
        <f>IF(G417="مدير ولائي",0,LOOKUP(D417,'f-travail'!A:A,'f-travail'!R:R)*(AF417+AG417))</f>
        <v>#N/A</v>
      </c>
      <c r="AM417" s="673" t="e">
        <f>IF(G417="مدير ولائي",0,LOOKUP(D417,'f-travail'!A:A,'f-travail'!S:S)*(AF417+AG417))</f>
        <v>#N/A</v>
      </c>
      <c r="AN417" s="673" t="e">
        <f>IF(G417="مدير ولائي",0,LOOKUP(D417,'f-travail'!A:A,'f-travail'!T:T)*(AF417+AG417))</f>
        <v>#N/A</v>
      </c>
      <c r="AO417" s="673" t="e">
        <f>IF(G417="مدير ولائي",0,LOOKUP(D417,'f-travail'!A:A,'f-travail'!U:U)*(AF417+AG417))</f>
        <v>#N/A</v>
      </c>
      <c r="AP417" s="673" t="e">
        <f>IF(G417="مدير ولائي",0,LOOKUP(D417,'f-travail'!A:A,'f-travail'!V:V)*(AF417+AG417))</f>
        <v>#N/A</v>
      </c>
      <c r="AQ417" s="673" t="e">
        <f>IF(G417="مدير ولائي",0,LOOKUP(D417,'f-travail'!A:A,'f-travail'!W:W)*(AF417+AG417))</f>
        <v>#N/A</v>
      </c>
      <c r="AR417" s="673">
        <f t="shared" si="184"/>
        <v>0</v>
      </c>
      <c r="AS417" s="673" t="e">
        <f>IF(G417="مدير ولائي",0,LOOKUP(D417,'f-travail'!A:A,'f-travail'!X:X)*(AF417+AG417))</f>
        <v>#N/A</v>
      </c>
      <c r="AT417" s="673" t="e">
        <f>IF(G417="مدير ولائي",0,LOOKUP(D417,'f-travail'!Y:Y,'f-travail'!R:R)*(AF417+AG417))</f>
        <v>#N/A</v>
      </c>
      <c r="AU417" s="673">
        <f t="shared" si="174"/>
        <v>0</v>
      </c>
      <c r="AV417" s="673">
        <f t="shared" si="175"/>
        <v>0</v>
      </c>
      <c r="AW417" s="673">
        <f t="shared" si="176"/>
        <v>0</v>
      </c>
      <c r="AY417" s="640" t="e">
        <f t="shared" si="185"/>
        <v>#N/A</v>
      </c>
      <c r="AZ417" s="673" t="e">
        <f t="shared" si="177"/>
        <v>#N/A</v>
      </c>
      <c r="BA417" s="639" t="e">
        <f t="shared" si="178"/>
        <v>#N/A</v>
      </c>
      <c r="BG417" s="639">
        <f t="shared" si="186"/>
        <v>0</v>
      </c>
      <c r="BH417" s="683">
        <f t="shared" si="187"/>
        <v>0</v>
      </c>
      <c r="BI417" s="683">
        <f t="shared" si="188"/>
        <v>0</v>
      </c>
      <c r="BJ417" s="641" t="e">
        <f t="shared" si="189"/>
        <v>#N/A</v>
      </c>
      <c r="BK417" s="641" t="e">
        <f t="shared" si="190"/>
        <v>#N/A</v>
      </c>
      <c r="BL417" s="641" t="e">
        <f t="shared" si="191"/>
        <v>#N/A</v>
      </c>
      <c r="BM417" s="684" t="e">
        <f t="shared" si="192"/>
        <v>#N/A</v>
      </c>
      <c r="BO417" s="682" t="e">
        <f>CONCATENATE(Z417," ",LOOKUP(D417,'f-travail'!A:A,'f-travail'!F:F))</f>
        <v>#N/A</v>
      </c>
      <c r="BP417" s="669" t="e">
        <f t="shared" si="179"/>
        <v>#N/A</v>
      </c>
    </row>
    <row r="418" spans="1:68">
      <c r="A418" s="636">
        <f t="shared" si="193"/>
        <v>417</v>
      </c>
      <c r="B418" s="637"/>
      <c r="C418" s="637"/>
      <c r="D418" s="652"/>
      <c r="E418" s="679" t="e">
        <f>LOOKUP(D418,'f-travail'!A:A,'f-travail'!B:B)</f>
        <v>#N/A</v>
      </c>
      <c r="F418" s="650"/>
      <c r="G418" s="650"/>
      <c r="H418" s="653"/>
      <c r="I418" s="653"/>
      <c r="J418" s="654"/>
      <c r="K418" s="650"/>
      <c r="L418" s="650"/>
      <c r="M418" s="650">
        <v>0</v>
      </c>
      <c r="N418" s="654"/>
      <c r="O418" s="654"/>
      <c r="P418" s="654"/>
      <c r="Q418" s="654"/>
      <c r="R418" s="676"/>
      <c r="S418" s="654"/>
      <c r="T418" s="675"/>
      <c r="U418" s="675"/>
      <c r="V418" s="670" t="e">
        <f>LOOKUP(D418,'f-travail'!A:A,'f-travail'!E:E)</f>
        <v>#N/A</v>
      </c>
      <c r="W418" s="670" t="e">
        <f>VLOOKUP(V418,جرقمإستدلالي,'f-travail'!$AD$4+1,FALSE)</f>
        <v>#N/A</v>
      </c>
      <c r="X418" s="671" t="e">
        <f t="shared" si="169"/>
        <v>#N/A</v>
      </c>
      <c r="Y418" s="671">
        <f>IF(G418="مدير ولائي",(HLOOKUP(I418,جدروظعليا,'f-travail'!$AT$3+1,FALSE)-3200),0)</f>
        <v>0</v>
      </c>
      <c r="Z418" s="672" t="str">
        <f t="shared" si="180"/>
        <v/>
      </c>
      <c r="AA418" s="671">
        <f t="shared" si="181"/>
        <v>0</v>
      </c>
      <c r="AB418" s="677" t="b">
        <f t="shared" si="170"/>
        <v>0</v>
      </c>
      <c r="AC418" s="678">
        <f t="shared" si="182"/>
        <v>0</v>
      </c>
      <c r="AD418" s="673"/>
      <c r="AE418" s="678">
        <f t="shared" si="171"/>
        <v>0</v>
      </c>
      <c r="AF418" s="678" t="e">
        <f t="shared" si="172"/>
        <v>#N/A</v>
      </c>
      <c r="AG418" s="678" t="e">
        <f t="shared" si="173"/>
        <v>#N/A</v>
      </c>
      <c r="AH418" s="673">
        <f t="shared" si="183"/>
        <v>0</v>
      </c>
      <c r="AI418" s="674" t="e">
        <f>IF(G418="مدير ولائي",(11000*35%),LOOKUP(D418,'f-travail'!A:A,'f-travail'!I:I))</f>
        <v>#N/A</v>
      </c>
      <c r="AJ418" s="673" t="e">
        <f>IF(G418="مدير ولائي",((W418+X418)*45)*80%,IF(V418&lt;8,0,IF(F418="إليزي",(LOOKUP(D418,'f-travail'!A:A,'f-travail'!O:O))*(AF418+AG418),LOOKUP(D418,'f-travail'!A:A,'f-travail'!P:P)*(AF418+AG418))))</f>
        <v>#N/A</v>
      </c>
      <c r="AK418" s="673" t="e">
        <f>IF(G418="مدير ولائي",0,LOOKUP(D418,'f-travail'!A:A,'f-travail'!Q:Q))</f>
        <v>#N/A</v>
      </c>
      <c r="AL418" s="673" t="e">
        <f>IF(G418="مدير ولائي",0,LOOKUP(D418,'f-travail'!A:A,'f-travail'!R:R)*(AF418+AG418))</f>
        <v>#N/A</v>
      </c>
      <c r="AM418" s="673" t="e">
        <f>IF(G418="مدير ولائي",0,LOOKUP(D418,'f-travail'!A:A,'f-travail'!S:S)*(AF418+AG418))</f>
        <v>#N/A</v>
      </c>
      <c r="AN418" s="673" t="e">
        <f>IF(G418="مدير ولائي",0,LOOKUP(D418,'f-travail'!A:A,'f-travail'!T:T)*(AF418+AG418))</f>
        <v>#N/A</v>
      </c>
      <c r="AO418" s="673" t="e">
        <f>IF(G418="مدير ولائي",0,LOOKUP(D418,'f-travail'!A:A,'f-travail'!U:U)*(AF418+AG418))</f>
        <v>#N/A</v>
      </c>
      <c r="AP418" s="673" t="e">
        <f>IF(G418="مدير ولائي",0,LOOKUP(D418,'f-travail'!A:A,'f-travail'!V:V)*(AF418+AG418))</f>
        <v>#N/A</v>
      </c>
      <c r="AQ418" s="673" t="e">
        <f>IF(G418="مدير ولائي",0,LOOKUP(D418,'f-travail'!A:A,'f-travail'!W:W)*(AF418+AG418))</f>
        <v>#N/A</v>
      </c>
      <c r="AR418" s="673">
        <f t="shared" si="184"/>
        <v>0</v>
      </c>
      <c r="AS418" s="673" t="e">
        <f>IF(G418="مدير ولائي",0,LOOKUP(D418,'f-travail'!A:A,'f-travail'!X:X)*(AF418+AG418))</f>
        <v>#N/A</v>
      </c>
      <c r="AT418" s="673" t="e">
        <f>IF(G418="مدير ولائي",0,LOOKUP(D418,'f-travail'!Y:Y,'f-travail'!R:R)*(AF418+AG418))</f>
        <v>#N/A</v>
      </c>
      <c r="AU418" s="673">
        <f t="shared" si="174"/>
        <v>0</v>
      </c>
      <c r="AV418" s="673">
        <f t="shared" si="175"/>
        <v>0</v>
      </c>
      <c r="AW418" s="673">
        <f t="shared" si="176"/>
        <v>0</v>
      </c>
      <c r="AY418" s="640" t="e">
        <f t="shared" si="185"/>
        <v>#N/A</v>
      </c>
      <c r="AZ418" s="673" t="e">
        <f t="shared" si="177"/>
        <v>#N/A</v>
      </c>
      <c r="BA418" s="639" t="e">
        <f t="shared" si="178"/>
        <v>#N/A</v>
      </c>
      <c r="BG418" s="639">
        <f t="shared" si="186"/>
        <v>0</v>
      </c>
      <c r="BH418" s="683">
        <f t="shared" si="187"/>
        <v>0</v>
      </c>
      <c r="BI418" s="683">
        <f t="shared" si="188"/>
        <v>0</v>
      </c>
      <c r="BJ418" s="641" t="e">
        <f t="shared" si="189"/>
        <v>#N/A</v>
      </c>
      <c r="BK418" s="641" t="e">
        <f t="shared" si="190"/>
        <v>#N/A</v>
      </c>
      <c r="BL418" s="641" t="e">
        <f t="shared" si="191"/>
        <v>#N/A</v>
      </c>
      <c r="BM418" s="684" t="e">
        <f t="shared" si="192"/>
        <v>#N/A</v>
      </c>
      <c r="BO418" s="682" t="e">
        <f>CONCATENATE(Z418," ",LOOKUP(D418,'f-travail'!A:A,'f-travail'!F:F))</f>
        <v>#N/A</v>
      </c>
      <c r="BP418" s="669" t="e">
        <f t="shared" si="179"/>
        <v>#N/A</v>
      </c>
    </row>
    <row r="419" spans="1:68">
      <c r="A419" s="636">
        <f t="shared" si="193"/>
        <v>418</v>
      </c>
      <c r="B419" s="637"/>
      <c r="C419" s="637"/>
      <c r="D419" s="652"/>
      <c r="E419" s="679" t="e">
        <f>LOOKUP(D419,'f-travail'!A:A,'f-travail'!B:B)</f>
        <v>#N/A</v>
      </c>
      <c r="F419" s="650"/>
      <c r="G419" s="650"/>
      <c r="H419" s="653"/>
      <c r="I419" s="653"/>
      <c r="J419" s="654"/>
      <c r="K419" s="650"/>
      <c r="L419" s="650"/>
      <c r="M419" s="650">
        <v>0</v>
      </c>
      <c r="N419" s="654"/>
      <c r="O419" s="654"/>
      <c r="P419" s="654"/>
      <c r="Q419" s="654"/>
      <c r="R419" s="676"/>
      <c r="S419" s="654"/>
      <c r="T419" s="675"/>
      <c r="U419" s="675"/>
      <c r="V419" s="670" t="e">
        <f>LOOKUP(D419,'f-travail'!A:A,'f-travail'!E:E)</f>
        <v>#N/A</v>
      </c>
      <c r="W419" s="670" t="e">
        <f>VLOOKUP(V419,جرقمإستدلالي,'f-travail'!$AD$4+1,FALSE)</f>
        <v>#N/A</v>
      </c>
      <c r="X419" s="671" t="e">
        <f t="shared" si="169"/>
        <v>#N/A</v>
      </c>
      <c r="Y419" s="671">
        <f>IF(G419="مدير ولائي",(HLOOKUP(I419,جدروظعليا,'f-travail'!$AT$3+1,FALSE)-3200),0)</f>
        <v>0</v>
      </c>
      <c r="Z419" s="672" t="str">
        <f t="shared" si="180"/>
        <v/>
      </c>
      <c r="AA419" s="671">
        <f t="shared" si="181"/>
        <v>0</v>
      </c>
      <c r="AB419" s="677" t="b">
        <f t="shared" si="170"/>
        <v>0</v>
      </c>
      <c r="AC419" s="678">
        <f t="shared" si="182"/>
        <v>0</v>
      </c>
      <c r="AD419" s="673"/>
      <c r="AE419" s="678">
        <f t="shared" si="171"/>
        <v>0</v>
      </c>
      <c r="AF419" s="678" t="e">
        <f t="shared" si="172"/>
        <v>#N/A</v>
      </c>
      <c r="AG419" s="678" t="e">
        <f t="shared" si="173"/>
        <v>#N/A</v>
      </c>
      <c r="AH419" s="673">
        <f t="shared" si="183"/>
        <v>0</v>
      </c>
      <c r="AI419" s="674" t="e">
        <f>IF(G419="مدير ولائي",(11000*35%),LOOKUP(D419,'f-travail'!A:A,'f-travail'!I:I))</f>
        <v>#N/A</v>
      </c>
      <c r="AJ419" s="673" t="e">
        <f>IF(G419="مدير ولائي",((W419+X419)*45)*80%,IF(V419&lt;8,0,IF(F419="إليزي",(LOOKUP(D419,'f-travail'!A:A,'f-travail'!O:O))*(AF419+AG419),LOOKUP(D419,'f-travail'!A:A,'f-travail'!P:P)*(AF419+AG419))))</f>
        <v>#N/A</v>
      </c>
      <c r="AK419" s="673" t="e">
        <f>IF(G419="مدير ولائي",0,LOOKUP(D419,'f-travail'!A:A,'f-travail'!Q:Q))</f>
        <v>#N/A</v>
      </c>
      <c r="AL419" s="673" t="e">
        <f>IF(G419="مدير ولائي",0,LOOKUP(D419,'f-travail'!A:A,'f-travail'!R:R)*(AF419+AG419))</f>
        <v>#N/A</v>
      </c>
      <c r="AM419" s="673" t="e">
        <f>IF(G419="مدير ولائي",0,LOOKUP(D419,'f-travail'!A:A,'f-travail'!S:S)*(AF419+AG419))</f>
        <v>#N/A</v>
      </c>
      <c r="AN419" s="673" t="e">
        <f>IF(G419="مدير ولائي",0,LOOKUP(D419,'f-travail'!A:A,'f-travail'!T:T)*(AF419+AG419))</f>
        <v>#N/A</v>
      </c>
      <c r="AO419" s="673" t="e">
        <f>IF(G419="مدير ولائي",0,LOOKUP(D419,'f-travail'!A:A,'f-travail'!U:U)*(AF419+AG419))</f>
        <v>#N/A</v>
      </c>
      <c r="AP419" s="673" t="e">
        <f>IF(G419="مدير ولائي",0,LOOKUP(D419,'f-travail'!A:A,'f-travail'!V:V)*(AF419+AG419))</f>
        <v>#N/A</v>
      </c>
      <c r="AQ419" s="673" t="e">
        <f>IF(G419="مدير ولائي",0,LOOKUP(D419,'f-travail'!A:A,'f-travail'!W:W)*(AF419+AG419))</f>
        <v>#N/A</v>
      </c>
      <c r="AR419" s="673">
        <f t="shared" si="184"/>
        <v>0</v>
      </c>
      <c r="AS419" s="673" t="e">
        <f>IF(G419="مدير ولائي",0,LOOKUP(D419,'f-travail'!A:A,'f-travail'!X:X)*(AF419+AG419))</f>
        <v>#N/A</v>
      </c>
      <c r="AT419" s="673" t="e">
        <f>IF(G419="مدير ولائي",0,LOOKUP(D419,'f-travail'!Y:Y,'f-travail'!R:R)*(AF419+AG419))</f>
        <v>#N/A</v>
      </c>
      <c r="AU419" s="673">
        <f t="shared" si="174"/>
        <v>0</v>
      </c>
      <c r="AV419" s="673">
        <f t="shared" si="175"/>
        <v>0</v>
      </c>
      <c r="AW419" s="673">
        <f t="shared" si="176"/>
        <v>0</v>
      </c>
      <c r="AY419" s="640" t="e">
        <f t="shared" si="185"/>
        <v>#N/A</v>
      </c>
      <c r="AZ419" s="673" t="e">
        <f t="shared" si="177"/>
        <v>#N/A</v>
      </c>
      <c r="BA419" s="639" t="e">
        <f t="shared" si="178"/>
        <v>#N/A</v>
      </c>
      <c r="BG419" s="639">
        <f t="shared" si="186"/>
        <v>0</v>
      </c>
      <c r="BH419" s="683">
        <f t="shared" si="187"/>
        <v>0</v>
      </c>
      <c r="BI419" s="683">
        <f t="shared" si="188"/>
        <v>0</v>
      </c>
      <c r="BJ419" s="641" t="e">
        <f t="shared" si="189"/>
        <v>#N/A</v>
      </c>
      <c r="BK419" s="641" t="e">
        <f t="shared" si="190"/>
        <v>#N/A</v>
      </c>
      <c r="BL419" s="641" t="e">
        <f t="shared" si="191"/>
        <v>#N/A</v>
      </c>
      <c r="BM419" s="684" t="e">
        <f t="shared" si="192"/>
        <v>#N/A</v>
      </c>
      <c r="BO419" s="682" t="e">
        <f>CONCATENATE(Z419," ",LOOKUP(D419,'f-travail'!A:A,'f-travail'!F:F))</f>
        <v>#N/A</v>
      </c>
      <c r="BP419" s="669" t="e">
        <f t="shared" si="179"/>
        <v>#N/A</v>
      </c>
    </row>
    <row r="420" spans="1:68">
      <c r="A420" s="636">
        <f t="shared" si="193"/>
        <v>419</v>
      </c>
      <c r="B420" s="637"/>
      <c r="C420" s="637"/>
      <c r="D420" s="652"/>
      <c r="E420" s="679" t="e">
        <f>LOOKUP(D420,'f-travail'!A:A,'f-travail'!B:B)</f>
        <v>#N/A</v>
      </c>
      <c r="F420" s="650"/>
      <c r="G420" s="650"/>
      <c r="H420" s="653"/>
      <c r="I420" s="653"/>
      <c r="J420" s="654"/>
      <c r="K420" s="650"/>
      <c r="L420" s="650"/>
      <c r="M420" s="650">
        <v>0</v>
      </c>
      <c r="N420" s="654"/>
      <c r="O420" s="654"/>
      <c r="P420" s="654"/>
      <c r="Q420" s="654"/>
      <c r="R420" s="676"/>
      <c r="S420" s="654"/>
      <c r="T420" s="675"/>
      <c r="U420" s="675"/>
      <c r="V420" s="670" t="e">
        <f>LOOKUP(D420,'f-travail'!A:A,'f-travail'!E:E)</f>
        <v>#N/A</v>
      </c>
      <c r="W420" s="670" t="e">
        <f>VLOOKUP(V420,جرقمإستدلالي,'f-travail'!$AD$4+1,FALSE)</f>
        <v>#N/A</v>
      </c>
      <c r="X420" s="671" t="e">
        <f t="shared" si="169"/>
        <v>#N/A</v>
      </c>
      <c r="Y420" s="671">
        <f>IF(G420="مدير ولائي",(HLOOKUP(I420,جدروظعليا,'f-travail'!$AT$3+1,FALSE)-3200),0)</f>
        <v>0</v>
      </c>
      <c r="Z420" s="672" t="str">
        <f t="shared" si="180"/>
        <v/>
      </c>
      <c r="AA420" s="671">
        <f t="shared" si="181"/>
        <v>0</v>
      </c>
      <c r="AB420" s="677" t="b">
        <f t="shared" si="170"/>
        <v>0</v>
      </c>
      <c r="AC420" s="678">
        <f t="shared" si="182"/>
        <v>0</v>
      </c>
      <c r="AD420" s="673"/>
      <c r="AE420" s="678">
        <f t="shared" si="171"/>
        <v>0</v>
      </c>
      <c r="AF420" s="678" t="e">
        <f t="shared" si="172"/>
        <v>#N/A</v>
      </c>
      <c r="AG420" s="678" t="e">
        <f t="shared" si="173"/>
        <v>#N/A</v>
      </c>
      <c r="AH420" s="673">
        <f t="shared" si="183"/>
        <v>0</v>
      </c>
      <c r="AI420" s="674" t="e">
        <f>IF(G420="مدير ولائي",(11000*35%),LOOKUP(D420,'f-travail'!A:A,'f-travail'!I:I))</f>
        <v>#N/A</v>
      </c>
      <c r="AJ420" s="673" t="e">
        <f>IF(G420="مدير ولائي",((W420+X420)*45)*80%,IF(V420&lt;8,0,IF(F420="إليزي",(LOOKUP(D420,'f-travail'!A:A,'f-travail'!O:O))*(AF420+AG420),LOOKUP(D420,'f-travail'!A:A,'f-travail'!P:P)*(AF420+AG420))))</f>
        <v>#N/A</v>
      </c>
      <c r="AK420" s="673" t="e">
        <f>IF(G420="مدير ولائي",0,LOOKUP(D420,'f-travail'!A:A,'f-travail'!Q:Q))</f>
        <v>#N/A</v>
      </c>
      <c r="AL420" s="673" t="e">
        <f>IF(G420="مدير ولائي",0,LOOKUP(D420,'f-travail'!A:A,'f-travail'!R:R)*(AF420+AG420))</f>
        <v>#N/A</v>
      </c>
      <c r="AM420" s="673" t="e">
        <f>IF(G420="مدير ولائي",0,LOOKUP(D420,'f-travail'!A:A,'f-travail'!S:S)*(AF420+AG420))</f>
        <v>#N/A</v>
      </c>
      <c r="AN420" s="673" t="e">
        <f>IF(G420="مدير ولائي",0,LOOKUP(D420,'f-travail'!A:A,'f-travail'!T:T)*(AF420+AG420))</f>
        <v>#N/A</v>
      </c>
      <c r="AO420" s="673" t="e">
        <f>IF(G420="مدير ولائي",0,LOOKUP(D420,'f-travail'!A:A,'f-travail'!U:U)*(AF420+AG420))</f>
        <v>#N/A</v>
      </c>
      <c r="AP420" s="673" t="e">
        <f>IF(G420="مدير ولائي",0,LOOKUP(D420,'f-travail'!A:A,'f-travail'!V:V)*(AF420+AG420))</f>
        <v>#N/A</v>
      </c>
      <c r="AQ420" s="673" t="e">
        <f>IF(G420="مدير ولائي",0,LOOKUP(D420,'f-travail'!A:A,'f-travail'!W:W)*(AF420+AG420))</f>
        <v>#N/A</v>
      </c>
      <c r="AR420" s="673">
        <f t="shared" si="184"/>
        <v>0</v>
      </c>
      <c r="AS420" s="673" t="e">
        <f>IF(G420="مدير ولائي",0,LOOKUP(D420,'f-travail'!A:A,'f-travail'!X:X)*(AF420+AG420))</f>
        <v>#N/A</v>
      </c>
      <c r="AT420" s="673" t="e">
        <f>IF(G420="مدير ولائي",0,LOOKUP(D420,'f-travail'!Y:Y,'f-travail'!R:R)*(AF420+AG420))</f>
        <v>#N/A</v>
      </c>
      <c r="AU420" s="673">
        <f t="shared" si="174"/>
        <v>0</v>
      </c>
      <c r="AV420" s="673">
        <f t="shared" si="175"/>
        <v>0</v>
      </c>
      <c r="AW420" s="673">
        <f t="shared" si="176"/>
        <v>0</v>
      </c>
      <c r="AY420" s="640" t="e">
        <f t="shared" si="185"/>
        <v>#N/A</v>
      </c>
      <c r="AZ420" s="673" t="e">
        <f t="shared" si="177"/>
        <v>#N/A</v>
      </c>
      <c r="BA420" s="639" t="e">
        <f t="shared" si="178"/>
        <v>#N/A</v>
      </c>
      <c r="BG420" s="639">
        <f t="shared" si="186"/>
        <v>0</v>
      </c>
      <c r="BH420" s="683">
        <f t="shared" si="187"/>
        <v>0</v>
      </c>
      <c r="BI420" s="683">
        <f t="shared" si="188"/>
        <v>0</v>
      </c>
      <c r="BJ420" s="641" t="e">
        <f t="shared" si="189"/>
        <v>#N/A</v>
      </c>
      <c r="BK420" s="641" t="e">
        <f t="shared" si="190"/>
        <v>#N/A</v>
      </c>
      <c r="BL420" s="641" t="e">
        <f t="shared" si="191"/>
        <v>#N/A</v>
      </c>
      <c r="BM420" s="684" t="e">
        <f t="shared" si="192"/>
        <v>#N/A</v>
      </c>
      <c r="BO420" s="682" t="e">
        <f>CONCATENATE(Z420," ",LOOKUP(D420,'f-travail'!A:A,'f-travail'!F:F))</f>
        <v>#N/A</v>
      </c>
      <c r="BP420" s="669" t="e">
        <f t="shared" si="179"/>
        <v>#N/A</v>
      </c>
    </row>
    <row r="421" spans="1:68">
      <c r="A421" s="636">
        <f t="shared" si="193"/>
        <v>420</v>
      </c>
      <c r="B421" s="637"/>
      <c r="C421" s="637"/>
      <c r="D421" s="652"/>
      <c r="E421" s="679" t="e">
        <f>LOOKUP(D421,'f-travail'!A:A,'f-travail'!B:B)</f>
        <v>#N/A</v>
      </c>
      <c r="F421" s="650"/>
      <c r="G421" s="650"/>
      <c r="H421" s="653"/>
      <c r="I421" s="653"/>
      <c r="J421" s="654"/>
      <c r="K421" s="650"/>
      <c r="L421" s="650"/>
      <c r="M421" s="650">
        <v>0</v>
      </c>
      <c r="N421" s="654"/>
      <c r="O421" s="654"/>
      <c r="P421" s="654"/>
      <c r="Q421" s="654"/>
      <c r="R421" s="676"/>
      <c r="S421" s="654"/>
      <c r="T421" s="675"/>
      <c r="U421" s="675"/>
      <c r="V421" s="670" t="e">
        <f>LOOKUP(D421,'f-travail'!A:A,'f-travail'!E:E)</f>
        <v>#N/A</v>
      </c>
      <c r="W421" s="670" t="e">
        <f>VLOOKUP(V421,جرقمإستدلالي,'f-travail'!$AD$4+1,FALSE)</f>
        <v>#N/A</v>
      </c>
      <c r="X421" s="671" t="e">
        <f t="shared" si="169"/>
        <v>#N/A</v>
      </c>
      <c r="Y421" s="671">
        <f>IF(G421="مدير ولائي",(HLOOKUP(I421,جدروظعليا,'f-travail'!$AT$3+1,FALSE)-3200),0)</f>
        <v>0</v>
      </c>
      <c r="Z421" s="672" t="str">
        <f t="shared" si="180"/>
        <v/>
      </c>
      <c r="AA421" s="671">
        <f t="shared" si="181"/>
        <v>0</v>
      </c>
      <c r="AB421" s="677" t="b">
        <f t="shared" si="170"/>
        <v>0</v>
      </c>
      <c r="AC421" s="678">
        <f t="shared" si="182"/>
        <v>0</v>
      </c>
      <c r="AD421" s="673"/>
      <c r="AE421" s="678">
        <f t="shared" si="171"/>
        <v>0</v>
      </c>
      <c r="AF421" s="678" t="e">
        <f t="shared" si="172"/>
        <v>#N/A</v>
      </c>
      <c r="AG421" s="678" t="e">
        <f t="shared" si="173"/>
        <v>#N/A</v>
      </c>
      <c r="AH421" s="673">
        <f t="shared" si="183"/>
        <v>0</v>
      </c>
      <c r="AI421" s="674" t="e">
        <f>IF(G421="مدير ولائي",(11000*35%),LOOKUP(D421,'f-travail'!A:A,'f-travail'!I:I))</f>
        <v>#N/A</v>
      </c>
      <c r="AJ421" s="673" t="e">
        <f>IF(G421="مدير ولائي",((W421+X421)*45)*80%,IF(V421&lt;8,0,IF(F421="إليزي",(LOOKUP(D421,'f-travail'!A:A,'f-travail'!O:O))*(AF421+AG421),LOOKUP(D421,'f-travail'!A:A,'f-travail'!P:P)*(AF421+AG421))))</f>
        <v>#N/A</v>
      </c>
      <c r="AK421" s="673" t="e">
        <f>IF(G421="مدير ولائي",0,LOOKUP(D421,'f-travail'!A:A,'f-travail'!Q:Q))</f>
        <v>#N/A</v>
      </c>
      <c r="AL421" s="673" t="e">
        <f>IF(G421="مدير ولائي",0,LOOKUP(D421,'f-travail'!A:A,'f-travail'!R:R)*(AF421+AG421))</f>
        <v>#N/A</v>
      </c>
      <c r="AM421" s="673" t="e">
        <f>IF(G421="مدير ولائي",0,LOOKUP(D421,'f-travail'!A:A,'f-travail'!S:S)*(AF421+AG421))</f>
        <v>#N/A</v>
      </c>
      <c r="AN421" s="673" t="e">
        <f>IF(G421="مدير ولائي",0,LOOKUP(D421,'f-travail'!A:A,'f-travail'!T:T)*(AF421+AG421))</f>
        <v>#N/A</v>
      </c>
      <c r="AO421" s="673" t="e">
        <f>IF(G421="مدير ولائي",0,LOOKUP(D421,'f-travail'!A:A,'f-travail'!U:U)*(AF421+AG421))</f>
        <v>#N/A</v>
      </c>
      <c r="AP421" s="673" t="e">
        <f>IF(G421="مدير ولائي",0,LOOKUP(D421,'f-travail'!A:A,'f-travail'!V:V)*(AF421+AG421))</f>
        <v>#N/A</v>
      </c>
      <c r="AQ421" s="673" t="e">
        <f>IF(G421="مدير ولائي",0,LOOKUP(D421,'f-travail'!A:A,'f-travail'!W:W)*(AF421+AG421))</f>
        <v>#N/A</v>
      </c>
      <c r="AR421" s="673">
        <f t="shared" si="184"/>
        <v>0</v>
      </c>
      <c r="AS421" s="673" t="e">
        <f>IF(G421="مدير ولائي",0,LOOKUP(D421,'f-travail'!A:A,'f-travail'!X:X)*(AF421+AG421))</f>
        <v>#N/A</v>
      </c>
      <c r="AT421" s="673" t="e">
        <f>IF(G421="مدير ولائي",0,LOOKUP(D421,'f-travail'!Y:Y,'f-travail'!R:R)*(AF421+AG421))</f>
        <v>#N/A</v>
      </c>
      <c r="AU421" s="673">
        <f t="shared" si="174"/>
        <v>0</v>
      </c>
      <c r="AV421" s="673">
        <f t="shared" si="175"/>
        <v>0</v>
      </c>
      <c r="AW421" s="673">
        <f t="shared" si="176"/>
        <v>0</v>
      </c>
      <c r="AY421" s="640" t="e">
        <f t="shared" si="185"/>
        <v>#N/A</v>
      </c>
      <c r="AZ421" s="673" t="e">
        <f t="shared" si="177"/>
        <v>#N/A</v>
      </c>
      <c r="BA421" s="639" t="e">
        <f t="shared" si="178"/>
        <v>#N/A</v>
      </c>
      <c r="BG421" s="639">
        <f t="shared" si="186"/>
        <v>0</v>
      </c>
      <c r="BH421" s="683">
        <f t="shared" si="187"/>
        <v>0</v>
      </c>
      <c r="BI421" s="683">
        <f t="shared" si="188"/>
        <v>0</v>
      </c>
      <c r="BJ421" s="641" t="e">
        <f t="shared" si="189"/>
        <v>#N/A</v>
      </c>
      <c r="BK421" s="641" t="e">
        <f t="shared" si="190"/>
        <v>#N/A</v>
      </c>
      <c r="BL421" s="641" t="e">
        <f t="shared" si="191"/>
        <v>#N/A</v>
      </c>
      <c r="BM421" s="684" t="e">
        <f t="shared" si="192"/>
        <v>#N/A</v>
      </c>
      <c r="BO421" s="682" t="e">
        <f>CONCATENATE(Z421," ",LOOKUP(D421,'f-travail'!A:A,'f-travail'!F:F))</f>
        <v>#N/A</v>
      </c>
      <c r="BP421" s="669" t="e">
        <f t="shared" si="179"/>
        <v>#N/A</v>
      </c>
    </row>
    <row r="422" spans="1:68">
      <c r="A422" s="636">
        <f t="shared" si="193"/>
        <v>421</v>
      </c>
      <c r="B422" s="637"/>
      <c r="C422" s="637"/>
      <c r="D422" s="652"/>
      <c r="E422" s="679" t="e">
        <f>LOOKUP(D422,'f-travail'!A:A,'f-travail'!B:B)</f>
        <v>#N/A</v>
      </c>
      <c r="F422" s="650"/>
      <c r="G422" s="650"/>
      <c r="H422" s="653"/>
      <c r="I422" s="653"/>
      <c r="J422" s="654"/>
      <c r="K422" s="650"/>
      <c r="L422" s="650"/>
      <c r="M422" s="650">
        <v>0</v>
      </c>
      <c r="N422" s="654"/>
      <c r="O422" s="654"/>
      <c r="P422" s="654"/>
      <c r="Q422" s="654"/>
      <c r="R422" s="676"/>
      <c r="S422" s="654"/>
      <c r="T422" s="675"/>
      <c r="U422" s="675"/>
      <c r="V422" s="670" t="e">
        <f>LOOKUP(D422,'f-travail'!A:A,'f-travail'!E:E)</f>
        <v>#N/A</v>
      </c>
      <c r="W422" s="670" t="e">
        <f>VLOOKUP(V422,جرقمإستدلالي,'f-travail'!$AD$4+1,FALSE)</f>
        <v>#N/A</v>
      </c>
      <c r="X422" s="671" t="e">
        <f t="shared" si="169"/>
        <v>#N/A</v>
      </c>
      <c r="Y422" s="671">
        <f>IF(G422="مدير ولائي",(HLOOKUP(I422,جدروظعليا,'f-travail'!$AT$3+1,FALSE)-3200),0)</f>
        <v>0</v>
      </c>
      <c r="Z422" s="672" t="str">
        <f t="shared" si="180"/>
        <v/>
      </c>
      <c r="AA422" s="671">
        <f t="shared" si="181"/>
        <v>0</v>
      </c>
      <c r="AB422" s="677" t="b">
        <f t="shared" si="170"/>
        <v>0</v>
      </c>
      <c r="AC422" s="678">
        <f t="shared" si="182"/>
        <v>0</v>
      </c>
      <c r="AD422" s="673"/>
      <c r="AE422" s="678">
        <f t="shared" si="171"/>
        <v>0</v>
      </c>
      <c r="AF422" s="678" t="e">
        <f t="shared" si="172"/>
        <v>#N/A</v>
      </c>
      <c r="AG422" s="678" t="e">
        <f t="shared" si="173"/>
        <v>#N/A</v>
      </c>
      <c r="AH422" s="673">
        <f t="shared" si="183"/>
        <v>0</v>
      </c>
      <c r="AI422" s="674" t="e">
        <f>IF(G422="مدير ولائي",(11000*35%),LOOKUP(D422,'f-travail'!A:A,'f-travail'!I:I))</f>
        <v>#N/A</v>
      </c>
      <c r="AJ422" s="673" t="e">
        <f>IF(G422="مدير ولائي",((W422+X422)*45)*80%,IF(V422&lt;8,0,IF(F422="إليزي",(LOOKUP(D422,'f-travail'!A:A,'f-travail'!O:O))*(AF422+AG422),LOOKUP(D422,'f-travail'!A:A,'f-travail'!P:P)*(AF422+AG422))))</f>
        <v>#N/A</v>
      </c>
      <c r="AK422" s="673" t="e">
        <f>IF(G422="مدير ولائي",0,LOOKUP(D422,'f-travail'!A:A,'f-travail'!Q:Q))</f>
        <v>#N/A</v>
      </c>
      <c r="AL422" s="673" t="e">
        <f>IF(G422="مدير ولائي",0,LOOKUP(D422,'f-travail'!A:A,'f-travail'!R:R)*(AF422+AG422))</f>
        <v>#N/A</v>
      </c>
      <c r="AM422" s="673" t="e">
        <f>IF(G422="مدير ولائي",0,LOOKUP(D422,'f-travail'!A:A,'f-travail'!S:S)*(AF422+AG422))</f>
        <v>#N/A</v>
      </c>
      <c r="AN422" s="673" t="e">
        <f>IF(G422="مدير ولائي",0,LOOKUP(D422,'f-travail'!A:A,'f-travail'!T:T)*(AF422+AG422))</f>
        <v>#N/A</v>
      </c>
      <c r="AO422" s="673" t="e">
        <f>IF(G422="مدير ولائي",0,LOOKUP(D422,'f-travail'!A:A,'f-travail'!U:U)*(AF422+AG422))</f>
        <v>#N/A</v>
      </c>
      <c r="AP422" s="673" t="e">
        <f>IF(G422="مدير ولائي",0,LOOKUP(D422,'f-travail'!A:A,'f-travail'!V:V)*(AF422+AG422))</f>
        <v>#N/A</v>
      </c>
      <c r="AQ422" s="673" t="e">
        <f>IF(G422="مدير ولائي",0,LOOKUP(D422,'f-travail'!A:A,'f-travail'!W:W)*(AF422+AG422))</f>
        <v>#N/A</v>
      </c>
      <c r="AR422" s="673">
        <f t="shared" si="184"/>
        <v>0</v>
      </c>
      <c r="AS422" s="673" t="e">
        <f>IF(G422="مدير ولائي",0,LOOKUP(D422,'f-travail'!A:A,'f-travail'!X:X)*(AF422+AG422))</f>
        <v>#N/A</v>
      </c>
      <c r="AT422" s="673" t="e">
        <f>IF(G422="مدير ولائي",0,LOOKUP(D422,'f-travail'!Y:Y,'f-travail'!R:R)*(AF422+AG422))</f>
        <v>#N/A</v>
      </c>
      <c r="AU422" s="673">
        <f t="shared" si="174"/>
        <v>0</v>
      </c>
      <c r="AV422" s="673">
        <f t="shared" si="175"/>
        <v>0</v>
      </c>
      <c r="AW422" s="673">
        <f t="shared" si="176"/>
        <v>0</v>
      </c>
      <c r="AY422" s="640" t="e">
        <f t="shared" si="185"/>
        <v>#N/A</v>
      </c>
      <c r="AZ422" s="673" t="e">
        <f t="shared" si="177"/>
        <v>#N/A</v>
      </c>
      <c r="BA422" s="639" t="e">
        <f t="shared" si="178"/>
        <v>#N/A</v>
      </c>
      <c r="BG422" s="639">
        <f t="shared" si="186"/>
        <v>0</v>
      </c>
      <c r="BH422" s="683">
        <f t="shared" si="187"/>
        <v>0</v>
      </c>
      <c r="BI422" s="683">
        <f t="shared" si="188"/>
        <v>0</v>
      </c>
      <c r="BJ422" s="641" t="e">
        <f t="shared" si="189"/>
        <v>#N/A</v>
      </c>
      <c r="BK422" s="641" t="e">
        <f t="shared" si="190"/>
        <v>#N/A</v>
      </c>
      <c r="BL422" s="641" t="e">
        <f t="shared" si="191"/>
        <v>#N/A</v>
      </c>
      <c r="BM422" s="684" t="e">
        <f t="shared" si="192"/>
        <v>#N/A</v>
      </c>
      <c r="BO422" s="682" t="e">
        <f>CONCATENATE(Z422," ",LOOKUP(D422,'f-travail'!A:A,'f-travail'!F:F))</f>
        <v>#N/A</v>
      </c>
      <c r="BP422" s="669" t="e">
        <f t="shared" si="179"/>
        <v>#N/A</v>
      </c>
    </row>
    <row r="423" spans="1:68">
      <c r="A423" s="636">
        <f t="shared" si="193"/>
        <v>422</v>
      </c>
      <c r="B423" s="637"/>
      <c r="C423" s="637"/>
      <c r="D423" s="652"/>
      <c r="E423" s="679" t="e">
        <f>LOOKUP(D423,'f-travail'!A:A,'f-travail'!B:B)</f>
        <v>#N/A</v>
      </c>
      <c r="F423" s="650"/>
      <c r="G423" s="650"/>
      <c r="H423" s="653"/>
      <c r="I423" s="653"/>
      <c r="J423" s="654"/>
      <c r="K423" s="650"/>
      <c r="L423" s="650"/>
      <c r="M423" s="650">
        <v>0</v>
      </c>
      <c r="N423" s="654"/>
      <c r="O423" s="654"/>
      <c r="P423" s="654"/>
      <c r="Q423" s="654"/>
      <c r="R423" s="676"/>
      <c r="S423" s="654"/>
      <c r="T423" s="675"/>
      <c r="U423" s="675"/>
      <c r="V423" s="670" t="e">
        <f>LOOKUP(D423,'f-travail'!A:A,'f-travail'!E:E)</f>
        <v>#N/A</v>
      </c>
      <c r="W423" s="670" t="e">
        <f>VLOOKUP(V423,جرقمإستدلالي,'f-travail'!$AD$4+1,FALSE)</f>
        <v>#N/A</v>
      </c>
      <c r="X423" s="671" t="e">
        <f t="shared" si="169"/>
        <v>#N/A</v>
      </c>
      <c r="Y423" s="671">
        <f>IF(G423="مدير ولائي",(HLOOKUP(I423,جدروظعليا,'f-travail'!$AT$3+1,FALSE)-3200),0)</f>
        <v>0</v>
      </c>
      <c r="Z423" s="672" t="str">
        <f t="shared" si="180"/>
        <v/>
      </c>
      <c r="AA423" s="671">
        <f t="shared" si="181"/>
        <v>0</v>
      </c>
      <c r="AB423" s="677" t="b">
        <f t="shared" si="170"/>
        <v>0</v>
      </c>
      <c r="AC423" s="678">
        <f t="shared" si="182"/>
        <v>0</v>
      </c>
      <c r="AD423" s="673"/>
      <c r="AE423" s="678">
        <f t="shared" si="171"/>
        <v>0</v>
      </c>
      <c r="AF423" s="678" t="e">
        <f t="shared" si="172"/>
        <v>#N/A</v>
      </c>
      <c r="AG423" s="678" t="e">
        <f t="shared" si="173"/>
        <v>#N/A</v>
      </c>
      <c r="AH423" s="673">
        <f t="shared" si="183"/>
        <v>0</v>
      </c>
      <c r="AI423" s="674" t="e">
        <f>IF(G423="مدير ولائي",(11000*35%),LOOKUP(D423,'f-travail'!A:A,'f-travail'!I:I))</f>
        <v>#N/A</v>
      </c>
      <c r="AJ423" s="673" t="e">
        <f>IF(G423="مدير ولائي",((W423+X423)*45)*80%,IF(V423&lt;8,0,IF(F423="إليزي",(LOOKUP(D423,'f-travail'!A:A,'f-travail'!O:O))*(AF423+AG423),LOOKUP(D423,'f-travail'!A:A,'f-travail'!P:P)*(AF423+AG423))))</f>
        <v>#N/A</v>
      </c>
      <c r="AK423" s="673" t="e">
        <f>IF(G423="مدير ولائي",0,LOOKUP(D423,'f-travail'!A:A,'f-travail'!Q:Q))</f>
        <v>#N/A</v>
      </c>
      <c r="AL423" s="673" t="e">
        <f>IF(G423="مدير ولائي",0,LOOKUP(D423,'f-travail'!A:A,'f-travail'!R:R)*(AF423+AG423))</f>
        <v>#N/A</v>
      </c>
      <c r="AM423" s="673" t="e">
        <f>IF(G423="مدير ولائي",0,LOOKUP(D423,'f-travail'!A:A,'f-travail'!S:S)*(AF423+AG423))</f>
        <v>#N/A</v>
      </c>
      <c r="AN423" s="673" t="e">
        <f>IF(G423="مدير ولائي",0,LOOKUP(D423,'f-travail'!A:A,'f-travail'!T:T)*(AF423+AG423))</f>
        <v>#N/A</v>
      </c>
      <c r="AO423" s="673" t="e">
        <f>IF(G423="مدير ولائي",0,LOOKUP(D423,'f-travail'!A:A,'f-travail'!U:U)*(AF423+AG423))</f>
        <v>#N/A</v>
      </c>
      <c r="AP423" s="673" t="e">
        <f>IF(G423="مدير ولائي",0,LOOKUP(D423,'f-travail'!A:A,'f-travail'!V:V)*(AF423+AG423))</f>
        <v>#N/A</v>
      </c>
      <c r="AQ423" s="673" t="e">
        <f>IF(G423="مدير ولائي",0,LOOKUP(D423,'f-travail'!A:A,'f-travail'!W:W)*(AF423+AG423))</f>
        <v>#N/A</v>
      </c>
      <c r="AR423" s="673">
        <f t="shared" si="184"/>
        <v>0</v>
      </c>
      <c r="AS423" s="673" t="e">
        <f>IF(G423="مدير ولائي",0,LOOKUP(D423,'f-travail'!A:A,'f-travail'!X:X)*(AF423+AG423))</f>
        <v>#N/A</v>
      </c>
      <c r="AT423" s="673" t="e">
        <f>IF(G423="مدير ولائي",0,LOOKUP(D423,'f-travail'!Y:Y,'f-travail'!R:R)*(AF423+AG423))</f>
        <v>#N/A</v>
      </c>
      <c r="AU423" s="673">
        <f t="shared" si="174"/>
        <v>0</v>
      </c>
      <c r="AV423" s="673">
        <f t="shared" si="175"/>
        <v>0</v>
      </c>
      <c r="AW423" s="673">
        <f t="shared" si="176"/>
        <v>0</v>
      </c>
      <c r="AY423" s="640" t="e">
        <f t="shared" si="185"/>
        <v>#N/A</v>
      </c>
      <c r="AZ423" s="673" t="e">
        <f t="shared" si="177"/>
        <v>#N/A</v>
      </c>
      <c r="BA423" s="639" t="e">
        <f t="shared" si="178"/>
        <v>#N/A</v>
      </c>
      <c r="BG423" s="639">
        <f t="shared" si="186"/>
        <v>0</v>
      </c>
      <c r="BH423" s="683">
        <f t="shared" si="187"/>
        <v>0</v>
      </c>
      <c r="BI423" s="683">
        <f t="shared" si="188"/>
        <v>0</v>
      </c>
      <c r="BJ423" s="641" t="e">
        <f t="shared" si="189"/>
        <v>#N/A</v>
      </c>
      <c r="BK423" s="641" t="e">
        <f t="shared" si="190"/>
        <v>#N/A</v>
      </c>
      <c r="BL423" s="641" t="e">
        <f t="shared" si="191"/>
        <v>#N/A</v>
      </c>
      <c r="BM423" s="684" t="e">
        <f t="shared" si="192"/>
        <v>#N/A</v>
      </c>
      <c r="BO423" s="682" t="e">
        <f>CONCATENATE(Z423," ",LOOKUP(D423,'f-travail'!A:A,'f-travail'!F:F))</f>
        <v>#N/A</v>
      </c>
      <c r="BP423" s="669" t="e">
        <f t="shared" si="179"/>
        <v>#N/A</v>
      </c>
    </row>
    <row r="424" spans="1:68">
      <c r="A424" s="636">
        <f t="shared" si="193"/>
        <v>423</v>
      </c>
      <c r="B424" s="637"/>
      <c r="C424" s="637"/>
      <c r="D424" s="652"/>
      <c r="E424" s="679" t="e">
        <f>LOOKUP(D424,'f-travail'!A:A,'f-travail'!B:B)</f>
        <v>#N/A</v>
      </c>
      <c r="F424" s="650"/>
      <c r="G424" s="650"/>
      <c r="H424" s="653"/>
      <c r="I424" s="653"/>
      <c r="J424" s="654"/>
      <c r="K424" s="650"/>
      <c r="L424" s="650"/>
      <c r="M424" s="650">
        <v>0</v>
      </c>
      <c r="N424" s="654"/>
      <c r="O424" s="654"/>
      <c r="P424" s="654"/>
      <c r="Q424" s="654"/>
      <c r="R424" s="676"/>
      <c r="S424" s="654"/>
      <c r="T424" s="675"/>
      <c r="U424" s="675"/>
      <c r="V424" s="670" t="e">
        <f>LOOKUP(D424,'f-travail'!A:A,'f-travail'!E:E)</f>
        <v>#N/A</v>
      </c>
      <c r="W424" s="670" t="e">
        <f>VLOOKUP(V424,جرقمإستدلالي,'f-travail'!$AD$4+1,FALSE)</f>
        <v>#N/A</v>
      </c>
      <c r="X424" s="671" t="e">
        <f t="shared" si="169"/>
        <v>#N/A</v>
      </c>
      <c r="Y424" s="671">
        <f>IF(G424="مدير ولائي",(HLOOKUP(I424,جدروظعليا,'f-travail'!$AT$3+1,FALSE)-3200),0)</f>
        <v>0</v>
      </c>
      <c r="Z424" s="672" t="str">
        <f t="shared" si="180"/>
        <v/>
      </c>
      <c r="AA424" s="671">
        <f t="shared" si="181"/>
        <v>0</v>
      </c>
      <c r="AB424" s="677" t="b">
        <f t="shared" si="170"/>
        <v>0</v>
      </c>
      <c r="AC424" s="678">
        <f t="shared" si="182"/>
        <v>0</v>
      </c>
      <c r="AD424" s="673"/>
      <c r="AE424" s="678">
        <f t="shared" si="171"/>
        <v>0</v>
      </c>
      <c r="AF424" s="678" t="e">
        <f t="shared" si="172"/>
        <v>#N/A</v>
      </c>
      <c r="AG424" s="678" t="e">
        <f t="shared" si="173"/>
        <v>#N/A</v>
      </c>
      <c r="AH424" s="673">
        <f t="shared" si="183"/>
        <v>0</v>
      </c>
      <c r="AI424" s="674" t="e">
        <f>IF(G424="مدير ولائي",(11000*35%),LOOKUP(D424,'f-travail'!A:A,'f-travail'!I:I))</f>
        <v>#N/A</v>
      </c>
      <c r="AJ424" s="673" t="e">
        <f>IF(G424="مدير ولائي",((W424+X424)*45)*80%,IF(V424&lt;8,0,IF(F424="إليزي",(LOOKUP(D424,'f-travail'!A:A,'f-travail'!O:O))*(AF424+AG424),LOOKUP(D424,'f-travail'!A:A,'f-travail'!P:P)*(AF424+AG424))))</f>
        <v>#N/A</v>
      </c>
      <c r="AK424" s="673" t="e">
        <f>IF(G424="مدير ولائي",0,LOOKUP(D424,'f-travail'!A:A,'f-travail'!Q:Q))</f>
        <v>#N/A</v>
      </c>
      <c r="AL424" s="673" t="e">
        <f>IF(G424="مدير ولائي",0,LOOKUP(D424,'f-travail'!A:A,'f-travail'!R:R)*(AF424+AG424))</f>
        <v>#N/A</v>
      </c>
      <c r="AM424" s="673" t="e">
        <f>IF(G424="مدير ولائي",0,LOOKUP(D424,'f-travail'!A:A,'f-travail'!S:S)*(AF424+AG424))</f>
        <v>#N/A</v>
      </c>
      <c r="AN424" s="673" t="e">
        <f>IF(G424="مدير ولائي",0,LOOKUP(D424,'f-travail'!A:A,'f-travail'!T:T)*(AF424+AG424))</f>
        <v>#N/A</v>
      </c>
      <c r="AO424" s="673" t="e">
        <f>IF(G424="مدير ولائي",0,LOOKUP(D424,'f-travail'!A:A,'f-travail'!U:U)*(AF424+AG424))</f>
        <v>#N/A</v>
      </c>
      <c r="AP424" s="673" t="e">
        <f>IF(G424="مدير ولائي",0,LOOKUP(D424,'f-travail'!A:A,'f-travail'!V:V)*(AF424+AG424))</f>
        <v>#N/A</v>
      </c>
      <c r="AQ424" s="673" t="e">
        <f>IF(G424="مدير ولائي",0,LOOKUP(D424,'f-travail'!A:A,'f-travail'!W:W)*(AF424+AG424))</f>
        <v>#N/A</v>
      </c>
      <c r="AR424" s="673">
        <f t="shared" si="184"/>
        <v>0</v>
      </c>
      <c r="AS424" s="673" t="e">
        <f>IF(G424="مدير ولائي",0,LOOKUP(D424,'f-travail'!A:A,'f-travail'!X:X)*(AF424+AG424))</f>
        <v>#N/A</v>
      </c>
      <c r="AT424" s="673" t="e">
        <f>IF(G424="مدير ولائي",0,LOOKUP(D424,'f-travail'!Y:Y,'f-travail'!R:R)*(AF424+AG424))</f>
        <v>#N/A</v>
      </c>
      <c r="AU424" s="673">
        <f t="shared" si="174"/>
        <v>0</v>
      </c>
      <c r="AV424" s="673">
        <f t="shared" si="175"/>
        <v>0</v>
      </c>
      <c r="AW424" s="673">
        <f t="shared" si="176"/>
        <v>0</v>
      </c>
      <c r="AY424" s="640" t="e">
        <f t="shared" si="185"/>
        <v>#N/A</v>
      </c>
      <c r="AZ424" s="673" t="e">
        <f t="shared" si="177"/>
        <v>#N/A</v>
      </c>
      <c r="BA424" s="639" t="e">
        <f t="shared" si="178"/>
        <v>#N/A</v>
      </c>
      <c r="BG424" s="639">
        <f t="shared" si="186"/>
        <v>0</v>
      </c>
      <c r="BH424" s="683">
        <f t="shared" si="187"/>
        <v>0</v>
      </c>
      <c r="BI424" s="683">
        <f t="shared" si="188"/>
        <v>0</v>
      </c>
      <c r="BJ424" s="641" t="e">
        <f t="shared" si="189"/>
        <v>#N/A</v>
      </c>
      <c r="BK424" s="641" t="e">
        <f t="shared" si="190"/>
        <v>#N/A</v>
      </c>
      <c r="BL424" s="641" t="e">
        <f t="shared" si="191"/>
        <v>#N/A</v>
      </c>
      <c r="BM424" s="684" t="e">
        <f t="shared" si="192"/>
        <v>#N/A</v>
      </c>
      <c r="BO424" s="682" t="e">
        <f>CONCATENATE(Z424," ",LOOKUP(D424,'f-travail'!A:A,'f-travail'!F:F))</f>
        <v>#N/A</v>
      </c>
      <c r="BP424" s="669" t="e">
        <f t="shared" si="179"/>
        <v>#N/A</v>
      </c>
    </row>
    <row r="425" spans="1:68">
      <c r="A425" s="636">
        <f t="shared" si="193"/>
        <v>424</v>
      </c>
      <c r="B425" s="637"/>
      <c r="C425" s="637"/>
      <c r="D425" s="652"/>
      <c r="E425" s="679" t="e">
        <f>LOOKUP(D425,'f-travail'!A:A,'f-travail'!B:B)</f>
        <v>#N/A</v>
      </c>
      <c r="F425" s="650"/>
      <c r="G425" s="650"/>
      <c r="H425" s="653"/>
      <c r="I425" s="653"/>
      <c r="J425" s="654"/>
      <c r="K425" s="650"/>
      <c r="L425" s="650"/>
      <c r="M425" s="650">
        <v>0</v>
      </c>
      <c r="N425" s="654"/>
      <c r="O425" s="654"/>
      <c r="P425" s="654"/>
      <c r="Q425" s="654"/>
      <c r="R425" s="676"/>
      <c r="S425" s="654"/>
      <c r="T425" s="675"/>
      <c r="U425" s="675"/>
      <c r="V425" s="670" t="e">
        <f>LOOKUP(D425,'f-travail'!A:A,'f-travail'!E:E)</f>
        <v>#N/A</v>
      </c>
      <c r="W425" s="670" t="e">
        <f>VLOOKUP(V425,جرقمإستدلالي,'f-travail'!$AD$4+1,FALSE)</f>
        <v>#N/A</v>
      </c>
      <c r="X425" s="671" t="e">
        <f t="shared" si="169"/>
        <v>#N/A</v>
      </c>
      <c r="Y425" s="671">
        <f>IF(G425="مدير ولائي",(HLOOKUP(I425,جدروظعليا,'f-travail'!$AT$3+1,FALSE)-3200),0)</f>
        <v>0</v>
      </c>
      <c r="Z425" s="672" t="str">
        <f t="shared" si="180"/>
        <v/>
      </c>
      <c r="AA425" s="671">
        <f t="shared" si="181"/>
        <v>0</v>
      </c>
      <c r="AB425" s="677" t="b">
        <f t="shared" si="170"/>
        <v>0</v>
      </c>
      <c r="AC425" s="678">
        <f t="shared" si="182"/>
        <v>0</v>
      </c>
      <c r="AD425" s="673"/>
      <c r="AE425" s="678">
        <f t="shared" si="171"/>
        <v>0</v>
      </c>
      <c r="AF425" s="678" t="e">
        <f t="shared" si="172"/>
        <v>#N/A</v>
      </c>
      <c r="AG425" s="678" t="e">
        <f t="shared" si="173"/>
        <v>#N/A</v>
      </c>
      <c r="AH425" s="673">
        <f t="shared" si="183"/>
        <v>0</v>
      </c>
      <c r="AI425" s="674" t="e">
        <f>IF(G425="مدير ولائي",(11000*35%),LOOKUP(D425,'f-travail'!A:A,'f-travail'!I:I))</f>
        <v>#N/A</v>
      </c>
      <c r="AJ425" s="673" t="e">
        <f>IF(G425="مدير ولائي",((W425+X425)*45)*80%,IF(V425&lt;8,0,IF(F425="إليزي",(LOOKUP(D425,'f-travail'!A:A,'f-travail'!O:O))*(AF425+AG425),LOOKUP(D425,'f-travail'!A:A,'f-travail'!P:P)*(AF425+AG425))))</f>
        <v>#N/A</v>
      </c>
      <c r="AK425" s="673" t="e">
        <f>IF(G425="مدير ولائي",0,LOOKUP(D425,'f-travail'!A:A,'f-travail'!Q:Q))</f>
        <v>#N/A</v>
      </c>
      <c r="AL425" s="673" t="e">
        <f>IF(G425="مدير ولائي",0,LOOKUP(D425,'f-travail'!A:A,'f-travail'!R:R)*(AF425+AG425))</f>
        <v>#N/A</v>
      </c>
      <c r="AM425" s="673" t="e">
        <f>IF(G425="مدير ولائي",0,LOOKUP(D425,'f-travail'!A:A,'f-travail'!S:S)*(AF425+AG425))</f>
        <v>#N/A</v>
      </c>
      <c r="AN425" s="673" t="e">
        <f>IF(G425="مدير ولائي",0,LOOKUP(D425,'f-travail'!A:A,'f-travail'!T:T)*(AF425+AG425))</f>
        <v>#N/A</v>
      </c>
      <c r="AO425" s="673" t="e">
        <f>IF(G425="مدير ولائي",0,LOOKUP(D425,'f-travail'!A:A,'f-travail'!U:U)*(AF425+AG425))</f>
        <v>#N/A</v>
      </c>
      <c r="AP425" s="673" t="e">
        <f>IF(G425="مدير ولائي",0,LOOKUP(D425,'f-travail'!A:A,'f-travail'!V:V)*(AF425+AG425))</f>
        <v>#N/A</v>
      </c>
      <c r="AQ425" s="673" t="e">
        <f>IF(G425="مدير ولائي",0,LOOKUP(D425,'f-travail'!A:A,'f-travail'!W:W)*(AF425+AG425))</f>
        <v>#N/A</v>
      </c>
      <c r="AR425" s="673">
        <f t="shared" si="184"/>
        <v>0</v>
      </c>
      <c r="AS425" s="673" t="e">
        <f>IF(G425="مدير ولائي",0,LOOKUP(D425,'f-travail'!A:A,'f-travail'!X:X)*(AF425+AG425))</f>
        <v>#N/A</v>
      </c>
      <c r="AT425" s="673" t="e">
        <f>IF(G425="مدير ولائي",0,LOOKUP(D425,'f-travail'!Y:Y,'f-travail'!R:R)*(AF425+AG425))</f>
        <v>#N/A</v>
      </c>
      <c r="AU425" s="673">
        <f t="shared" si="174"/>
        <v>0</v>
      </c>
      <c r="AV425" s="673">
        <f t="shared" si="175"/>
        <v>0</v>
      </c>
      <c r="AW425" s="673">
        <f t="shared" si="176"/>
        <v>0</v>
      </c>
      <c r="AY425" s="640" t="e">
        <f t="shared" si="185"/>
        <v>#N/A</v>
      </c>
      <c r="AZ425" s="673" t="e">
        <f t="shared" si="177"/>
        <v>#N/A</v>
      </c>
      <c r="BA425" s="639" t="e">
        <f t="shared" si="178"/>
        <v>#N/A</v>
      </c>
      <c r="BG425" s="639">
        <f t="shared" si="186"/>
        <v>0</v>
      </c>
      <c r="BH425" s="683">
        <f t="shared" si="187"/>
        <v>0</v>
      </c>
      <c r="BI425" s="683">
        <f t="shared" si="188"/>
        <v>0</v>
      </c>
      <c r="BJ425" s="641" t="e">
        <f t="shared" si="189"/>
        <v>#N/A</v>
      </c>
      <c r="BK425" s="641" t="e">
        <f t="shared" si="190"/>
        <v>#N/A</v>
      </c>
      <c r="BL425" s="641" t="e">
        <f t="shared" si="191"/>
        <v>#N/A</v>
      </c>
      <c r="BM425" s="684" t="e">
        <f t="shared" si="192"/>
        <v>#N/A</v>
      </c>
      <c r="BO425" s="682" t="e">
        <f>CONCATENATE(Z425," ",LOOKUP(D425,'f-travail'!A:A,'f-travail'!F:F))</f>
        <v>#N/A</v>
      </c>
      <c r="BP425" s="669" t="e">
        <f t="shared" si="179"/>
        <v>#N/A</v>
      </c>
    </row>
    <row r="426" spans="1:68">
      <c r="A426" s="636">
        <f t="shared" si="193"/>
        <v>425</v>
      </c>
      <c r="B426" s="637"/>
      <c r="C426" s="637"/>
      <c r="D426" s="652"/>
      <c r="E426" s="679" t="e">
        <f>LOOKUP(D426,'f-travail'!A:A,'f-travail'!B:B)</f>
        <v>#N/A</v>
      </c>
      <c r="F426" s="650"/>
      <c r="G426" s="650"/>
      <c r="H426" s="653"/>
      <c r="I426" s="653"/>
      <c r="J426" s="654"/>
      <c r="K426" s="650"/>
      <c r="L426" s="650"/>
      <c r="M426" s="650">
        <v>0</v>
      </c>
      <c r="N426" s="654"/>
      <c r="O426" s="654"/>
      <c r="P426" s="654"/>
      <c r="Q426" s="654"/>
      <c r="R426" s="676"/>
      <c r="S426" s="654"/>
      <c r="T426" s="675"/>
      <c r="U426" s="675"/>
      <c r="V426" s="670" t="e">
        <f>LOOKUP(D426,'f-travail'!A:A,'f-travail'!E:E)</f>
        <v>#N/A</v>
      </c>
      <c r="W426" s="670" t="e">
        <f>VLOOKUP(V426,جرقمإستدلالي,'f-travail'!$AD$4+1,FALSE)</f>
        <v>#N/A</v>
      </c>
      <c r="X426" s="671" t="e">
        <f t="shared" si="169"/>
        <v>#N/A</v>
      </c>
      <c r="Y426" s="671">
        <f>IF(G426="مدير ولائي",(HLOOKUP(I426,جدروظعليا,'f-travail'!$AT$3+1,FALSE)-3200),0)</f>
        <v>0</v>
      </c>
      <c r="Z426" s="672" t="str">
        <f t="shared" si="180"/>
        <v/>
      </c>
      <c r="AA426" s="671">
        <f t="shared" si="181"/>
        <v>0</v>
      </c>
      <c r="AB426" s="677" t="b">
        <f t="shared" si="170"/>
        <v>0</v>
      </c>
      <c r="AC426" s="678">
        <f t="shared" si="182"/>
        <v>0</v>
      </c>
      <c r="AD426" s="673"/>
      <c r="AE426" s="678">
        <f t="shared" si="171"/>
        <v>0</v>
      </c>
      <c r="AF426" s="678" t="e">
        <f t="shared" si="172"/>
        <v>#N/A</v>
      </c>
      <c r="AG426" s="678" t="e">
        <f t="shared" si="173"/>
        <v>#N/A</v>
      </c>
      <c r="AH426" s="673">
        <f t="shared" si="183"/>
        <v>0</v>
      </c>
      <c r="AI426" s="674" t="e">
        <f>IF(G426="مدير ولائي",(11000*35%),LOOKUP(D426,'f-travail'!A:A,'f-travail'!I:I))</f>
        <v>#N/A</v>
      </c>
      <c r="AJ426" s="673" t="e">
        <f>IF(G426="مدير ولائي",((W426+X426)*45)*80%,IF(V426&lt;8,0,IF(F426="إليزي",(LOOKUP(D426,'f-travail'!A:A,'f-travail'!O:O))*(AF426+AG426),LOOKUP(D426,'f-travail'!A:A,'f-travail'!P:P)*(AF426+AG426))))</f>
        <v>#N/A</v>
      </c>
      <c r="AK426" s="673" t="e">
        <f>IF(G426="مدير ولائي",0,LOOKUP(D426,'f-travail'!A:A,'f-travail'!Q:Q))</f>
        <v>#N/A</v>
      </c>
      <c r="AL426" s="673" t="e">
        <f>IF(G426="مدير ولائي",0,LOOKUP(D426,'f-travail'!A:A,'f-travail'!R:R)*(AF426+AG426))</f>
        <v>#N/A</v>
      </c>
      <c r="AM426" s="673" t="e">
        <f>IF(G426="مدير ولائي",0,LOOKUP(D426,'f-travail'!A:A,'f-travail'!S:S)*(AF426+AG426))</f>
        <v>#N/A</v>
      </c>
      <c r="AN426" s="673" t="e">
        <f>IF(G426="مدير ولائي",0,LOOKUP(D426,'f-travail'!A:A,'f-travail'!T:T)*(AF426+AG426))</f>
        <v>#N/A</v>
      </c>
      <c r="AO426" s="673" t="e">
        <f>IF(G426="مدير ولائي",0,LOOKUP(D426,'f-travail'!A:A,'f-travail'!U:U)*(AF426+AG426))</f>
        <v>#N/A</v>
      </c>
      <c r="AP426" s="673" t="e">
        <f>IF(G426="مدير ولائي",0,LOOKUP(D426,'f-travail'!A:A,'f-travail'!V:V)*(AF426+AG426))</f>
        <v>#N/A</v>
      </c>
      <c r="AQ426" s="673" t="e">
        <f>IF(G426="مدير ولائي",0,LOOKUP(D426,'f-travail'!A:A,'f-travail'!W:W)*(AF426+AG426))</f>
        <v>#N/A</v>
      </c>
      <c r="AR426" s="673">
        <f t="shared" si="184"/>
        <v>0</v>
      </c>
      <c r="AS426" s="673" t="e">
        <f>IF(G426="مدير ولائي",0,LOOKUP(D426,'f-travail'!A:A,'f-travail'!X:X)*(AF426+AG426))</f>
        <v>#N/A</v>
      </c>
      <c r="AT426" s="673" t="e">
        <f>IF(G426="مدير ولائي",0,LOOKUP(D426,'f-travail'!Y:Y,'f-travail'!R:R)*(AF426+AG426))</f>
        <v>#N/A</v>
      </c>
      <c r="AU426" s="673">
        <f t="shared" si="174"/>
        <v>0</v>
      </c>
      <c r="AV426" s="673">
        <f t="shared" si="175"/>
        <v>0</v>
      </c>
      <c r="AW426" s="673">
        <f t="shared" si="176"/>
        <v>0</v>
      </c>
      <c r="AY426" s="640" t="e">
        <f t="shared" si="185"/>
        <v>#N/A</v>
      </c>
      <c r="AZ426" s="673" t="e">
        <f t="shared" si="177"/>
        <v>#N/A</v>
      </c>
      <c r="BA426" s="639" t="e">
        <f t="shared" si="178"/>
        <v>#N/A</v>
      </c>
      <c r="BG426" s="639">
        <f t="shared" si="186"/>
        <v>0</v>
      </c>
      <c r="BH426" s="683">
        <f t="shared" si="187"/>
        <v>0</v>
      </c>
      <c r="BI426" s="683">
        <f t="shared" si="188"/>
        <v>0</v>
      </c>
      <c r="BJ426" s="641" t="e">
        <f t="shared" si="189"/>
        <v>#N/A</v>
      </c>
      <c r="BK426" s="641" t="e">
        <f t="shared" si="190"/>
        <v>#N/A</v>
      </c>
      <c r="BL426" s="641" t="e">
        <f t="shared" si="191"/>
        <v>#N/A</v>
      </c>
      <c r="BM426" s="684" t="e">
        <f t="shared" si="192"/>
        <v>#N/A</v>
      </c>
      <c r="BO426" s="682" t="e">
        <f>CONCATENATE(Z426," ",LOOKUP(D426,'f-travail'!A:A,'f-travail'!F:F))</f>
        <v>#N/A</v>
      </c>
      <c r="BP426" s="669" t="e">
        <f t="shared" si="179"/>
        <v>#N/A</v>
      </c>
    </row>
    <row r="427" spans="1:68">
      <c r="A427" s="636">
        <f t="shared" si="193"/>
        <v>426</v>
      </c>
      <c r="B427" s="637"/>
      <c r="C427" s="637"/>
      <c r="D427" s="652"/>
      <c r="E427" s="679" t="e">
        <f>LOOKUP(D427,'f-travail'!A:A,'f-travail'!B:B)</f>
        <v>#N/A</v>
      </c>
      <c r="F427" s="650"/>
      <c r="G427" s="650"/>
      <c r="H427" s="653"/>
      <c r="I427" s="653"/>
      <c r="J427" s="654"/>
      <c r="K427" s="650"/>
      <c r="L427" s="650"/>
      <c r="M427" s="650">
        <v>0</v>
      </c>
      <c r="N427" s="654"/>
      <c r="O427" s="654"/>
      <c r="P427" s="654"/>
      <c r="Q427" s="654"/>
      <c r="R427" s="676"/>
      <c r="S427" s="654"/>
      <c r="T427" s="675"/>
      <c r="U427" s="675"/>
      <c r="V427" s="670" t="e">
        <f>LOOKUP(D427,'f-travail'!A:A,'f-travail'!E:E)</f>
        <v>#N/A</v>
      </c>
      <c r="W427" s="670" t="e">
        <f>VLOOKUP(V427,جرقمإستدلالي,'f-travail'!$AD$4+1,FALSE)</f>
        <v>#N/A</v>
      </c>
      <c r="X427" s="671" t="e">
        <f t="shared" si="169"/>
        <v>#N/A</v>
      </c>
      <c r="Y427" s="671">
        <f>IF(G427="مدير ولائي",(HLOOKUP(I427,جدروظعليا,'f-travail'!$AT$3+1,FALSE)-3200),0)</f>
        <v>0</v>
      </c>
      <c r="Z427" s="672" t="str">
        <f t="shared" si="180"/>
        <v/>
      </c>
      <c r="AA427" s="671">
        <f t="shared" si="181"/>
        <v>0</v>
      </c>
      <c r="AB427" s="677" t="b">
        <f t="shared" si="170"/>
        <v>0</v>
      </c>
      <c r="AC427" s="678">
        <f t="shared" si="182"/>
        <v>0</v>
      </c>
      <c r="AD427" s="673"/>
      <c r="AE427" s="678">
        <f t="shared" si="171"/>
        <v>0</v>
      </c>
      <c r="AF427" s="678" t="e">
        <f t="shared" si="172"/>
        <v>#N/A</v>
      </c>
      <c r="AG427" s="678" t="e">
        <f t="shared" si="173"/>
        <v>#N/A</v>
      </c>
      <c r="AH427" s="673">
        <f t="shared" si="183"/>
        <v>0</v>
      </c>
      <c r="AI427" s="674" t="e">
        <f>IF(G427="مدير ولائي",(11000*35%),LOOKUP(D427,'f-travail'!A:A,'f-travail'!I:I))</f>
        <v>#N/A</v>
      </c>
      <c r="AJ427" s="673" t="e">
        <f>IF(G427="مدير ولائي",((W427+X427)*45)*80%,IF(V427&lt;8,0,IF(F427="إليزي",(LOOKUP(D427,'f-travail'!A:A,'f-travail'!O:O))*(AF427+AG427),LOOKUP(D427,'f-travail'!A:A,'f-travail'!P:P)*(AF427+AG427))))</f>
        <v>#N/A</v>
      </c>
      <c r="AK427" s="673" t="e">
        <f>IF(G427="مدير ولائي",0,LOOKUP(D427,'f-travail'!A:A,'f-travail'!Q:Q))</f>
        <v>#N/A</v>
      </c>
      <c r="AL427" s="673" t="e">
        <f>IF(G427="مدير ولائي",0,LOOKUP(D427,'f-travail'!A:A,'f-travail'!R:R)*(AF427+AG427))</f>
        <v>#N/A</v>
      </c>
      <c r="AM427" s="673" t="e">
        <f>IF(G427="مدير ولائي",0,LOOKUP(D427,'f-travail'!A:A,'f-travail'!S:S)*(AF427+AG427))</f>
        <v>#N/A</v>
      </c>
      <c r="AN427" s="673" t="e">
        <f>IF(G427="مدير ولائي",0,LOOKUP(D427,'f-travail'!A:A,'f-travail'!T:T)*(AF427+AG427))</f>
        <v>#N/A</v>
      </c>
      <c r="AO427" s="673" t="e">
        <f>IF(G427="مدير ولائي",0,LOOKUP(D427,'f-travail'!A:A,'f-travail'!U:U)*(AF427+AG427))</f>
        <v>#N/A</v>
      </c>
      <c r="AP427" s="673" t="e">
        <f>IF(G427="مدير ولائي",0,LOOKUP(D427,'f-travail'!A:A,'f-travail'!V:V)*(AF427+AG427))</f>
        <v>#N/A</v>
      </c>
      <c r="AQ427" s="673" t="e">
        <f>IF(G427="مدير ولائي",0,LOOKUP(D427,'f-travail'!A:A,'f-travail'!W:W)*(AF427+AG427))</f>
        <v>#N/A</v>
      </c>
      <c r="AR427" s="673">
        <f t="shared" si="184"/>
        <v>0</v>
      </c>
      <c r="AS427" s="673" t="e">
        <f>IF(G427="مدير ولائي",0,LOOKUP(D427,'f-travail'!A:A,'f-travail'!X:X)*(AF427+AG427))</f>
        <v>#N/A</v>
      </c>
      <c r="AT427" s="673" t="e">
        <f>IF(G427="مدير ولائي",0,LOOKUP(D427,'f-travail'!Y:Y,'f-travail'!R:R)*(AF427+AG427))</f>
        <v>#N/A</v>
      </c>
      <c r="AU427" s="673">
        <f t="shared" si="174"/>
        <v>0</v>
      </c>
      <c r="AV427" s="673">
        <f t="shared" si="175"/>
        <v>0</v>
      </c>
      <c r="AW427" s="673">
        <f t="shared" si="176"/>
        <v>0</v>
      </c>
      <c r="AY427" s="640" t="e">
        <f t="shared" si="185"/>
        <v>#N/A</v>
      </c>
      <c r="AZ427" s="673" t="e">
        <f t="shared" si="177"/>
        <v>#N/A</v>
      </c>
      <c r="BA427" s="639" t="e">
        <f t="shared" si="178"/>
        <v>#N/A</v>
      </c>
      <c r="BG427" s="639">
        <f t="shared" si="186"/>
        <v>0</v>
      </c>
      <c r="BH427" s="683">
        <f t="shared" si="187"/>
        <v>0</v>
      </c>
      <c r="BI427" s="683">
        <f t="shared" si="188"/>
        <v>0</v>
      </c>
      <c r="BJ427" s="641" t="e">
        <f t="shared" si="189"/>
        <v>#N/A</v>
      </c>
      <c r="BK427" s="641" t="e">
        <f t="shared" si="190"/>
        <v>#N/A</v>
      </c>
      <c r="BL427" s="641" t="e">
        <f t="shared" si="191"/>
        <v>#N/A</v>
      </c>
      <c r="BM427" s="684" t="e">
        <f t="shared" si="192"/>
        <v>#N/A</v>
      </c>
      <c r="BO427" s="682" t="e">
        <f>CONCATENATE(Z427," ",LOOKUP(D427,'f-travail'!A:A,'f-travail'!F:F))</f>
        <v>#N/A</v>
      </c>
      <c r="BP427" s="669" t="e">
        <f t="shared" si="179"/>
        <v>#N/A</v>
      </c>
    </row>
    <row r="428" spans="1:68">
      <c r="A428" s="636">
        <f t="shared" si="193"/>
        <v>427</v>
      </c>
      <c r="B428" s="637"/>
      <c r="C428" s="637"/>
      <c r="D428" s="652"/>
      <c r="E428" s="679" t="e">
        <f>LOOKUP(D428,'f-travail'!A:A,'f-travail'!B:B)</f>
        <v>#N/A</v>
      </c>
      <c r="F428" s="650"/>
      <c r="G428" s="650"/>
      <c r="H428" s="653"/>
      <c r="I428" s="653"/>
      <c r="J428" s="654"/>
      <c r="K428" s="650"/>
      <c r="L428" s="650"/>
      <c r="M428" s="650">
        <v>0</v>
      </c>
      <c r="N428" s="654"/>
      <c r="O428" s="654"/>
      <c r="P428" s="654"/>
      <c r="Q428" s="654"/>
      <c r="R428" s="676"/>
      <c r="S428" s="654"/>
      <c r="T428" s="675"/>
      <c r="U428" s="675"/>
      <c r="V428" s="670" t="e">
        <f>LOOKUP(D428,'f-travail'!A:A,'f-travail'!E:E)</f>
        <v>#N/A</v>
      </c>
      <c r="W428" s="670" t="e">
        <f>VLOOKUP(V428,جرقمإستدلالي,'f-travail'!$AD$4+1,FALSE)</f>
        <v>#N/A</v>
      </c>
      <c r="X428" s="671" t="e">
        <f t="shared" si="169"/>
        <v>#N/A</v>
      </c>
      <c r="Y428" s="671">
        <f>IF(G428="مدير ولائي",(HLOOKUP(I428,جدروظعليا,'f-travail'!$AT$3+1,FALSE)-3200),0)</f>
        <v>0</v>
      </c>
      <c r="Z428" s="672" t="str">
        <f t="shared" si="180"/>
        <v/>
      </c>
      <c r="AA428" s="671">
        <f t="shared" si="181"/>
        <v>0</v>
      </c>
      <c r="AB428" s="677" t="b">
        <f t="shared" si="170"/>
        <v>0</v>
      </c>
      <c r="AC428" s="678">
        <f t="shared" si="182"/>
        <v>0</v>
      </c>
      <c r="AD428" s="673"/>
      <c r="AE428" s="678">
        <f t="shared" si="171"/>
        <v>0</v>
      </c>
      <c r="AF428" s="678" t="e">
        <f t="shared" si="172"/>
        <v>#N/A</v>
      </c>
      <c r="AG428" s="678" t="e">
        <f t="shared" si="173"/>
        <v>#N/A</v>
      </c>
      <c r="AH428" s="673">
        <f t="shared" si="183"/>
        <v>0</v>
      </c>
      <c r="AI428" s="674" t="e">
        <f>IF(G428="مدير ولائي",(11000*35%),LOOKUP(D428,'f-travail'!A:A,'f-travail'!I:I))</f>
        <v>#N/A</v>
      </c>
      <c r="AJ428" s="673" t="e">
        <f>IF(G428="مدير ولائي",((W428+X428)*45)*80%,IF(V428&lt;8,0,IF(F428="إليزي",(LOOKUP(D428,'f-travail'!A:A,'f-travail'!O:O))*(AF428+AG428),LOOKUP(D428,'f-travail'!A:A,'f-travail'!P:P)*(AF428+AG428))))</f>
        <v>#N/A</v>
      </c>
      <c r="AK428" s="673" t="e">
        <f>IF(G428="مدير ولائي",0,LOOKUP(D428,'f-travail'!A:A,'f-travail'!Q:Q))</f>
        <v>#N/A</v>
      </c>
      <c r="AL428" s="673" t="e">
        <f>IF(G428="مدير ولائي",0,LOOKUP(D428,'f-travail'!A:A,'f-travail'!R:R)*(AF428+AG428))</f>
        <v>#N/A</v>
      </c>
      <c r="AM428" s="673" t="e">
        <f>IF(G428="مدير ولائي",0,LOOKUP(D428,'f-travail'!A:A,'f-travail'!S:S)*(AF428+AG428))</f>
        <v>#N/A</v>
      </c>
      <c r="AN428" s="673" t="e">
        <f>IF(G428="مدير ولائي",0,LOOKUP(D428,'f-travail'!A:A,'f-travail'!T:T)*(AF428+AG428))</f>
        <v>#N/A</v>
      </c>
      <c r="AO428" s="673" t="e">
        <f>IF(G428="مدير ولائي",0,LOOKUP(D428,'f-travail'!A:A,'f-travail'!U:U)*(AF428+AG428))</f>
        <v>#N/A</v>
      </c>
      <c r="AP428" s="673" t="e">
        <f>IF(G428="مدير ولائي",0,LOOKUP(D428,'f-travail'!A:A,'f-travail'!V:V)*(AF428+AG428))</f>
        <v>#N/A</v>
      </c>
      <c r="AQ428" s="673" t="e">
        <f>IF(G428="مدير ولائي",0,LOOKUP(D428,'f-travail'!A:A,'f-travail'!W:W)*(AF428+AG428))</f>
        <v>#N/A</v>
      </c>
      <c r="AR428" s="673">
        <f t="shared" si="184"/>
        <v>0</v>
      </c>
      <c r="AS428" s="673" t="e">
        <f>IF(G428="مدير ولائي",0,LOOKUP(D428,'f-travail'!A:A,'f-travail'!X:X)*(AF428+AG428))</f>
        <v>#N/A</v>
      </c>
      <c r="AT428" s="673" t="e">
        <f>IF(G428="مدير ولائي",0,LOOKUP(D428,'f-travail'!Y:Y,'f-travail'!R:R)*(AF428+AG428))</f>
        <v>#N/A</v>
      </c>
      <c r="AU428" s="673">
        <f t="shared" si="174"/>
        <v>0</v>
      </c>
      <c r="AV428" s="673">
        <f t="shared" si="175"/>
        <v>0</v>
      </c>
      <c r="AW428" s="673">
        <f t="shared" si="176"/>
        <v>0</v>
      </c>
      <c r="AY428" s="640" t="e">
        <f t="shared" si="185"/>
        <v>#N/A</v>
      </c>
      <c r="AZ428" s="673" t="e">
        <f t="shared" si="177"/>
        <v>#N/A</v>
      </c>
      <c r="BA428" s="639" t="e">
        <f t="shared" si="178"/>
        <v>#N/A</v>
      </c>
      <c r="BG428" s="639">
        <f t="shared" si="186"/>
        <v>0</v>
      </c>
      <c r="BH428" s="683">
        <f t="shared" si="187"/>
        <v>0</v>
      </c>
      <c r="BI428" s="683">
        <f t="shared" si="188"/>
        <v>0</v>
      </c>
      <c r="BJ428" s="641" t="e">
        <f t="shared" si="189"/>
        <v>#N/A</v>
      </c>
      <c r="BK428" s="641" t="e">
        <f t="shared" si="190"/>
        <v>#N/A</v>
      </c>
      <c r="BL428" s="641" t="e">
        <f t="shared" si="191"/>
        <v>#N/A</v>
      </c>
      <c r="BM428" s="684" t="e">
        <f t="shared" si="192"/>
        <v>#N/A</v>
      </c>
      <c r="BO428" s="682" t="e">
        <f>CONCATENATE(Z428," ",LOOKUP(D428,'f-travail'!A:A,'f-travail'!F:F))</f>
        <v>#N/A</v>
      </c>
      <c r="BP428" s="669" t="e">
        <f t="shared" si="179"/>
        <v>#N/A</v>
      </c>
    </row>
    <row r="429" spans="1:68">
      <c r="A429" s="636">
        <f t="shared" si="193"/>
        <v>428</v>
      </c>
      <c r="B429" s="637"/>
      <c r="C429" s="637"/>
      <c r="D429" s="652"/>
      <c r="E429" s="679" t="e">
        <f>LOOKUP(D429,'f-travail'!A:A,'f-travail'!B:B)</f>
        <v>#N/A</v>
      </c>
      <c r="F429" s="650"/>
      <c r="G429" s="650"/>
      <c r="H429" s="653"/>
      <c r="I429" s="653"/>
      <c r="J429" s="654"/>
      <c r="K429" s="650"/>
      <c r="L429" s="650"/>
      <c r="M429" s="650">
        <v>0</v>
      </c>
      <c r="N429" s="654"/>
      <c r="O429" s="654"/>
      <c r="P429" s="654"/>
      <c r="Q429" s="654"/>
      <c r="R429" s="676"/>
      <c r="S429" s="654"/>
      <c r="T429" s="675"/>
      <c r="U429" s="675"/>
      <c r="V429" s="670" t="e">
        <f>LOOKUP(D429,'f-travail'!A:A,'f-travail'!E:E)</f>
        <v>#N/A</v>
      </c>
      <c r="W429" s="670" t="e">
        <f>VLOOKUP(V429,جرقمإستدلالي,'f-travail'!$AD$4+1,FALSE)</f>
        <v>#N/A</v>
      </c>
      <c r="X429" s="671" t="e">
        <f t="shared" si="169"/>
        <v>#N/A</v>
      </c>
      <c r="Y429" s="671">
        <f>IF(G429="مدير ولائي",(HLOOKUP(I429,جدروظعليا,'f-travail'!$AT$3+1,FALSE)-3200),0)</f>
        <v>0</v>
      </c>
      <c r="Z429" s="672" t="str">
        <f t="shared" si="180"/>
        <v/>
      </c>
      <c r="AA429" s="671">
        <f t="shared" si="181"/>
        <v>0</v>
      </c>
      <c r="AB429" s="677" t="b">
        <f t="shared" si="170"/>
        <v>0</v>
      </c>
      <c r="AC429" s="678">
        <f t="shared" si="182"/>
        <v>0</v>
      </c>
      <c r="AD429" s="673"/>
      <c r="AE429" s="678">
        <f t="shared" si="171"/>
        <v>0</v>
      </c>
      <c r="AF429" s="678" t="e">
        <f t="shared" si="172"/>
        <v>#N/A</v>
      </c>
      <c r="AG429" s="678" t="e">
        <f t="shared" si="173"/>
        <v>#N/A</v>
      </c>
      <c r="AH429" s="673">
        <f t="shared" si="183"/>
        <v>0</v>
      </c>
      <c r="AI429" s="674" t="e">
        <f>IF(G429="مدير ولائي",(11000*35%),LOOKUP(D429,'f-travail'!A:A,'f-travail'!I:I))</f>
        <v>#N/A</v>
      </c>
      <c r="AJ429" s="673" t="e">
        <f>IF(G429="مدير ولائي",((W429+X429)*45)*80%,IF(V429&lt;8,0,IF(F429="إليزي",(LOOKUP(D429,'f-travail'!A:A,'f-travail'!O:O))*(AF429+AG429),LOOKUP(D429,'f-travail'!A:A,'f-travail'!P:P)*(AF429+AG429))))</f>
        <v>#N/A</v>
      </c>
      <c r="AK429" s="673" t="e">
        <f>IF(G429="مدير ولائي",0,LOOKUP(D429,'f-travail'!A:A,'f-travail'!Q:Q))</f>
        <v>#N/A</v>
      </c>
      <c r="AL429" s="673" t="e">
        <f>IF(G429="مدير ولائي",0,LOOKUP(D429,'f-travail'!A:A,'f-travail'!R:R)*(AF429+AG429))</f>
        <v>#N/A</v>
      </c>
      <c r="AM429" s="673" t="e">
        <f>IF(G429="مدير ولائي",0,LOOKUP(D429,'f-travail'!A:A,'f-travail'!S:S)*(AF429+AG429))</f>
        <v>#N/A</v>
      </c>
      <c r="AN429" s="673" t="e">
        <f>IF(G429="مدير ولائي",0,LOOKUP(D429,'f-travail'!A:A,'f-travail'!T:T)*(AF429+AG429))</f>
        <v>#N/A</v>
      </c>
      <c r="AO429" s="673" t="e">
        <f>IF(G429="مدير ولائي",0,LOOKUP(D429,'f-travail'!A:A,'f-travail'!U:U)*(AF429+AG429))</f>
        <v>#N/A</v>
      </c>
      <c r="AP429" s="673" t="e">
        <f>IF(G429="مدير ولائي",0,LOOKUP(D429,'f-travail'!A:A,'f-travail'!V:V)*(AF429+AG429))</f>
        <v>#N/A</v>
      </c>
      <c r="AQ429" s="673" t="e">
        <f>IF(G429="مدير ولائي",0,LOOKUP(D429,'f-travail'!A:A,'f-travail'!W:W)*(AF429+AG429))</f>
        <v>#N/A</v>
      </c>
      <c r="AR429" s="673">
        <f t="shared" si="184"/>
        <v>0</v>
      </c>
      <c r="AS429" s="673" t="e">
        <f>IF(G429="مدير ولائي",0,LOOKUP(D429,'f-travail'!A:A,'f-travail'!X:X)*(AF429+AG429))</f>
        <v>#N/A</v>
      </c>
      <c r="AT429" s="673" t="e">
        <f>IF(G429="مدير ولائي",0,LOOKUP(D429,'f-travail'!Y:Y,'f-travail'!R:R)*(AF429+AG429))</f>
        <v>#N/A</v>
      </c>
      <c r="AU429" s="673">
        <f t="shared" si="174"/>
        <v>0</v>
      </c>
      <c r="AV429" s="673">
        <f t="shared" si="175"/>
        <v>0</v>
      </c>
      <c r="AW429" s="673">
        <f t="shared" si="176"/>
        <v>0</v>
      </c>
      <c r="AY429" s="640" t="e">
        <f t="shared" si="185"/>
        <v>#N/A</v>
      </c>
      <c r="AZ429" s="673" t="e">
        <f t="shared" si="177"/>
        <v>#N/A</v>
      </c>
      <c r="BA429" s="639" t="e">
        <f t="shared" si="178"/>
        <v>#N/A</v>
      </c>
      <c r="BG429" s="639">
        <f t="shared" si="186"/>
        <v>0</v>
      </c>
      <c r="BH429" s="683">
        <f t="shared" si="187"/>
        <v>0</v>
      </c>
      <c r="BI429" s="683">
        <f t="shared" si="188"/>
        <v>0</v>
      </c>
      <c r="BJ429" s="641" t="e">
        <f t="shared" si="189"/>
        <v>#N/A</v>
      </c>
      <c r="BK429" s="641" t="e">
        <f t="shared" si="190"/>
        <v>#N/A</v>
      </c>
      <c r="BL429" s="641" t="e">
        <f t="shared" si="191"/>
        <v>#N/A</v>
      </c>
      <c r="BM429" s="684" t="e">
        <f t="shared" si="192"/>
        <v>#N/A</v>
      </c>
      <c r="BO429" s="682" t="e">
        <f>CONCATENATE(Z429," ",LOOKUP(D429,'f-travail'!A:A,'f-travail'!F:F))</f>
        <v>#N/A</v>
      </c>
      <c r="BP429" s="669" t="e">
        <f t="shared" si="179"/>
        <v>#N/A</v>
      </c>
    </row>
    <row r="430" spans="1:68">
      <c r="A430" s="636">
        <f t="shared" si="193"/>
        <v>429</v>
      </c>
      <c r="B430" s="637"/>
      <c r="C430" s="637"/>
      <c r="D430" s="652"/>
      <c r="E430" s="679" t="e">
        <f>LOOKUP(D430,'f-travail'!A:A,'f-travail'!B:B)</f>
        <v>#N/A</v>
      </c>
      <c r="F430" s="650"/>
      <c r="G430" s="650"/>
      <c r="H430" s="653"/>
      <c r="I430" s="653"/>
      <c r="J430" s="654"/>
      <c r="K430" s="650"/>
      <c r="L430" s="650"/>
      <c r="M430" s="650">
        <v>0</v>
      </c>
      <c r="N430" s="654"/>
      <c r="O430" s="654"/>
      <c r="P430" s="654"/>
      <c r="Q430" s="654"/>
      <c r="R430" s="676"/>
      <c r="S430" s="654"/>
      <c r="T430" s="675"/>
      <c r="U430" s="675"/>
      <c r="V430" s="670" t="e">
        <f>LOOKUP(D430,'f-travail'!A:A,'f-travail'!E:E)</f>
        <v>#N/A</v>
      </c>
      <c r="W430" s="670" t="e">
        <f>VLOOKUP(V430,جرقمإستدلالي,'f-travail'!$AD$4+1,FALSE)</f>
        <v>#N/A</v>
      </c>
      <c r="X430" s="671" t="e">
        <f t="shared" si="169"/>
        <v>#N/A</v>
      </c>
      <c r="Y430" s="671">
        <f>IF(G430="مدير ولائي",(HLOOKUP(I430,جدروظعليا,'f-travail'!$AT$3+1,FALSE)-3200),0)</f>
        <v>0</v>
      </c>
      <c r="Z430" s="672" t="str">
        <f t="shared" si="180"/>
        <v/>
      </c>
      <c r="AA430" s="671">
        <f t="shared" si="181"/>
        <v>0</v>
      </c>
      <c r="AB430" s="677" t="b">
        <f t="shared" si="170"/>
        <v>0</v>
      </c>
      <c r="AC430" s="678">
        <f t="shared" si="182"/>
        <v>0</v>
      </c>
      <c r="AD430" s="673"/>
      <c r="AE430" s="678">
        <f t="shared" si="171"/>
        <v>0</v>
      </c>
      <c r="AF430" s="678" t="e">
        <f t="shared" si="172"/>
        <v>#N/A</v>
      </c>
      <c r="AG430" s="678" t="e">
        <f t="shared" si="173"/>
        <v>#N/A</v>
      </c>
      <c r="AH430" s="673">
        <f t="shared" si="183"/>
        <v>0</v>
      </c>
      <c r="AI430" s="674" t="e">
        <f>IF(G430="مدير ولائي",(11000*35%),LOOKUP(D430,'f-travail'!A:A,'f-travail'!I:I))</f>
        <v>#N/A</v>
      </c>
      <c r="AJ430" s="673" t="e">
        <f>IF(G430="مدير ولائي",((W430+X430)*45)*80%,IF(V430&lt;8,0,IF(F430="إليزي",(LOOKUP(D430,'f-travail'!A:A,'f-travail'!O:O))*(AF430+AG430),LOOKUP(D430,'f-travail'!A:A,'f-travail'!P:P)*(AF430+AG430))))</f>
        <v>#N/A</v>
      </c>
      <c r="AK430" s="673" t="e">
        <f>IF(G430="مدير ولائي",0,LOOKUP(D430,'f-travail'!A:A,'f-travail'!Q:Q))</f>
        <v>#N/A</v>
      </c>
      <c r="AL430" s="673" t="e">
        <f>IF(G430="مدير ولائي",0,LOOKUP(D430,'f-travail'!A:A,'f-travail'!R:R)*(AF430+AG430))</f>
        <v>#N/A</v>
      </c>
      <c r="AM430" s="673" t="e">
        <f>IF(G430="مدير ولائي",0,LOOKUP(D430,'f-travail'!A:A,'f-travail'!S:S)*(AF430+AG430))</f>
        <v>#N/A</v>
      </c>
      <c r="AN430" s="673" t="e">
        <f>IF(G430="مدير ولائي",0,LOOKUP(D430,'f-travail'!A:A,'f-travail'!T:T)*(AF430+AG430))</f>
        <v>#N/A</v>
      </c>
      <c r="AO430" s="673" t="e">
        <f>IF(G430="مدير ولائي",0,LOOKUP(D430,'f-travail'!A:A,'f-travail'!U:U)*(AF430+AG430))</f>
        <v>#N/A</v>
      </c>
      <c r="AP430" s="673" t="e">
        <f>IF(G430="مدير ولائي",0,LOOKUP(D430,'f-travail'!A:A,'f-travail'!V:V)*(AF430+AG430))</f>
        <v>#N/A</v>
      </c>
      <c r="AQ430" s="673" t="e">
        <f>IF(G430="مدير ولائي",0,LOOKUP(D430,'f-travail'!A:A,'f-travail'!W:W)*(AF430+AG430))</f>
        <v>#N/A</v>
      </c>
      <c r="AR430" s="673">
        <f t="shared" si="184"/>
        <v>0</v>
      </c>
      <c r="AS430" s="673" t="e">
        <f>IF(G430="مدير ولائي",0,LOOKUP(D430,'f-travail'!A:A,'f-travail'!X:X)*(AF430+AG430))</f>
        <v>#N/A</v>
      </c>
      <c r="AT430" s="673" t="e">
        <f>IF(G430="مدير ولائي",0,LOOKUP(D430,'f-travail'!Y:Y,'f-travail'!R:R)*(AF430+AG430))</f>
        <v>#N/A</v>
      </c>
      <c r="AU430" s="673">
        <f t="shared" si="174"/>
        <v>0</v>
      </c>
      <c r="AV430" s="673">
        <f t="shared" si="175"/>
        <v>0</v>
      </c>
      <c r="AW430" s="673">
        <f t="shared" si="176"/>
        <v>0</v>
      </c>
      <c r="AY430" s="640" t="e">
        <f t="shared" si="185"/>
        <v>#N/A</v>
      </c>
      <c r="AZ430" s="673" t="e">
        <f t="shared" si="177"/>
        <v>#N/A</v>
      </c>
      <c r="BA430" s="639" t="e">
        <f t="shared" si="178"/>
        <v>#N/A</v>
      </c>
      <c r="BG430" s="639">
        <f t="shared" si="186"/>
        <v>0</v>
      </c>
      <c r="BH430" s="683">
        <f t="shared" si="187"/>
        <v>0</v>
      </c>
      <c r="BI430" s="683">
        <f t="shared" si="188"/>
        <v>0</v>
      </c>
      <c r="BJ430" s="641" t="e">
        <f t="shared" si="189"/>
        <v>#N/A</v>
      </c>
      <c r="BK430" s="641" t="e">
        <f t="shared" si="190"/>
        <v>#N/A</v>
      </c>
      <c r="BL430" s="641" t="e">
        <f t="shared" si="191"/>
        <v>#N/A</v>
      </c>
      <c r="BM430" s="684" t="e">
        <f t="shared" si="192"/>
        <v>#N/A</v>
      </c>
      <c r="BO430" s="682" t="e">
        <f>CONCATENATE(Z430," ",LOOKUP(D430,'f-travail'!A:A,'f-travail'!F:F))</f>
        <v>#N/A</v>
      </c>
      <c r="BP430" s="669" t="e">
        <f t="shared" si="179"/>
        <v>#N/A</v>
      </c>
    </row>
    <row r="431" spans="1:68">
      <c r="A431" s="636">
        <f t="shared" si="193"/>
        <v>430</v>
      </c>
      <c r="B431" s="637"/>
      <c r="C431" s="637"/>
      <c r="D431" s="652"/>
      <c r="E431" s="679" t="e">
        <f>LOOKUP(D431,'f-travail'!A:A,'f-travail'!B:B)</f>
        <v>#N/A</v>
      </c>
      <c r="F431" s="650"/>
      <c r="G431" s="650"/>
      <c r="H431" s="653"/>
      <c r="I431" s="653"/>
      <c r="J431" s="654"/>
      <c r="K431" s="650"/>
      <c r="L431" s="650"/>
      <c r="M431" s="650">
        <v>0</v>
      </c>
      <c r="N431" s="654"/>
      <c r="O431" s="654"/>
      <c r="P431" s="654"/>
      <c r="Q431" s="654"/>
      <c r="R431" s="676"/>
      <c r="S431" s="654"/>
      <c r="T431" s="675"/>
      <c r="U431" s="675"/>
      <c r="V431" s="670" t="e">
        <f>LOOKUP(D431,'f-travail'!A:A,'f-travail'!E:E)</f>
        <v>#N/A</v>
      </c>
      <c r="W431" s="670" t="e">
        <f>VLOOKUP(V431,جرقمإستدلالي,'f-travail'!$AD$4+1,FALSE)</f>
        <v>#N/A</v>
      </c>
      <c r="X431" s="671" t="e">
        <f t="shared" si="169"/>
        <v>#N/A</v>
      </c>
      <c r="Y431" s="671">
        <f>IF(G431="مدير ولائي",(HLOOKUP(I431,جدروظعليا,'f-travail'!$AT$3+1,FALSE)-3200),0)</f>
        <v>0</v>
      </c>
      <c r="Z431" s="672" t="str">
        <f t="shared" si="180"/>
        <v/>
      </c>
      <c r="AA431" s="671">
        <f t="shared" si="181"/>
        <v>0</v>
      </c>
      <c r="AB431" s="677" t="b">
        <f t="shared" si="170"/>
        <v>0</v>
      </c>
      <c r="AC431" s="678">
        <f t="shared" si="182"/>
        <v>0</v>
      </c>
      <c r="AD431" s="673"/>
      <c r="AE431" s="678">
        <f t="shared" si="171"/>
        <v>0</v>
      </c>
      <c r="AF431" s="678" t="e">
        <f t="shared" si="172"/>
        <v>#N/A</v>
      </c>
      <c r="AG431" s="678" t="e">
        <f t="shared" si="173"/>
        <v>#N/A</v>
      </c>
      <c r="AH431" s="673">
        <f t="shared" si="183"/>
        <v>0</v>
      </c>
      <c r="AI431" s="674" t="e">
        <f>IF(G431="مدير ولائي",(11000*35%),LOOKUP(D431,'f-travail'!A:A,'f-travail'!I:I))</f>
        <v>#N/A</v>
      </c>
      <c r="AJ431" s="673" t="e">
        <f>IF(G431="مدير ولائي",((W431+X431)*45)*80%,IF(V431&lt;8,0,IF(F431="إليزي",(LOOKUP(D431,'f-travail'!A:A,'f-travail'!O:O))*(AF431+AG431),LOOKUP(D431,'f-travail'!A:A,'f-travail'!P:P)*(AF431+AG431))))</f>
        <v>#N/A</v>
      </c>
      <c r="AK431" s="673" t="e">
        <f>IF(G431="مدير ولائي",0,LOOKUP(D431,'f-travail'!A:A,'f-travail'!Q:Q))</f>
        <v>#N/A</v>
      </c>
      <c r="AL431" s="673" t="e">
        <f>IF(G431="مدير ولائي",0,LOOKUP(D431,'f-travail'!A:A,'f-travail'!R:R)*(AF431+AG431))</f>
        <v>#N/A</v>
      </c>
      <c r="AM431" s="673" t="e">
        <f>IF(G431="مدير ولائي",0,LOOKUP(D431,'f-travail'!A:A,'f-travail'!S:S)*(AF431+AG431))</f>
        <v>#N/A</v>
      </c>
      <c r="AN431" s="673" t="e">
        <f>IF(G431="مدير ولائي",0,LOOKUP(D431,'f-travail'!A:A,'f-travail'!T:T)*(AF431+AG431))</f>
        <v>#N/A</v>
      </c>
      <c r="AO431" s="673" t="e">
        <f>IF(G431="مدير ولائي",0,LOOKUP(D431,'f-travail'!A:A,'f-travail'!U:U)*(AF431+AG431))</f>
        <v>#N/A</v>
      </c>
      <c r="AP431" s="673" t="e">
        <f>IF(G431="مدير ولائي",0,LOOKUP(D431,'f-travail'!A:A,'f-travail'!V:V)*(AF431+AG431))</f>
        <v>#N/A</v>
      </c>
      <c r="AQ431" s="673" t="e">
        <f>IF(G431="مدير ولائي",0,LOOKUP(D431,'f-travail'!A:A,'f-travail'!W:W)*(AF431+AG431))</f>
        <v>#N/A</v>
      </c>
      <c r="AR431" s="673">
        <f t="shared" si="184"/>
        <v>0</v>
      </c>
      <c r="AS431" s="673" t="e">
        <f>IF(G431="مدير ولائي",0,LOOKUP(D431,'f-travail'!A:A,'f-travail'!X:X)*(AF431+AG431))</f>
        <v>#N/A</v>
      </c>
      <c r="AT431" s="673" t="e">
        <f>IF(G431="مدير ولائي",0,LOOKUP(D431,'f-travail'!Y:Y,'f-travail'!R:R)*(AF431+AG431))</f>
        <v>#N/A</v>
      </c>
      <c r="AU431" s="673">
        <f t="shared" si="174"/>
        <v>0</v>
      </c>
      <c r="AV431" s="673">
        <f t="shared" si="175"/>
        <v>0</v>
      </c>
      <c r="AW431" s="673">
        <f t="shared" si="176"/>
        <v>0</v>
      </c>
      <c r="AY431" s="640" t="e">
        <f t="shared" si="185"/>
        <v>#N/A</v>
      </c>
      <c r="AZ431" s="673" t="e">
        <f t="shared" si="177"/>
        <v>#N/A</v>
      </c>
      <c r="BA431" s="639" t="e">
        <f t="shared" si="178"/>
        <v>#N/A</v>
      </c>
      <c r="BG431" s="639">
        <f t="shared" si="186"/>
        <v>0</v>
      </c>
      <c r="BH431" s="683">
        <f t="shared" si="187"/>
        <v>0</v>
      </c>
      <c r="BI431" s="683">
        <f t="shared" si="188"/>
        <v>0</v>
      </c>
      <c r="BJ431" s="641" t="e">
        <f t="shared" si="189"/>
        <v>#N/A</v>
      </c>
      <c r="BK431" s="641" t="e">
        <f t="shared" si="190"/>
        <v>#N/A</v>
      </c>
      <c r="BL431" s="641" t="e">
        <f t="shared" si="191"/>
        <v>#N/A</v>
      </c>
      <c r="BM431" s="684" t="e">
        <f t="shared" si="192"/>
        <v>#N/A</v>
      </c>
      <c r="BO431" s="682" t="e">
        <f>CONCATENATE(Z431," ",LOOKUP(D431,'f-travail'!A:A,'f-travail'!F:F))</f>
        <v>#N/A</v>
      </c>
      <c r="BP431" s="669" t="e">
        <f t="shared" si="179"/>
        <v>#N/A</v>
      </c>
    </row>
    <row r="432" spans="1:68">
      <c r="A432" s="636">
        <f t="shared" si="193"/>
        <v>431</v>
      </c>
      <c r="B432" s="637"/>
      <c r="C432" s="637"/>
      <c r="D432" s="652"/>
      <c r="E432" s="679" t="e">
        <f>LOOKUP(D432,'f-travail'!A:A,'f-travail'!B:B)</f>
        <v>#N/A</v>
      </c>
      <c r="F432" s="650"/>
      <c r="G432" s="650"/>
      <c r="H432" s="653"/>
      <c r="I432" s="653"/>
      <c r="J432" s="654"/>
      <c r="K432" s="650"/>
      <c r="L432" s="650"/>
      <c r="M432" s="650">
        <v>0</v>
      </c>
      <c r="N432" s="654"/>
      <c r="O432" s="654"/>
      <c r="P432" s="654"/>
      <c r="Q432" s="654"/>
      <c r="R432" s="676"/>
      <c r="S432" s="654"/>
      <c r="T432" s="675"/>
      <c r="U432" s="675"/>
      <c r="V432" s="670" t="e">
        <f>LOOKUP(D432,'f-travail'!A:A,'f-travail'!E:E)</f>
        <v>#N/A</v>
      </c>
      <c r="W432" s="670" t="e">
        <f>VLOOKUP(V432,جرقمإستدلالي,'f-travail'!$AD$4+1,FALSE)</f>
        <v>#N/A</v>
      </c>
      <c r="X432" s="671" t="e">
        <f t="shared" si="169"/>
        <v>#N/A</v>
      </c>
      <c r="Y432" s="671">
        <f>IF(G432="مدير ولائي",(HLOOKUP(I432,جدروظعليا,'f-travail'!$AT$3+1,FALSE)-3200),0)</f>
        <v>0</v>
      </c>
      <c r="Z432" s="672" t="str">
        <f t="shared" si="180"/>
        <v/>
      </c>
      <c r="AA432" s="671">
        <f t="shared" si="181"/>
        <v>0</v>
      </c>
      <c r="AB432" s="677" t="b">
        <f t="shared" si="170"/>
        <v>0</v>
      </c>
      <c r="AC432" s="678">
        <f t="shared" si="182"/>
        <v>0</v>
      </c>
      <c r="AD432" s="673"/>
      <c r="AE432" s="678">
        <f t="shared" si="171"/>
        <v>0</v>
      </c>
      <c r="AF432" s="678" t="e">
        <f t="shared" si="172"/>
        <v>#N/A</v>
      </c>
      <c r="AG432" s="678" t="e">
        <f t="shared" si="173"/>
        <v>#N/A</v>
      </c>
      <c r="AH432" s="673">
        <f t="shared" si="183"/>
        <v>0</v>
      </c>
      <c r="AI432" s="674" t="e">
        <f>IF(G432="مدير ولائي",(11000*35%),LOOKUP(D432,'f-travail'!A:A,'f-travail'!I:I))</f>
        <v>#N/A</v>
      </c>
      <c r="AJ432" s="673" t="e">
        <f>IF(G432="مدير ولائي",((W432+X432)*45)*80%,IF(V432&lt;8,0,IF(F432="إليزي",(LOOKUP(D432,'f-travail'!A:A,'f-travail'!O:O))*(AF432+AG432),LOOKUP(D432,'f-travail'!A:A,'f-travail'!P:P)*(AF432+AG432))))</f>
        <v>#N/A</v>
      </c>
      <c r="AK432" s="673" t="e">
        <f>IF(G432="مدير ولائي",0,LOOKUP(D432,'f-travail'!A:A,'f-travail'!Q:Q))</f>
        <v>#N/A</v>
      </c>
      <c r="AL432" s="673" t="e">
        <f>IF(G432="مدير ولائي",0,LOOKUP(D432,'f-travail'!A:A,'f-travail'!R:R)*(AF432+AG432))</f>
        <v>#N/A</v>
      </c>
      <c r="AM432" s="673" t="e">
        <f>IF(G432="مدير ولائي",0,LOOKUP(D432,'f-travail'!A:A,'f-travail'!S:S)*(AF432+AG432))</f>
        <v>#N/A</v>
      </c>
      <c r="AN432" s="673" t="e">
        <f>IF(G432="مدير ولائي",0,LOOKUP(D432,'f-travail'!A:A,'f-travail'!T:T)*(AF432+AG432))</f>
        <v>#N/A</v>
      </c>
      <c r="AO432" s="673" t="e">
        <f>IF(G432="مدير ولائي",0,LOOKUP(D432,'f-travail'!A:A,'f-travail'!U:U)*(AF432+AG432))</f>
        <v>#N/A</v>
      </c>
      <c r="AP432" s="673" t="e">
        <f>IF(G432="مدير ولائي",0,LOOKUP(D432,'f-travail'!A:A,'f-travail'!V:V)*(AF432+AG432))</f>
        <v>#N/A</v>
      </c>
      <c r="AQ432" s="673" t="e">
        <f>IF(G432="مدير ولائي",0,LOOKUP(D432,'f-travail'!A:A,'f-travail'!W:W)*(AF432+AG432))</f>
        <v>#N/A</v>
      </c>
      <c r="AR432" s="673">
        <f t="shared" si="184"/>
        <v>0</v>
      </c>
      <c r="AS432" s="673" t="e">
        <f>IF(G432="مدير ولائي",0,LOOKUP(D432,'f-travail'!A:A,'f-travail'!X:X)*(AF432+AG432))</f>
        <v>#N/A</v>
      </c>
      <c r="AT432" s="673" t="e">
        <f>IF(G432="مدير ولائي",0,LOOKUP(D432,'f-travail'!Y:Y,'f-travail'!R:R)*(AF432+AG432))</f>
        <v>#N/A</v>
      </c>
      <c r="AU432" s="673">
        <f t="shared" si="174"/>
        <v>0</v>
      </c>
      <c r="AV432" s="673">
        <f t="shared" si="175"/>
        <v>0</v>
      </c>
      <c r="AW432" s="673">
        <f t="shared" si="176"/>
        <v>0</v>
      </c>
      <c r="AY432" s="640" t="e">
        <f t="shared" si="185"/>
        <v>#N/A</v>
      </c>
      <c r="AZ432" s="673" t="e">
        <f t="shared" si="177"/>
        <v>#N/A</v>
      </c>
      <c r="BA432" s="639" t="e">
        <f t="shared" si="178"/>
        <v>#N/A</v>
      </c>
      <c r="BG432" s="639">
        <f t="shared" si="186"/>
        <v>0</v>
      </c>
      <c r="BH432" s="683">
        <f t="shared" si="187"/>
        <v>0</v>
      </c>
      <c r="BI432" s="683">
        <f t="shared" si="188"/>
        <v>0</v>
      </c>
      <c r="BJ432" s="641" t="e">
        <f t="shared" si="189"/>
        <v>#N/A</v>
      </c>
      <c r="BK432" s="641" t="e">
        <f t="shared" si="190"/>
        <v>#N/A</v>
      </c>
      <c r="BL432" s="641" t="e">
        <f t="shared" si="191"/>
        <v>#N/A</v>
      </c>
      <c r="BM432" s="684" t="e">
        <f t="shared" si="192"/>
        <v>#N/A</v>
      </c>
      <c r="BO432" s="682" t="e">
        <f>CONCATENATE(Z432," ",LOOKUP(D432,'f-travail'!A:A,'f-travail'!F:F))</f>
        <v>#N/A</v>
      </c>
      <c r="BP432" s="669" t="e">
        <f t="shared" si="179"/>
        <v>#N/A</v>
      </c>
    </row>
    <row r="433" spans="1:68">
      <c r="A433" s="636">
        <f t="shared" si="193"/>
        <v>432</v>
      </c>
      <c r="B433" s="637"/>
      <c r="C433" s="637"/>
      <c r="D433" s="652"/>
      <c r="E433" s="679" t="e">
        <f>LOOKUP(D433,'f-travail'!A:A,'f-travail'!B:B)</f>
        <v>#N/A</v>
      </c>
      <c r="F433" s="650"/>
      <c r="G433" s="650"/>
      <c r="H433" s="653"/>
      <c r="I433" s="653"/>
      <c r="J433" s="654"/>
      <c r="K433" s="650"/>
      <c r="L433" s="650"/>
      <c r="M433" s="650">
        <v>0</v>
      </c>
      <c r="N433" s="654"/>
      <c r="O433" s="654"/>
      <c r="P433" s="654"/>
      <c r="Q433" s="654"/>
      <c r="R433" s="676"/>
      <c r="S433" s="654"/>
      <c r="T433" s="675"/>
      <c r="U433" s="675"/>
      <c r="V433" s="670" t="e">
        <f>LOOKUP(D433,'f-travail'!A:A,'f-travail'!E:E)</f>
        <v>#N/A</v>
      </c>
      <c r="W433" s="670" t="e">
        <f>VLOOKUP(V433,جرقمإستدلالي,'f-travail'!$AD$4+1,FALSE)</f>
        <v>#N/A</v>
      </c>
      <c r="X433" s="671" t="e">
        <f t="shared" si="169"/>
        <v>#N/A</v>
      </c>
      <c r="Y433" s="671">
        <f>IF(G433="مدير ولائي",(HLOOKUP(I433,جدروظعليا,'f-travail'!$AT$3+1,FALSE)-3200),0)</f>
        <v>0</v>
      </c>
      <c r="Z433" s="672" t="str">
        <f t="shared" si="180"/>
        <v/>
      </c>
      <c r="AA433" s="671">
        <f t="shared" si="181"/>
        <v>0</v>
      </c>
      <c r="AB433" s="677" t="b">
        <f t="shared" si="170"/>
        <v>0</v>
      </c>
      <c r="AC433" s="678">
        <f t="shared" si="182"/>
        <v>0</v>
      </c>
      <c r="AD433" s="673"/>
      <c r="AE433" s="678">
        <f t="shared" si="171"/>
        <v>0</v>
      </c>
      <c r="AF433" s="678" t="e">
        <f t="shared" si="172"/>
        <v>#N/A</v>
      </c>
      <c r="AG433" s="678" t="e">
        <f t="shared" si="173"/>
        <v>#N/A</v>
      </c>
      <c r="AH433" s="673">
        <f t="shared" si="183"/>
        <v>0</v>
      </c>
      <c r="AI433" s="674" t="e">
        <f>IF(G433="مدير ولائي",(11000*35%),LOOKUP(D433,'f-travail'!A:A,'f-travail'!I:I))</f>
        <v>#N/A</v>
      </c>
      <c r="AJ433" s="673" t="e">
        <f>IF(G433="مدير ولائي",((W433+X433)*45)*80%,IF(V433&lt;8,0,IF(F433="إليزي",(LOOKUP(D433,'f-travail'!A:A,'f-travail'!O:O))*(AF433+AG433),LOOKUP(D433,'f-travail'!A:A,'f-travail'!P:P)*(AF433+AG433))))</f>
        <v>#N/A</v>
      </c>
      <c r="AK433" s="673" t="e">
        <f>IF(G433="مدير ولائي",0,LOOKUP(D433,'f-travail'!A:A,'f-travail'!Q:Q))</f>
        <v>#N/A</v>
      </c>
      <c r="AL433" s="673" t="e">
        <f>IF(G433="مدير ولائي",0,LOOKUP(D433,'f-travail'!A:A,'f-travail'!R:R)*(AF433+AG433))</f>
        <v>#N/A</v>
      </c>
      <c r="AM433" s="673" t="e">
        <f>IF(G433="مدير ولائي",0,LOOKUP(D433,'f-travail'!A:A,'f-travail'!S:S)*(AF433+AG433))</f>
        <v>#N/A</v>
      </c>
      <c r="AN433" s="673" t="e">
        <f>IF(G433="مدير ولائي",0,LOOKUP(D433,'f-travail'!A:A,'f-travail'!T:T)*(AF433+AG433))</f>
        <v>#N/A</v>
      </c>
      <c r="AO433" s="673" t="e">
        <f>IF(G433="مدير ولائي",0,LOOKUP(D433,'f-travail'!A:A,'f-travail'!U:U)*(AF433+AG433))</f>
        <v>#N/A</v>
      </c>
      <c r="AP433" s="673" t="e">
        <f>IF(G433="مدير ولائي",0,LOOKUP(D433,'f-travail'!A:A,'f-travail'!V:V)*(AF433+AG433))</f>
        <v>#N/A</v>
      </c>
      <c r="AQ433" s="673" t="e">
        <f>IF(G433="مدير ولائي",0,LOOKUP(D433,'f-travail'!A:A,'f-travail'!W:W)*(AF433+AG433))</f>
        <v>#N/A</v>
      </c>
      <c r="AR433" s="673">
        <f t="shared" si="184"/>
        <v>0</v>
      </c>
      <c r="AS433" s="673" t="e">
        <f>IF(G433="مدير ولائي",0,LOOKUP(D433,'f-travail'!A:A,'f-travail'!X:X)*(AF433+AG433))</f>
        <v>#N/A</v>
      </c>
      <c r="AT433" s="673" t="e">
        <f>IF(G433="مدير ولائي",0,LOOKUP(D433,'f-travail'!Y:Y,'f-travail'!R:R)*(AF433+AG433))</f>
        <v>#N/A</v>
      </c>
      <c r="AU433" s="673">
        <f t="shared" si="174"/>
        <v>0</v>
      </c>
      <c r="AV433" s="673">
        <f t="shared" si="175"/>
        <v>0</v>
      </c>
      <c r="AW433" s="673">
        <f t="shared" si="176"/>
        <v>0</v>
      </c>
      <c r="AY433" s="640" t="e">
        <f t="shared" si="185"/>
        <v>#N/A</v>
      </c>
      <c r="AZ433" s="673" t="e">
        <f t="shared" si="177"/>
        <v>#N/A</v>
      </c>
      <c r="BA433" s="639" t="e">
        <f t="shared" si="178"/>
        <v>#N/A</v>
      </c>
      <c r="BG433" s="639">
        <f t="shared" si="186"/>
        <v>0</v>
      </c>
      <c r="BH433" s="683">
        <f t="shared" si="187"/>
        <v>0</v>
      </c>
      <c r="BI433" s="683">
        <f t="shared" si="188"/>
        <v>0</v>
      </c>
      <c r="BJ433" s="641" t="e">
        <f t="shared" si="189"/>
        <v>#N/A</v>
      </c>
      <c r="BK433" s="641" t="e">
        <f t="shared" si="190"/>
        <v>#N/A</v>
      </c>
      <c r="BL433" s="641" t="e">
        <f t="shared" si="191"/>
        <v>#N/A</v>
      </c>
      <c r="BM433" s="684" t="e">
        <f t="shared" si="192"/>
        <v>#N/A</v>
      </c>
      <c r="BO433" s="682" t="e">
        <f>CONCATENATE(Z433," ",LOOKUP(D433,'f-travail'!A:A,'f-travail'!F:F))</f>
        <v>#N/A</v>
      </c>
      <c r="BP433" s="669" t="e">
        <f t="shared" si="179"/>
        <v>#N/A</v>
      </c>
    </row>
    <row r="434" spans="1:68">
      <c r="A434" s="636">
        <f t="shared" si="193"/>
        <v>433</v>
      </c>
      <c r="B434" s="637"/>
      <c r="C434" s="637"/>
      <c r="D434" s="652"/>
      <c r="E434" s="679" t="e">
        <f>LOOKUP(D434,'f-travail'!A:A,'f-travail'!B:B)</f>
        <v>#N/A</v>
      </c>
      <c r="F434" s="650"/>
      <c r="G434" s="650"/>
      <c r="H434" s="653"/>
      <c r="I434" s="653"/>
      <c r="J434" s="654"/>
      <c r="K434" s="650"/>
      <c r="L434" s="650"/>
      <c r="M434" s="650">
        <v>0</v>
      </c>
      <c r="N434" s="654"/>
      <c r="O434" s="654"/>
      <c r="P434" s="654"/>
      <c r="Q434" s="654"/>
      <c r="R434" s="676"/>
      <c r="S434" s="654"/>
      <c r="T434" s="675"/>
      <c r="U434" s="675"/>
      <c r="V434" s="670" t="e">
        <f>LOOKUP(D434,'f-travail'!A:A,'f-travail'!E:E)</f>
        <v>#N/A</v>
      </c>
      <c r="W434" s="670" t="e">
        <f>VLOOKUP(V434,جرقمإستدلالي,'f-travail'!$AD$4+1,FALSE)</f>
        <v>#N/A</v>
      </c>
      <c r="X434" s="671" t="e">
        <f t="shared" si="169"/>
        <v>#N/A</v>
      </c>
      <c r="Y434" s="671">
        <f>IF(G434="مدير ولائي",(HLOOKUP(I434,جدروظعليا,'f-travail'!$AT$3+1,FALSE)-3200),0)</f>
        <v>0</v>
      </c>
      <c r="Z434" s="672" t="str">
        <f t="shared" si="180"/>
        <v/>
      </c>
      <c r="AA434" s="671">
        <f t="shared" si="181"/>
        <v>0</v>
      </c>
      <c r="AB434" s="677" t="b">
        <f t="shared" si="170"/>
        <v>0</v>
      </c>
      <c r="AC434" s="678">
        <f t="shared" si="182"/>
        <v>0</v>
      </c>
      <c r="AD434" s="673"/>
      <c r="AE434" s="678">
        <f t="shared" si="171"/>
        <v>0</v>
      </c>
      <c r="AF434" s="678" t="e">
        <f t="shared" si="172"/>
        <v>#N/A</v>
      </c>
      <c r="AG434" s="678" t="e">
        <f t="shared" si="173"/>
        <v>#N/A</v>
      </c>
      <c r="AH434" s="673">
        <f t="shared" si="183"/>
        <v>0</v>
      </c>
      <c r="AI434" s="674" t="e">
        <f>IF(G434="مدير ولائي",(11000*35%),LOOKUP(D434,'f-travail'!A:A,'f-travail'!I:I))</f>
        <v>#N/A</v>
      </c>
      <c r="AJ434" s="673" t="e">
        <f>IF(G434="مدير ولائي",((W434+X434)*45)*80%,IF(V434&lt;8,0,IF(F434="إليزي",(LOOKUP(D434,'f-travail'!A:A,'f-travail'!O:O))*(AF434+AG434),LOOKUP(D434,'f-travail'!A:A,'f-travail'!P:P)*(AF434+AG434))))</f>
        <v>#N/A</v>
      </c>
      <c r="AK434" s="673" t="e">
        <f>IF(G434="مدير ولائي",0,LOOKUP(D434,'f-travail'!A:A,'f-travail'!Q:Q))</f>
        <v>#N/A</v>
      </c>
      <c r="AL434" s="673" t="e">
        <f>IF(G434="مدير ولائي",0,LOOKUP(D434,'f-travail'!A:A,'f-travail'!R:R)*(AF434+AG434))</f>
        <v>#N/A</v>
      </c>
      <c r="AM434" s="673" t="e">
        <f>IF(G434="مدير ولائي",0,LOOKUP(D434,'f-travail'!A:A,'f-travail'!S:S)*(AF434+AG434))</f>
        <v>#N/A</v>
      </c>
      <c r="AN434" s="673" t="e">
        <f>IF(G434="مدير ولائي",0,LOOKUP(D434,'f-travail'!A:A,'f-travail'!T:T)*(AF434+AG434))</f>
        <v>#N/A</v>
      </c>
      <c r="AO434" s="673" t="e">
        <f>IF(G434="مدير ولائي",0,LOOKUP(D434,'f-travail'!A:A,'f-travail'!U:U)*(AF434+AG434))</f>
        <v>#N/A</v>
      </c>
      <c r="AP434" s="673" t="e">
        <f>IF(G434="مدير ولائي",0,LOOKUP(D434,'f-travail'!A:A,'f-travail'!V:V)*(AF434+AG434))</f>
        <v>#N/A</v>
      </c>
      <c r="AQ434" s="673" t="e">
        <f>IF(G434="مدير ولائي",0,LOOKUP(D434,'f-travail'!A:A,'f-travail'!W:W)*(AF434+AG434))</f>
        <v>#N/A</v>
      </c>
      <c r="AR434" s="673">
        <f t="shared" si="184"/>
        <v>0</v>
      </c>
      <c r="AS434" s="673" t="e">
        <f>IF(G434="مدير ولائي",0,LOOKUP(D434,'f-travail'!A:A,'f-travail'!X:X)*(AF434+AG434))</f>
        <v>#N/A</v>
      </c>
      <c r="AT434" s="673" t="e">
        <f>IF(G434="مدير ولائي",0,LOOKUP(D434,'f-travail'!Y:Y,'f-travail'!R:R)*(AF434+AG434))</f>
        <v>#N/A</v>
      </c>
      <c r="AU434" s="673">
        <f t="shared" si="174"/>
        <v>0</v>
      </c>
      <c r="AV434" s="673">
        <f t="shared" si="175"/>
        <v>0</v>
      </c>
      <c r="AW434" s="673">
        <f t="shared" si="176"/>
        <v>0</v>
      </c>
      <c r="AY434" s="640" t="e">
        <f t="shared" si="185"/>
        <v>#N/A</v>
      </c>
      <c r="AZ434" s="673" t="e">
        <f t="shared" si="177"/>
        <v>#N/A</v>
      </c>
      <c r="BA434" s="639" t="e">
        <f t="shared" si="178"/>
        <v>#N/A</v>
      </c>
      <c r="BG434" s="639">
        <f t="shared" si="186"/>
        <v>0</v>
      </c>
      <c r="BH434" s="683">
        <f t="shared" si="187"/>
        <v>0</v>
      </c>
      <c r="BI434" s="683">
        <f t="shared" si="188"/>
        <v>0</v>
      </c>
      <c r="BJ434" s="641" t="e">
        <f t="shared" si="189"/>
        <v>#N/A</v>
      </c>
      <c r="BK434" s="641" t="e">
        <f t="shared" si="190"/>
        <v>#N/A</v>
      </c>
      <c r="BL434" s="641" t="e">
        <f t="shared" si="191"/>
        <v>#N/A</v>
      </c>
      <c r="BM434" s="684" t="e">
        <f t="shared" si="192"/>
        <v>#N/A</v>
      </c>
      <c r="BO434" s="682" t="e">
        <f>CONCATENATE(Z434," ",LOOKUP(D434,'f-travail'!A:A,'f-travail'!F:F))</f>
        <v>#N/A</v>
      </c>
      <c r="BP434" s="669" t="e">
        <f t="shared" si="179"/>
        <v>#N/A</v>
      </c>
    </row>
    <row r="435" spans="1:68">
      <c r="A435" s="636">
        <f t="shared" si="193"/>
        <v>434</v>
      </c>
      <c r="B435" s="637"/>
      <c r="C435" s="637"/>
      <c r="D435" s="652"/>
      <c r="E435" s="679" t="e">
        <f>LOOKUP(D435,'f-travail'!A:A,'f-travail'!B:B)</f>
        <v>#N/A</v>
      </c>
      <c r="F435" s="650"/>
      <c r="G435" s="650"/>
      <c r="H435" s="653"/>
      <c r="I435" s="653"/>
      <c r="J435" s="654"/>
      <c r="K435" s="650"/>
      <c r="L435" s="650"/>
      <c r="M435" s="650">
        <v>0</v>
      </c>
      <c r="N435" s="654"/>
      <c r="O435" s="654"/>
      <c r="P435" s="654"/>
      <c r="Q435" s="654"/>
      <c r="R435" s="676"/>
      <c r="S435" s="654"/>
      <c r="T435" s="675"/>
      <c r="U435" s="675"/>
      <c r="V435" s="670" t="e">
        <f>LOOKUP(D435,'f-travail'!A:A,'f-travail'!E:E)</f>
        <v>#N/A</v>
      </c>
      <c r="W435" s="670" t="e">
        <f>VLOOKUP(V435,جرقمإستدلالي,'f-travail'!$AD$4+1,FALSE)</f>
        <v>#N/A</v>
      </c>
      <c r="X435" s="671" t="e">
        <f t="shared" si="169"/>
        <v>#N/A</v>
      </c>
      <c r="Y435" s="671">
        <f>IF(G435="مدير ولائي",(HLOOKUP(I435,جدروظعليا,'f-travail'!$AT$3+1,FALSE)-3200),0)</f>
        <v>0</v>
      </c>
      <c r="Z435" s="672" t="str">
        <f t="shared" si="180"/>
        <v/>
      </c>
      <c r="AA435" s="671">
        <f t="shared" si="181"/>
        <v>0</v>
      </c>
      <c r="AB435" s="677" t="b">
        <f t="shared" si="170"/>
        <v>0</v>
      </c>
      <c r="AC435" s="678">
        <f t="shared" si="182"/>
        <v>0</v>
      </c>
      <c r="AD435" s="673"/>
      <c r="AE435" s="678">
        <f t="shared" si="171"/>
        <v>0</v>
      </c>
      <c r="AF435" s="678" t="e">
        <f t="shared" si="172"/>
        <v>#N/A</v>
      </c>
      <c r="AG435" s="678" t="e">
        <f t="shared" si="173"/>
        <v>#N/A</v>
      </c>
      <c r="AH435" s="673">
        <f t="shared" si="183"/>
        <v>0</v>
      </c>
      <c r="AI435" s="674" t="e">
        <f>IF(G435="مدير ولائي",(11000*35%),LOOKUP(D435,'f-travail'!A:A,'f-travail'!I:I))</f>
        <v>#N/A</v>
      </c>
      <c r="AJ435" s="673" t="e">
        <f>IF(G435="مدير ولائي",((W435+X435)*45)*80%,IF(V435&lt;8,0,IF(F435="إليزي",(LOOKUP(D435,'f-travail'!A:A,'f-travail'!O:O))*(AF435+AG435),LOOKUP(D435,'f-travail'!A:A,'f-travail'!P:P)*(AF435+AG435))))</f>
        <v>#N/A</v>
      </c>
      <c r="AK435" s="673" t="e">
        <f>IF(G435="مدير ولائي",0,LOOKUP(D435,'f-travail'!A:A,'f-travail'!Q:Q))</f>
        <v>#N/A</v>
      </c>
      <c r="AL435" s="673" t="e">
        <f>IF(G435="مدير ولائي",0,LOOKUP(D435,'f-travail'!A:A,'f-travail'!R:R)*(AF435+AG435))</f>
        <v>#N/A</v>
      </c>
      <c r="AM435" s="673" t="e">
        <f>IF(G435="مدير ولائي",0,LOOKUP(D435,'f-travail'!A:A,'f-travail'!S:S)*(AF435+AG435))</f>
        <v>#N/A</v>
      </c>
      <c r="AN435" s="673" t="e">
        <f>IF(G435="مدير ولائي",0,LOOKUP(D435,'f-travail'!A:A,'f-travail'!T:T)*(AF435+AG435))</f>
        <v>#N/A</v>
      </c>
      <c r="AO435" s="673" t="e">
        <f>IF(G435="مدير ولائي",0,LOOKUP(D435,'f-travail'!A:A,'f-travail'!U:U)*(AF435+AG435))</f>
        <v>#N/A</v>
      </c>
      <c r="AP435" s="673" t="e">
        <f>IF(G435="مدير ولائي",0,LOOKUP(D435,'f-travail'!A:A,'f-travail'!V:V)*(AF435+AG435))</f>
        <v>#N/A</v>
      </c>
      <c r="AQ435" s="673" t="e">
        <f>IF(G435="مدير ولائي",0,LOOKUP(D435,'f-travail'!A:A,'f-travail'!W:W)*(AF435+AG435))</f>
        <v>#N/A</v>
      </c>
      <c r="AR435" s="673">
        <f t="shared" si="184"/>
        <v>0</v>
      </c>
      <c r="AS435" s="673" t="e">
        <f>IF(G435="مدير ولائي",0,LOOKUP(D435,'f-travail'!A:A,'f-travail'!X:X)*(AF435+AG435))</f>
        <v>#N/A</v>
      </c>
      <c r="AT435" s="673" t="e">
        <f>IF(G435="مدير ولائي",0,LOOKUP(D435,'f-travail'!Y:Y,'f-travail'!R:R)*(AF435+AG435))</f>
        <v>#N/A</v>
      </c>
      <c r="AU435" s="673">
        <f t="shared" si="174"/>
        <v>0</v>
      </c>
      <c r="AV435" s="673">
        <f t="shared" si="175"/>
        <v>0</v>
      </c>
      <c r="AW435" s="673">
        <f t="shared" si="176"/>
        <v>0</v>
      </c>
      <c r="AY435" s="640" t="e">
        <f t="shared" si="185"/>
        <v>#N/A</v>
      </c>
      <c r="AZ435" s="673" t="e">
        <f t="shared" si="177"/>
        <v>#N/A</v>
      </c>
      <c r="BA435" s="639" t="e">
        <f t="shared" si="178"/>
        <v>#N/A</v>
      </c>
      <c r="BG435" s="639">
        <f t="shared" si="186"/>
        <v>0</v>
      </c>
      <c r="BH435" s="683">
        <f t="shared" si="187"/>
        <v>0</v>
      </c>
      <c r="BI435" s="683">
        <f t="shared" si="188"/>
        <v>0</v>
      </c>
      <c r="BJ435" s="641" t="e">
        <f t="shared" si="189"/>
        <v>#N/A</v>
      </c>
      <c r="BK435" s="641" t="e">
        <f t="shared" si="190"/>
        <v>#N/A</v>
      </c>
      <c r="BL435" s="641" t="e">
        <f t="shared" si="191"/>
        <v>#N/A</v>
      </c>
      <c r="BM435" s="684" t="e">
        <f t="shared" si="192"/>
        <v>#N/A</v>
      </c>
      <c r="BO435" s="682" t="e">
        <f>CONCATENATE(Z435," ",LOOKUP(D435,'f-travail'!A:A,'f-travail'!F:F))</f>
        <v>#N/A</v>
      </c>
      <c r="BP435" s="669" t="e">
        <f t="shared" si="179"/>
        <v>#N/A</v>
      </c>
    </row>
    <row r="436" spans="1:68">
      <c r="A436" s="636">
        <f t="shared" si="193"/>
        <v>435</v>
      </c>
      <c r="B436" s="637"/>
      <c r="C436" s="637"/>
      <c r="D436" s="652"/>
      <c r="E436" s="679" t="e">
        <f>LOOKUP(D436,'f-travail'!A:A,'f-travail'!B:B)</f>
        <v>#N/A</v>
      </c>
      <c r="F436" s="650"/>
      <c r="G436" s="650"/>
      <c r="H436" s="653"/>
      <c r="I436" s="653"/>
      <c r="J436" s="654"/>
      <c r="K436" s="650"/>
      <c r="L436" s="650"/>
      <c r="M436" s="650">
        <v>0</v>
      </c>
      <c r="N436" s="654"/>
      <c r="O436" s="654"/>
      <c r="P436" s="654"/>
      <c r="Q436" s="654"/>
      <c r="R436" s="676"/>
      <c r="S436" s="654"/>
      <c r="T436" s="675"/>
      <c r="U436" s="675"/>
      <c r="V436" s="670" t="e">
        <f>LOOKUP(D436,'f-travail'!A:A,'f-travail'!E:E)</f>
        <v>#N/A</v>
      </c>
      <c r="W436" s="670" t="e">
        <f>VLOOKUP(V436,جرقمإستدلالي,'f-travail'!$AD$4+1,FALSE)</f>
        <v>#N/A</v>
      </c>
      <c r="X436" s="671" t="e">
        <f t="shared" si="169"/>
        <v>#N/A</v>
      </c>
      <c r="Y436" s="671">
        <f>IF(G436="مدير ولائي",(HLOOKUP(I436,جدروظعليا,'f-travail'!$AT$3+1,FALSE)-3200),0)</f>
        <v>0</v>
      </c>
      <c r="Z436" s="672" t="str">
        <f t="shared" si="180"/>
        <v/>
      </c>
      <c r="AA436" s="671">
        <f t="shared" si="181"/>
        <v>0</v>
      </c>
      <c r="AB436" s="677" t="b">
        <f t="shared" si="170"/>
        <v>0</v>
      </c>
      <c r="AC436" s="678">
        <f t="shared" si="182"/>
        <v>0</v>
      </c>
      <c r="AD436" s="673"/>
      <c r="AE436" s="678">
        <f t="shared" si="171"/>
        <v>0</v>
      </c>
      <c r="AF436" s="678" t="e">
        <f t="shared" si="172"/>
        <v>#N/A</v>
      </c>
      <c r="AG436" s="678" t="e">
        <f t="shared" si="173"/>
        <v>#N/A</v>
      </c>
      <c r="AH436" s="673">
        <f t="shared" si="183"/>
        <v>0</v>
      </c>
      <c r="AI436" s="674" t="e">
        <f>IF(G436="مدير ولائي",(11000*35%),LOOKUP(D436,'f-travail'!A:A,'f-travail'!I:I))</f>
        <v>#N/A</v>
      </c>
      <c r="AJ436" s="673" t="e">
        <f>IF(G436="مدير ولائي",((W436+X436)*45)*80%,IF(V436&lt;8,0,IF(F436="إليزي",(LOOKUP(D436,'f-travail'!A:A,'f-travail'!O:O))*(AF436+AG436),LOOKUP(D436,'f-travail'!A:A,'f-travail'!P:P)*(AF436+AG436))))</f>
        <v>#N/A</v>
      </c>
      <c r="AK436" s="673" t="e">
        <f>IF(G436="مدير ولائي",0,LOOKUP(D436,'f-travail'!A:A,'f-travail'!Q:Q))</f>
        <v>#N/A</v>
      </c>
      <c r="AL436" s="673" t="e">
        <f>IF(G436="مدير ولائي",0,LOOKUP(D436,'f-travail'!A:A,'f-travail'!R:R)*(AF436+AG436))</f>
        <v>#N/A</v>
      </c>
      <c r="AM436" s="673" t="e">
        <f>IF(G436="مدير ولائي",0,LOOKUP(D436,'f-travail'!A:A,'f-travail'!S:S)*(AF436+AG436))</f>
        <v>#N/A</v>
      </c>
      <c r="AN436" s="673" t="e">
        <f>IF(G436="مدير ولائي",0,LOOKUP(D436,'f-travail'!A:A,'f-travail'!T:T)*(AF436+AG436))</f>
        <v>#N/A</v>
      </c>
      <c r="AO436" s="673" t="e">
        <f>IF(G436="مدير ولائي",0,LOOKUP(D436,'f-travail'!A:A,'f-travail'!U:U)*(AF436+AG436))</f>
        <v>#N/A</v>
      </c>
      <c r="AP436" s="673" t="e">
        <f>IF(G436="مدير ولائي",0,LOOKUP(D436,'f-travail'!A:A,'f-travail'!V:V)*(AF436+AG436))</f>
        <v>#N/A</v>
      </c>
      <c r="AQ436" s="673" t="e">
        <f>IF(G436="مدير ولائي",0,LOOKUP(D436,'f-travail'!A:A,'f-travail'!W:W)*(AF436+AG436))</f>
        <v>#N/A</v>
      </c>
      <c r="AR436" s="673">
        <f t="shared" si="184"/>
        <v>0</v>
      </c>
      <c r="AS436" s="673" t="e">
        <f>IF(G436="مدير ولائي",0,LOOKUP(D436,'f-travail'!A:A,'f-travail'!X:X)*(AF436+AG436))</f>
        <v>#N/A</v>
      </c>
      <c r="AT436" s="673" t="e">
        <f>IF(G436="مدير ولائي",0,LOOKUP(D436,'f-travail'!Y:Y,'f-travail'!R:R)*(AF436+AG436))</f>
        <v>#N/A</v>
      </c>
      <c r="AU436" s="673">
        <f t="shared" si="174"/>
        <v>0</v>
      </c>
      <c r="AV436" s="673">
        <f t="shared" si="175"/>
        <v>0</v>
      </c>
      <c r="AW436" s="673">
        <f t="shared" si="176"/>
        <v>0</v>
      </c>
      <c r="AY436" s="640" t="e">
        <f t="shared" si="185"/>
        <v>#N/A</v>
      </c>
      <c r="AZ436" s="673" t="e">
        <f t="shared" si="177"/>
        <v>#N/A</v>
      </c>
      <c r="BA436" s="639" t="e">
        <f t="shared" si="178"/>
        <v>#N/A</v>
      </c>
      <c r="BG436" s="639">
        <f t="shared" si="186"/>
        <v>0</v>
      </c>
      <c r="BH436" s="683">
        <f t="shared" si="187"/>
        <v>0</v>
      </c>
      <c r="BI436" s="683">
        <f t="shared" si="188"/>
        <v>0</v>
      </c>
      <c r="BJ436" s="641" t="e">
        <f t="shared" si="189"/>
        <v>#N/A</v>
      </c>
      <c r="BK436" s="641" t="e">
        <f t="shared" si="190"/>
        <v>#N/A</v>
      </c>
      <c r="BL436" s="641" t="e">
        <f t="shared" si="191"/>
        <v>#N/A</v>
      </c>
      <c r="BM436" s="684" t="e">
        <f t="shared" si="192"/>
        <v>#N/A</v>
      </c>
      <c r="BO436" s="682" t="e">
        <f>CONCATENATE(Z436," ",LOOKUP(D436,'f-travail'!A:A,'f-travail'!F:F))</f>
        <v>#N/A</v>
      </c>
      <c r="BP436" s="669" t="e">
        <f t="shared" si="179"/>
        <v>#N/A</v>
      </c>
    </row>
    <row r="437" spans="1:68">
      <c r="A437" s="636">
        <f t="shared" si="193"/>
        <v>436</v>
      </c>
      <c r="B437" s="637"/>
      <c r="C437" s="637"/>
      <c r="D437" s="652"/>
      <c r="E437" s="679" t="e">
        <f>LOOKUP(D437,'f-travail'!A:A,'f-travail'!B:B)</f>
        <v>#N/A</v>
      </c>
      <c r="F437" s="650"/>
      <c r="G437" s="650"/>
      <c r="H437" s="653"/>
      <c r="I437" s="653"/>
      <c r="J437" s="654"/>
      <c r="K437" s="650"/>
      <c r="L437" s="650"/>
      <c r="M437" s="650">
        <v>0</v>
      </c>
      <c r="N437" s="654"/>
      <c r="O437" s="654"/>
      <c r="P437" s="654"/>
      <c r="Q437" s="654"/>
      <c r="R437" s="676"/>
      <c r="S437" s="654"/>
      <c r="T437" s="675"/>
      <c r="U437" s="675"/>
      <c r="V437" s="670" t="e">
        <f>LOOKUP(D437,'f-travail'!A:A,'f-travail'!E:E)</f>
        <v>#N/A</v>
      </c>
      <c r="W437" s="670" t="e">
        <f>VLOOKUP(V437,جرقمإستدلالي,'f-travail'!$AD$4+1,FALSE)</f>
        <v>#N/A</v>
      </c>
      <c r="X437" s="671" t="e">
        <f t="shared" si="169"/>
        <v>#N/A</v>
      </c>
      <c r="Y437" s="671">
        <f>IF(G437="مدير ولائي",(HLOOKUP(I437,جدروظعليا,'f-travail'!$AT$3+1,FALSE)-3200),0)</f>
        <v>0</v>
      </c>
      <c r="Z437" s="672" t="str">
        <f t="shared" si="180"/>
        <v/>
      </c>
      <c r="AA437" s="671">
        <f t="shared" si="181"/>
        <v>0</v>
      </c>
      <c r="AB437" s="677" t="b">
        <f t="shared" si="170"/>
        <v>0</v>
      </c>
      <c r="AC437" s="678">
        <f t="shared" si="182"/>
        <v>0</v>
      </c>
      <c r="AD437" s="673"/>
      <c r="AE437" s="678">
        <f t="shared" si="171"/>
        <v>0</v>
      </c>
      <c r="AF437" s="678" t="e">
        <f t="shared" si="172"/>
        <v>#N/A</v>
      </c>
      <c r="AG437" s="678" t="e">
        <f t="shared" si="173"/>
        <v>#N/A</v>
      </c>
      <c r="AH437" s="673">
        <f t="shared" si="183"/>
        <v>0</v>
      </c>
      <c r="AI437" s="674" t="e">
        <f>IF(G437="مدير ولائي",(11000*35%),LOOKUP(D437,'f-travail'!A:A,'f-travail'!I:I))</f>
        <v>#N/A</v>
      </c>
      <c r="AJ437" s="673" t="e">
        <f>IF(G437="مدير ولائي",((W437+X437)*45)*80%,IF(V437&lt;8,0,IF(F437="إليزي",(LOOKUP(D437,'f-travail'!A:A,'f-travail'!O:O))*(AF437+AG437),LOOKUP(D437,'f-travail'!A:A,'f-travail'!P:P)*(AF437+AG437))))</f>
        <v>#N/A</v>
      </c>
      <c r="AK437" s="673" t="e">
        <f>IF(G437="مدير ولائي",0,LOOKUP(D437,'f-travail'!A:A,'f-travail'!Q:Q))</f>
        <v>#N/A</v>
      </c>
      <c r="AL437" s="673" t="e">
        <f>IF(G437="مدير ولائي",0,LOOKUP(D437,'f-travail'!A:A,'f-travail'!R:R)*(AF437+AG437))</f>
        <v>#N/A</v>
      </c>
      <c r="AM437" s="673" t="e">
        <f>IF(G437="مدير ولائي",0,LOOKUP(D437,'f-travail'!A:A,'f-travail'!S:S)*(AF437+AG437))</f>
        <v>#N/A</v>
      </c>
      <c r="AN437" s="673" t="e">
        <f>IF(G437="مدير ولائي",0,LOOKUP(D437,'f-travail'!A:A,'f-travail'!T:T)*(AF437+AG437))</f>
        <v>#N/A</v>
      </c>
      <c r="AO437" s="673" t="e">
        <f>IF(G437="مدير ولائي",0,LOOKUP(D437,'f-travail'!A:A,'f-travail'!U:U)*(AF437+AG437))</f>
        <v>#N/A</v>
      </c>
      <c r="AP437" s="673" t="e">
        <f>IF(G437="مدير ولائي",0,LOOKUP(D437,'f-travail'!A:A,'f-travail'!V:V)*(AF437+AG437))</f>
        <v>#N/A</v>
      </c>
      <c r="AQ437" s="673" t="e">
        <f>IF(G437="مدير ولائي",0,LOOKUP(D437,'f-travail'!A:A,'f-travail'!W:W)*(AF437+AG437))</f>
        <v>#N/A</v>
      </c>
      <c r="AR437" s="673">
        <f t="shared" si="184"/>
        <v>0</v>
      </c>
      <c r="AS437" s="673" t="e">
        <f>IF(G437="مدير ولائي",0,LOOKUP(D437,'f-travail'!A:A,'f-travail'!X:X)*(AF437+AG437))</f>
        <v>#N/A</v>
      </c>
      <c r="AT437" s="673" t="e">
        <f>IF(G437="مدير ولائي",0,LOOKUP(D437,'f-travail'!Y:Y,'f-travail'!R:R)*(AF437+AG437))</f>
        <v>#N/A</v>
      </c>
      <c r="AU437" s="673">
        <f t="shared" si="174"/>
        <v>0</v>
      </c>
      <c r="AV437" s="673">
        <f t="shared" si="175"/>
        <v>0</v>
      </c>
      <c r="AW437" s="673">
        <f t="shared" si="176"/>
        <v>0</v>
      </c>
      <c r="AY437" s="640" t="e">
        <f t="shared" si="185"/>
        <v>#N/A</v>
      </c>
      <c r="AZ437" s="673" t="e">
        <f t="shared" si="177"/>
        <v>#N/A</v>
      </c>
      <c r="BA437" s="639" t="e">
        <f t="shared" si="178"/>
        <v>#N/A</v>
      </c>
      <c r="BG437" s="639">
        <f t="shared" si="186"/>
        <v>0</v>
      </c>
      <c r="BH437" s="683">
        <f t="shared" si="187"/>
        <v>0</v>
      </c>
      <c r="BI437" s="683">
        <f t="shared" si="188"/>
        <v>0</v>
      </c>
      <c r="BJ437" s="641" t="e">
        <f t="shared" si="189"/>
        <v>#N/A</v>
      </c>
      <c r="BK437" s="641" t="e">
        <f t="shared" si="190"/>
        <v>#N/A</v>
      </c>
      <c r="BL437" s="641" t="e">
        <f t="shared" si="191"/>
        <v>#N/A</v>
      </c>
      <c r="BM437" s="684" t="e">
        <f t="shared" si="192"/>
        <v>#N/A</v>
      </c>
      <c r="BO437" s="682" t="e">
        <f>CONCATENATE(Z437," ",LOOKUP(D437,'f-travail'!A:A,'f-travail'!F:F))</f>
        <v>#N/A</v>
      </c>
      <c r="BP437" s="669" t="e">
        <f t="shared" si="179"/>
        <v>#N/A</v>
      </c>
    </row>
    <row r="438" spans="1:68">
      <c r="A438" s="636">
        <f t="shared" si="193"/>
        <v>437</v>
      </c>
      <c r="B438" s="637"/>
      <c r="C438" s="637"/>
      <c r="D438" s="652"/>
      <c r="E438" s="679" t="e">
        <f>LOOKUP(D438,'f-travail'!A:A,'f-travail'!B:B)</f>
        <v>#N/A</v>
      </c>
      <c r="F438" s="650"/>
      <c r="G438" s="650"/>
      <c r="H438" s="653"/>
      <c r="I438" s="653"/>
      <c r="J438" s="654"/>
      <c r="K438" s="650"/>
      <c r="L438" s="650"/>
      <c r="M438" s="650">
        <v>0</v>
      </c>
      <c r="N438" s="654"/>
      <c r="O438" s="654"/>
      <c r="P438" s="654"/>
      <c r="Q438" s="654"/>
      <c r="R438" s="676"/>
      <c r="S438" s="654"/>
      <c r="T438" s="675"/>
      <c r="U438" s="675"/>
      <c r="V438" s="670" t="e">
        <f>LOOKUP(D438,'f-travail'!A:A,'f-travail'!E:E)</f>
        <v>#N/A</v>
      </c>
      <c r="W438" s="670" t="e">
        <f>VLOOKUP(V438,جرقمإستدلالي,'f-travail'!$AD$4+1,FALSE)</f>
        <v>#N/A</v>
      </c>
      <c r="X438" s="671" t="e">
        <f t="shared" si="169"/>
        <v>#N/A</v>
      </c>
      <c r="Y438" s="671">
        <f>IF(G438="مدير ولائي",(HLOOKUP(I438,جدروظعليا,'f-travail'!$AT$3+1,FALSE)-3200),0)</f>
        <v>0</v>
      </c>
      <c r="Z438" s="672" t="str">
        <f t="shared" si="180"/>
        <v/>
      </c>
      <c r="AA438" s="671">
        <f t="shared" si="181"/>
        <v>0</v>
      </c>
      <c r="AB438" s="677" t="b">
        <f t="shared" si="170"/>
        <v>0</v>
      </c>
      <c r="AC438" s="678">
        <f t="shared" si="182"/>
        <v>0</v>
      </c>
      <c r="AD438" s="673"/>
      <c r="AE438" s="678">
        <f t="shared" si="171"/>
        <v>0</v>
      </c>
      <c r="AF438" s="678" t="e">
        <f t="shared" si="172"/>
        <v>#N/A</v>
      </c>
      <c r="AG438" s="678" t="e">
        <f t="shared" si="173"/>
        <v>#N/A</v>
      </c>
      <c r="AH438" s="673">
        <f t="shared" si="183"/>
        <v>0</v>
      </c>
      <c r="AI438" s="674" t="e">
        <f>IF(G438="مدير ولائي",(11000*35%),LOOKUP(D438,'f-travail'!A:A,'f-travail'!I:I))</f>
        <v>#N/A</v>
      </c>
      <c r="AJ438" s="673" t="e">
        <f>IF(G438="مدير ولائي",((W438+X438)*45)*80%,IF(V438&lt;8,0,IF(F438="إليزي",(LOOKUP(D438,'f-travail'!A:A,'f-travail'!O:O))*(AF438+AG438),LOOKUP(D438,'f-travail'!A:A,'f-travail'!P:P)*(AF438+AG438))))</f>
        <v>#N/A</v>
      </c>
      <c r="AK438" s="673" t="e">
        <f>IF(G438="مدير ولائي",0,LOOKUP(D438,'f-travail'!A:A,'f-travail'!Q:Q))</f>
        <v>#N/A</v>
      </c>
      <c r="AL438" s="673" t="e">
        <f>IF(G438="مدير ولائي",0,LOOKUP(D438,'f-travail'!A:A,'f-travail'!R:R)*(AF438+AG438))</f>
        <v>#N/A</v>
      </c>
      <c r="AM438" s="673" t="e">
        <f>IF(G438="مدير ولائي",0,LOOKUP(D438,'f-travail'!A:A,'f-travail'!S:S)*(AF438+AG438))</f>
        <v>#N/A</v>
      </c>
      <c r="AN438" s="673" t="e">
        <f>IF(G438="مدير ولائي",0,LOOKUP(D438,'f-travail'!A:A,'f-travail'!T:T)*(AF438+AG438))</f>
        <v>#N/A</v>
      </c>
      <c r="AO438" s="673" t="e">
        <f>IF(G438="مدير ولائي",0,LOOKUP(D438,'f-travail'!A:A,'f-travail'!U:U)*(AF438+AG438))</f>
        <v>#N/A</v>
      </c>
      <c r="AP438" s="673" t="e">
        <f>IF(G438="مدير ولائي",0,LOOKUP(D438,'f-travail'!A:A,'f-travail'!V:V)*(AF438+AG438))</f>
        <v>#N/A</v>
      </c>
      <c r="AQ438" s="673" t="e">
        <f>IF(G438="مدير ولائي",0,LOOKUP(D438,'f-travail'!A:A,'f-travail'!W:W)*(AF438+AG438))</f>
        <v>#N/A</v>
      </c>
      <c r="AR438" s="673">
        <f t="shared" si="184"/>
        <v>0</v>
      </c>
      <c r="AS438" s="673" t="e">
        <f>IF(G438="مدير ولائي",0,LOOKUP(D438,'f-travail'!A:A,'f-travail'!X:X)*(AF438+AG438))</f>
        <v>#N/A</v>
      </c>
      <c r="AT438" s="673" t="e">
        <f>IF(G438="مدير ولائي",0,LOOKUP(D438,'f-travail'!Y:Y,'f-travail'!R:R)*(AF438+AG438))</f>
        <v>#N/A</v>
      </c>
      <c r="AU438" s="673">
        <f t="shared" si="174"/>
        <v>0</v>
      </c>
      <c r="AV438" s="673">
        <f t="shared" si="175"/>
        <v>0</v>
      </c>
      <c r="AW438" s="673">
        <f t="shared" si="176"/>
        <v>0</v>
      </c>
      <c r="AY438" s="640" t="e">
        <f t="shared" si="185"/>
        <v>#N/A</v>
      </c>
      <c r="AZ438" s="673" t="e">
        <f t="shared" si="177"/>
        <v>#N/A</v>
      </c>
      <c r="BA438" s="639" t="e">
        <f t="shared" si="178"/>
        <v>#N/A</v>
      </c>
      <c r="BG438" s="639">
        <f t="shared" si="186"/>
        <v>0</v>
      </c>
      <c r="BH438" s="683">
        <f t="shared" si="187"/>
        <v>0</v>
      </c>
      <c r="BI438" s="683">
        <f t="shared" si="188"/>
        <v>0</v>
      </c>
      <c r="BJ438" s="641" t="e">
        <f t="shared" si="189"/>
        <v>#N/A</v>
      </c>
      <c r="BK438" s="641" t="e">
        <f t="shared" si="190"/>
        <v>#N/A</v>
      </c>
      <c r="BL438" s="641" t="e">
        <f t="shared" si="191"/>
        <v>#N/A</v>
      </c>
      <c r="BM438" s="684" t="e">
        <f t="shared" si="192"/>
        <v>#N/A</v>
      </c>
      <c r="BO438" s="682" t="e">
        <f>CONCATENATE(Z438," ",LOOKUP(D438,'f-travail'!A:A,'f-travail'!F:F))</f>
        <v>#N/A</v>
      </c>
      <c r="BP438" s="669" t="e">
        <f t="shared" si="179"/>
        <v>#N/A</v>
      </c>
    </row>
    <row r="439" spans="1:68">
      <c r="A439" s="636">
        <f t="shared" si="193"/>
        <v>438</v>
      </c>
      <c r="B439" s="637"/>
      <c r="C439" s="637"/>
      <c r="D439" s="652"/>
      <c r="E439" s="679" t="e">
        <f>LOOKUP(D439,'f-travail'!A:A,'f-travail'!B:B)</f>
        <v>#N/A</v>
      </c>
      <c r="F439" s="650"/>
      <c r="G439" s="650"/>
      <c r="H439" s="653"/>
      <c r="I439" s="653"/>
      <c r="J439" s="654"/>
      <c r="K439" s="650"/>
      <c r="L439" s="650"/>
      <c r="M439" s="650">
        <v>0</v>
      </c>
      <c r="N439" s="654"/>
      <c r="O439" s="654"/>
      <c r="P439" s="654"/>
      <c r="Q439" s="654"/>
      <c r="R439" s="676"/>
      <c r="S439" s="654"/>
      <c r="T439" s="675"/>
      <c r="U439" s="675"/>
      <c r="V439" s="670" t="e">
        <f>LOOKUP(D439,'f-travail'!A:A,'f-travail'!E:E)</f>
        <v>#N/A</v>
      </c>
      <c r="W439" s="670" t="e">
        <f>VLOOKUP(V439,جرقمإستدلالي,'f-travail'!$AD$4+1,FALSE)</f>
        <v>#N/A</v>
      </c>
      <c r="X439" s="671" t="e">
        <f t="shared" si="169"/>
        <v>#N/A</v>
      </c>
      <c r="Y439" s="671">
        <f>IF(G439="مدير ولائي",(HLOOKUP(I439,جدروظعليا,'f-travail'!$AT$3+1,FALSE)-3200),0)</f>
        <v>0</v>
      </c>
      <c r="Z439" s="672" t="str">
        <f t="shared" si="180"/>
        <v/>
      </c>
      <c r="AA439" s="671">
        <f t="shared" si="181"/>
        <v>0</v>
      </c>
      <c r="AB439" s="677" t="b">
        <f t="shared" si="170"/>
        <v>0</v>
      </c>
      <c r="AC439" s="678">
        <f t="shared" si="182"/>
        <v>0</v>
      </c>
      <c r="AD439" s="673"/>
      <c r="AE439" s="678">
        <f t="shared" si="171"/>
        <v>0</v>
      </c>
      <c r="AF439" s="678" t="e">
        <f t="shared" si="172"/>
        <v>#N/A</v>
      </c>
      <c r="AG439" s="678" t="e">
        <f t="shared" si="173"/>
        <v>#N/A</v>
      </c>
      <c r="AH439" s="673">
        <f t="shared" si="183"/>
        <v>0</v>
      </c>
      <c r="AI439" s="674" t="e">
        <f>IF(G439="مدير ولائي",(11000*35%),LOOKUP(D439,'f-travail'!A:A,'f-travail'!I:I))</f>
        <v>#N/A</v>
      </c>
      <c r="AJ439" s="673" t="e">
        <f>IF(G439="مدير ولائي",((W439+X439)*45)*80%,IF(V439&lt;8,0,IF(F439="إليزي",(LOOKUP(D439,'f-travail'!A:A,'f-travail'!O:O))*(AF439+AG439),LOOKUP(D439,'f-travail'!A:A,'f-travail'!P:P)*(AF439+AG439))))</f>
        <v>#N/A</v>
      </c>
      <c r="AK439" s="673" t="e">
        <f>IF(G439="مدير ولائي",0,LOOKUP(D439,'f-travail'!A:A,'f-travail'!Q:Q))</f>
        <v>#N/A</v>
      </c>
      <c r="AL439" s="673" t="e">
        <f>IF(G439="مدير ولائي",0,LOOKUP(D439,'f-travail'!A:A,'f-travail'!R:R)*(AF439+AG439))</f>
        <v>#N/A</v>
      </c>
      <c r="AM439" s="673" t="e">
        <f>IF(G439="مدير ولائي",0,LOOKUP(D439,'f-travail'!A:A,'f-travail'!S:S)*(AF439+AG439))</f>
        <v>#N/A</v>
      </c>
      <c r="AN439" s="673" t="e">
        <f>IF(G439="مدير ولائي",0,LOOKUP(D439,'f-travail'!A:A,'f-travail'!T:T)*(AF439+AG439))</f>
        <v>#N/A</v>
      </c>
      <c r="AO439" s="673" t="e">
        <f>IF(G439="مدير ولائي",0,LOOKUP(D439,'f-travail'!A:A,'f-travail'!U:U)*(AF439+AG439))</f>
        <v>#N/A</v>
      </c>
      <c r="AP439" s="673" t="e">
        <f>IF(G439="مدير ولائي",0,LOOKUP(D439,'f-travail'!A:A,'f-travail'!V:V)*(AF439+AG439))</f>
        <v>#N/A</v>
      </c>
      <c r="AQ439" s="673" t="e">
        <f>IF(G439="مدير ولائي",0,LOOKUP(D439,'f-travail'!A:A,'f-travail'!W:W)*(AF439+AG439))</f>
        <v>#N/A</v>
      </c>
      <c r="AR439" s="673">
        <f t="shared" si="184"/>
        <v>0</v>
      </c>
      <c r="AS439" s="673" t="e">
        <f>IF(G439="مدير ولائي",0,LOOKUP(D439,'f-travail'!A:A,'f-travail'!X:X)*(AF439+AG439))</f>
        <v>#N/A</v>
      </c>
      <c r="AT439" s="673" t="e">
        <f>IF(G439="مدير ولائي",0,LOOKUP(D439,'f-travail'!Y:Y,'f-travail'!R:R)*(AF439+AG439))</f>
        <v>#N/A</v>
      </c>
      <c r="AU439" s="673">
        <f t="shared" si="174"/>
        <v>0</v>
      </c>
      <c r="AV439" s="673">
        <f t="shared" si="175"/>
        <v>0</v>
      </c>
      <c r="AW439" s="673">
        <f t="shared" si="176"/>
        <v>0</v>
      </c>
      <c r="AY439" s="640" t="e">
        <f t="shared" si="185"/>
        <v>#N/A</v>
      </c>
      <c r="AZ439" s="673" t="e">
        <f t="shared" si="177"/>
        <v>#N/A</v>
      </c>
      <c r="BA439" s="639" t="e">
        <f t="shared" si="178"/>
        <v>#N/A</v>
      </c>
      <c r="BG439" s="639">
        <f t="shared" si="186"/>
        <v>0</v>
      </c>
      <c r="BH439" s="683">
        <f t="shared" si="187"/>
        <v>0</v>
      </c>
      <c r="BI439" s="683">
        <f t="shared" si="188"/>
        <v>0</v>
      </c>
      <c r="BJ439" s="641" t="e">
        <f t="shared" si="189"/>
        <v>#N/A</v>
      </c>
      <c r="BK439" s="641" t="e">
        <f t="shared" si="190"/>
        <v>#N/A</v>
      </c>
      <c r="BL439" s="641" t="e">
        <f t="shared" si="191"/>
        <v>#N/A</v>
      </c>
      <c r="BM439" s="684" t="e">
        <f t="shared" si="192"/>
        <v>#N/A</v>
      </c>
      <c r="BO439" s="682" t="e">
        <f>CONCATENATE(Z439," ",LOOKUP(D439,'f-travail'!A:A,'f-travail'!F:F))</f>
        <v>#N/A</v>
      </c>
      <c r="BP439" s="669" t="e">
        <f t="shared" si="179"/>
        <v>#N/A</v>
      </c>
    </row>
    <row r="440" spans="1:68">
      <c r="A440" s="636">
        <f t="shared" si="193"/>
        <v>439</v>
      </c>
      <c r="B440" s="637"/>
      <c r="C440" s="637"/>
      <c r="D440" s="652"/>
      <c r="E440" s="679" t="e">
        <f>LOOKUP(D440,'f-travail'!A:A,'f-travail'!B:B)</f>
        <v>#N/A</v>
      </c>
      <c r="F440" s="650"/>
      <c r="G440" s="650"/>
      <c r="H440" s="653"/>
      <c r="I440" s="653"/>
      <c r="J440" s="654"/>
      <c r="K440" s="650"/>
      <c r="L440" s="650"/>
      <c r="M440" s="650">
        <v>0</v>
      </c>
      <c r="N440" s="654"/>
      <c r="O440" s="654"/>
      <c r="P440" s="654"/>
      <c r="Q440" s="654"/>
      <c r="R440" s="676"/>
      <c r="S440" s="654"/>
      <c r="T440" s="675"/>
      <c r="U440" s="675"/>
      <c r="V440" s="670" t="e">
        <f>LOOKUP(D440,'f-travail'!A:A,'f-travail'!E:E)</f>
        <v>#N/A</v>
      </c>
      <c r="W440" s="670" t="e">
        <f>VLOOKUP(V440,جرقمإستدلالي,'f-travail'!$AD$4+1,FALSE)</f>
        <v>#N/A</v>
      </c>
      <c r="X440" s="671" t="e">
        <f t="shared" si="169"/>
        <v>#N/A</v>
      </c>
      <c r="Y440" s="671">
        <f>IF(G440="مدير ولائي",(HLOOKUP(I440,جدروظعليا,'f-travail'!$AT$3+1,FALSE)-3200),0)</f>
        <v>0</v>
      </c>
      <c r="Z440" s="672" t="str">
        <f t="shared" si="180"/>
        <v/>
      </c>
      <c r="AA440" s="671">
        <f t="shared" si="181"/>
        <v>0</v>
      </c>
      <c r="AB440" s="677" t="b">
        <f t="shared" si="170"/>
        <v>0</v>
      </c>
      <c r="AC440" s="678">
        <f t="shared" si="182"/>
        <v>0</v>
      </c>
      <c r="AD440" s="673"/>
      <c r="AE440" s="678">
        <f t="shared" si="171"/>
        <v>0</v>
      </c>
      <c r="AF440" s="678" t="e">
        <f t="shared" si="172"/>
        <v>#N/A</v>
      </c>
      <c r="AG440" s="678" t="e">
        <f t="shared" si="173"/>
        <v>#N/A</v>
      </c>
      <c r="AH440" s="673">
        <f t="shared" si="183"/>
        <v>0</v>
      </c>
      <c r="AI440" s="674" t="e">
        <f>IF(G440="مدير ولائي",(11000*35%),LOOKUP(D440,'f-travail'!A:A,'f-travail'!I:I))</f>
        <v>#N/A</v>
      </c>
      <c r="AJ440" s="673" t="e">
        <f>IF(G440="مدير ولائي",((W440+X440)*45)*80%,IF(V440&lt;8,0,IF(F440="إليزي",(LOOKUP(D440,'f-travail'!A:A,'f-travail'!O:O))*(AF440+AG440),LOOKUP(D440,'f-travail'!A:A,'f-travail'!P:P)*(AF440+AG440))))</f>
        <v>#N/A</v>
      </c>
      <c r="AK440" s="673" t="e">
        <f>IF(G440="مدير ولائي",0,LOOKUP(D440,'f-travail'!A:A,'f-travail'!Q:Q))</f>
        <v>#N/A</v>
      </c>
      <c r="AL440" s="673" t="e">
        <f>IF(G440="مدير ولائي",0,LOOKUP(D440,'f-travail'!A:A,'f-travail'!R:R)*(AF440+AG440))</f>
        <v>#N/A</v>
      </c>
      <c r="AM440" s="673" t="e">
        <f>IF(G440="مدير ولائي",0,LOOKUP(D440,'f-travail'!A:A,'f-travail'!S:S)*(AF440+AG440))</f>
        <v>#N/A</v>
      </c>
      <c r="AN440" s="673" t="e">
        <f>IF(G440="مدير ولائي",0,LOOKUP(D440,'f-travail'!A:A,'f-travail'!T:T)*(AF440+AG440))</f>
        <v>#N/A</v>
      </c>
      <c r="AO440" s="673" t="e">
        <f>IF(G440="مدير ولائي",0,LOOKUP(D440,'f-travail'!A:A,'f-travail'!U:U)*(AF440+AG440))</f>
        <v>#N/A</v>
      </c>
      <c r="AP440" s="673" t="e">
        <f>IF(G440="مدير ولائي",0,LOOKUP(D440,'f-travail'!A:A,'f-travail'!V:V)*(AF440+AG440))</f>
        <v>#N/A</v>
      </c>
      <c r="AQ440" s="673" t="e">
        <f>IF(G440="مدير ولائي",0,LOOKUP(D440,'f-travail'!A:A,'f-travail'!W:W)*(AF440+AG440))</f>
        <v>#N/A</v>
      </c>
      <c r="AR440" s="673">
        <f t="shared" si="184"/>
        <v>0</v>
      </c>
      <c r="AS440" s="673" t="e">
        <f>IF(G440="مدير ولائي",0,LOOKUP(D440,'f-travail'!A:A,'f-travail'!X:X)*(AF440+AG440))</f>
        <v>#N/A</v>
      </c>
      <c r="AT440" s="673" t="e">
        <f>IF(G440="مدير ولائي",0,LOOKUP(D440,'f-travail'!Y:Y,'f-travail'!R:R)*(AF440+AG440))</f>
        <v>#N/A</v>
      </c>
      <c r="AU440" s="673">
        <f t="shared" si="174"/>
        <v>0</v>
      </c>
      <c r="AV440" s="673">
        <f t="shared" si="175"/>
        <v>0</v>
      </c>
      <c r="AW440" s="673">
        <f t="shared" si="176"/>
        <v>0</v>
      </c>
      <c r="AY440" s="640" t="e">
        <f t="shared" si="185"/>
        <v>#N/A</v>
      </c>
      <c r="AZ440" s="673" t="e">
        <f t="shared" si="177"/>
        <v>#N/A</v>
      </c>
      <c r="BA440" s="639" t="e">
        <f t="shared" si="178"/>
        <v>#N/A</v>
      </c>
      <c r="BG440" s="639">
        <f t="shared" si="186"/>
        <v>0</v>
      </c>
      <c r="BH440" s="683">
        <f t="shared" si="187"/>
        <v>0</v>
      </c>
      <c r="BI440" s="683">
        <f t="shared" si="188"/>
        <v>0</v>
      </c>
      <c r="BJ440" s="641" t="e">
        <f t="shared" si="189"/>
        <v>#N/A</v>
      </c>
      <c r="BK440" s="641" t="e">
        <f t="shared" si="190"/>
        <v>#N/A</v>
      </c>
      <c r="BL440" s="641" t="e">
        <f t="shared" si="191"/>
        <v>#N/A</v>
      </c>
      <c r="BM440" s="684" t="e">
        <f t="shared" si="192"/>
        <v>#N/A</v>
      </c>
      <c r="BO440" s="682" t="e">
        <f>CONCATENATE(Z440," ",LOOKUP(D440,'f-travail'!A:A,'f-travail'!F:F))</f>
        <v>#N/A</v>
      </c>
      <c r="BP440" s="669" t="e">
        <f t="shared" si="179"/>
        <v>#N/A</v>
      </c>
    </row>
    <row r="441" spans="1:68">
      <c r="A441" s="636">
        <f t="shared" si="193"/>
        <v>440</v>
      </c>
      <c r="B441" s="637"/>
      <c r="C441" s="637"/>
      <c r="D441" s="652"/>
      <c r="E441" s="679" t="e">
        <f>LOOKUP(D441,'f-travail'!A:A,'f-travail'!B:B)</f>
        <v>#N/A</v>
      </c>
      <c r="F441" s="650"/>
      <c r="G441" s="650"/>
      <c r="H441" s="653"/>
      <c r="I441" s="653"/>
      <c r="J441" s="654"/>
      <c r="K441" s="650"/>
      <c r="L441" s="650"/>
      <c r="M441" s="650">
        <v>0</v>
      </c>
      <c r="N441" s="654"/>
      <c r="O441" s="654"/>
      <c r="P441" s="654"/>
      <c r="Q441" s="654"/>
      <c r="R441" s="676"/>
      <c r="S441" s="654"/>
      <c r="T441" s="675"/>
      <c r="U441" s="675"/>
      <c r="V441" s="670" t="e">
        <f>LOOKUP(D441,'f-travail'!A:A,'f-travail'!E:E)</f>
        <v>#N/A</v>
      </c>
      <c r="W441" s="670" t="e">
        <f>VLOOKUP(V441,جرقمإستدلالي,'f-travail'!$AD$4+1,FALSE)</f>
        <v>#N/A</v>
      </c>
      <c r="X441" s="671" t="e">
        <f t="shared" si="169"/>
        <v>#N/A</v>
      </c>
      <c r="Y441" s="671">
        <f>IF(G441="مدير ولائي",(HLOOKUP(I441,جدروظعليا,'f-travail'!$AT$3+1,FALSE)-3200),0)</f>
        <v>0</v>
      </c>
      <c r="Z441" s="672" t="str">
        <f t="shared" si="180"/>
        <v/>
      </c>
      <c r="AA441" s="671">
        <f t="shared" si="181"/>
        <v>0</v>
      </c>
      <c r="AB441" s="677" t="b">
        <f t="shared" si="170"/>
        <v>0</v>
      </c>
      <c r="AC441" s="678">
        <f t="shared" si="182"/>
        <v>0</v>
      </c>
      <c r="AD441" s="673"/>
      <c r="AE441" s="678">
        <f t="shared" si="171"/>
        <v>0</v>
      </c>
      <c r="AF441" s="678" t="e">
        <f t="shared" si="172"/>
        <v>#N/A</v>
      </c>
      <c r="AG441" s="678" t="e">
        <f t="shared" si="173"/>
        <v>#N/A</v>
      </c>
      <c r="AH441" s="673">
        <f t="shared" si="183"/>
        <v>0</v>
      </c>
      <c r="AI441" s="674" t="e">
        <f>IF(G441="مدير ولائي",(11000*35%),LOOKUP(D441,'f-travail'!A:A,'f-travail'!I:I))</f>
        <v>#N/A</v>
      </c>
      <c r="AJ441" s="673" t="e">
        <f>IF(G441="مدير ولائي",((W441+X441)*45)*80%,IF(V441&lt;8,0,IF(F441="إليزي",(LOOKUP(D441,'f-travail'!A:A,'f-travail'!O:O))*(AF441+AG441),LOOKUP(D441,'f-travail'!A:A,'f-travail'!P:P)*(AF441+AG441))))</f>
        <v>#N/A</v>
      </c>
      <c r="AK441" s="673" t="e">
        <f>IF(G441="مدير ولائي",0,LOOKUP(D441,'f-travail'!A:A,'f-travail'!Q:Q))</f>
        <v>#N/A</v>
      </c>
      <c r="AL441" s="673" t="e">
        <f>IF(G441="مدير ولائي",0,LOOKUP(D441,'f-travail'!A:A,'f-travail'!R:R)*(AF441+AG441))</f>
        <v>#N/A</v>
      </c>
      <c r="AM441" s="673" t="e">
        <f>IF(G441="مدير ولائي",0,LOOKUP(D441,'f-travail'!A:A,'f-travail'!S:S)*(AF441+AG441))</f>
        <v>#N/A</v>
      </c>
      <c r="AN441" s="673" t="e">
        <f>IF(G441="مدير ولائي",0,LOOKUP(D441,'f-travail'!A:A,'f-travail'!T:T)*(AF441+AG441))</f>
        <v>#N/A</v>
      </c>
      <c r="AO441" s="673" t="e">
        <f>IF(G441="مدير ولائي",0,LOOKUP(D441,'f-travail'!A:A,'f-travail'!U:U)*(AF441+AG441))</f>
        <v>#N/A</v>
      </c>
      <c r="AP441" s="673" t="e">
        <f>IF(G441="مدير ولائي",0,LOOKUP(D441,'f-travail'!A:A,'f-travail'!V:V)*(AF441+AG441))</f>
        <v>#N/A</v>
      </c>
      <c r="AQ441" s="673" t="e">
        <f>IF(G441="مدير ولائي",0,LOOKUP(D441,'f-travail'!A:A,'f-travail'!W:W)*(AF441+AG441))</f>
        <v>#N/A</v>
      </c>
      <c r="AR441" s="673">
        <f t="shared" si="184"/>
        <v>0</v>
      </c>
      <c r="AS441" s="673" t="e">
        <f>IF(G441="مدير ولائي",0,LOOKUP(D441,'f-travail'!A:A,'f-travail'!X:X)*(AF441+AG441))</f>
        <v>#N/A</v>
      </c>
      <c r="AT441" s="673" t="e">
        <f>IF(G441="مدير ولائي",0,LOOKUP(D441,'f-travail'!Y:Y,'f-travail'!R:R)*(AF441+AG441))</f>
        <v>#N/A</v>
      </c>
      <c r="AU441" s="673">
        <f t="shared" si="174"/>
        <v>0</v>
      </c>
      <c r="AV441" s="673">
        <f t="shared" si="175"/>
        <v>0</v>
      </c>
      <c r="AW441" s="673">
        <f t="shared" si="176"/>
        <v>0</v>
      </c>
      <c r="AY441" s="640" t="e">
        <f t="shared" si="185"/>
        <v>#N/A</v>
      </c>
      <c r="AZ441" s="673" t="e">
        <f t="shared" si="177"/>
        <v>#N/A</v>
      </c>
      <c r="BA441" s="639" t="e">
        <f t="shared" si="178"/>
        <v>#N/A</v>
      </c>
      <c r="BG441" s="639">
        <f t="shared" si="186"/>
        <v>0</v>
      </c>
      <c r="BH441" s="683">
        <f t="shared" si="187"/>
        <v>0</v>
      </c>
      <c r="BI441" s="683">
        <f t="shared" si="188"/>
        <v>0</v>
      </c>
      <c r="BJ441" s="641" t="e">
        <f t="shared" si="189"/>
        <v>#N/A</v>
      </c>
      <c r="BK441" s="641" t="e">
        <f t="shared" si="190"/>
        <v>#N/A</v>
      </c>
      <c r="BL441" s="641" t="e">
        <f t="shared" si="191"/>
        <v>#N/A</v>
      </c>
      <c r="BM441" s="684" t="e">
        <f t="shared" si="192"/>
        <v>#N/A</v>
      </c>
      <c r="BO441" s="682" t="e">
        <f>CONCATENATE(Z441," ",LOOKUP(D441,'f-travail'!A:A,'f-travail'!F:F))</f>
        <v>#N/A</v>
      </c>
      <c r="BP441" s="669" t="e">
        <f t="shared" si="179"/>
        <v>#N/A</v>
      </c>
    </row>
    <row r="442" spans="1:68">
      <c r="A442" s="636">
        <f t="shared" si="193"/>
        <v>441</v>
      </c>
      <c r="B442" s="637"/>
      <c r="C442" s="637"/>
      <c r="D442" s="652"/>
      <c r="E442" s="679" t="e">
        <f>LOOKUP(D442,'f-travail'!A:A,'f-travail'!B:B)</f>
        <v>#N/A</v>
      </c>
      <c r="F442" s="650"/>
      <c r="G442" s="650"/>
      <c r="H442" s="653"/>
      <c r="I442" s="653"/>
      <c r="J442" s="654"/>
      <c r="K442" s="650"/>
      <c r="L442" s="650"/>
      <c r="M442" s="650">
        <v>0</v>
      </c>
      <c r="N442" s="654"/>
      <c r="O442" s="654"/>
      <c r="P442" s="654"/>
      <c r="Q442" s="654"/>
      <c r="R442" s="676"/>
      <c r="S442" s="654"/>
      <c r="T442" s="675"/>
      <c r="U442" s="675"/>
      <c r="V442" s="670" t="e">
        <f>LOOKUP(D442,'f-travail'!A:A,'f-travail'!E:E)</f>
        <v>#N/A</v>
      </c>
      <c r="W442" s="670" t="e">
        <f>VLOOKUP(V442,جرقمإستدلالي,'f-travail'!$AD$4+1,FALSE)</f>
        <v>#N/A</v>
      </c>
      <c r="X442" s="671" t="e">
        <f t="shared" si="169"/>
        <v>#N/A</v>
      </c>
      <c r="Y442" s="671">
        <f>IF(G442="مدير ولائي",(HLOOKUP(I442,جدروظعليا,'f-travail'!$AT$3+1,FALSE)-3200),0)</f>
        <v>0</v>
      </c>
      <c r="Z442" s="672" t="str">
        <f t="shared" si="180"/>
        <v/>
      </c>
      <c r="AA442" s="671">
        <f t="shared" si="181"/>
        <v>0</v>
      </c>
      <c r="AB442" s="677" t="b">
        <f t="shared" si="170"/>
        <v>0</v>
      </c>
      <c r="AC442" s="678">
        <f t="shared" si="182"/>
        <v>0</v>
      </c>
      <c r="AD442" s="673"/>
      <c r="AE442" s="678">
        <f t="shared" si="171"/>
        <v>0</v>
      </c>
      <c r="AF442" s="678" t="e">
        <f t="shared" si="172"/>
        <v>#N/A</v>
      </c>
      <c r="AG442" s="678" t="e">
        <f t="shared" si="173"/>
        <v>#N/A</v>
      </c>
      <c r="AH442" s="673">
        <f t="shared" si="183"/>
        <v>0</v>
      </c>
      <c r="AI442" s="674" t="e">
        <f>IF(G442="مدير ولائي",(11000*35%),LOOKUP(D442,'f-travail'!A:A,'f-travail'!I:I))</f>
        <v>#N/A</v>
      </c>
      <c r="AJ442" s="673" t="e">
        <f>IF(G442="مدير ولائي",((W442+X442)*45)*80%,IF(V442&lt;8,0,IF(F442="إليزي",(LOOKUP(D442,'f-travail'!A:A,'f-travail'!O:O))*(AF442+AG442),LOOKUP(D442,'f-travail'!A:A,'f-travail'!P:P)*(AF442+AG442))))</f>
        <v>#N/A</v>
      </c>
      <c r="AK442" s="673" t="e">
        <f>IF(G442="مدير ولائي",0,LOOKUP(D442,'f-travail'!A:A,'f-travail'!Q:Q))</f>
        <v>#N/A</v>
      </c>
      <c r="AL442" s="673" t="e">
        <f>IF(G442="مدير ولائي",0,LOOKUP(D442,'f-travail'!A:A,'f-travail'!R:R)*(AF442+AG442))</f>
        <v>#N/A</v>
      </c>
      <c r="AM442" s="673" t="e">
        <f>IF(G442="مدير ولائي",0,LOOKUP(D442,'f-travail'!A:A,'f-travail'!S:S)*(AF442+AG442))</f>
        <v>#N/A</v>
      </c>
      <c r="AN442" s="673" t="e">
        <f>IF(G442="مدير ولائي",0,LOOKUP(D442,'f-travail'!A:A,'f-travail'!T:T)*(AF442+AG442))</f>
        <v>#N/A</v>
      </c>
      <c r="AO442" s="673" t="e">
        <f>IF(G442="مدير ولائي",0,LOOKUP(D442,'f-travail'!A:A,'f-travail'!U:U)*(AF442+AG442))</f>
        <v>#N/A</v>
      </c>
      <c r="AP442" s="673" t="e">
        <f>IF(G442="مدير ولائي",0,LOOKUP(D442,'f-travail'!A:A,'f-travail'!V:V)*(AF442+AG442))</f>
        <v>#N/A</v>
      </c>
      <c r="AQ442" s="673" t="e">
        <f>IF(G442="مدير ولائي",0,LOOKUP(D442,'f-travail'!A:A,'f-travail'!W:W)*(AF442+AG442))</f>
        <v>#N/A</v>
      </c>
      <c r="AR442" s="673">
        <f t="shared" si="184"/>
        <v>0</v>
      </c>
      <c r="AS442" s="673" t="e">
        <f>IF(G442="مدير ولائي",0,LOOKUP(D442,'f-travail'!A:A,'f-travail'!X:X)*(AF442+AG442))</f>
        <v>#N/A</v>
      </c>
      <c r="AT442" s="673" t="e">
        <f>IF(G442="مدير ولائي",0,LOOKUP(D442,'f-travail'!Y:Y,'f-travail'!R:R)*(AF442+AG442))</f>
        <v>#N/A</v>
      </c>
      <c r="AU442" s="673">
        <f t="shared" si="174"/>
        <v>0</v>
      </c>
      <c r="AV442" s="673">
        <f t="shared" si="175"/>
        <v>0</v>
      </c>
      <c r="AW442" s="673">
        <f t="shared" si="176"/>
        <v>0</v>
      </c>
      <c r="AY442" s="640" t="e">
        <f t="shared" si="185"/>
        <v>#N/A</v>
      </c>
      <c r="AZ442" s="673" t="e">
        <f t="shared" si="177"/>
        <v>#N/A</v>
      </c>
      <c r="BA442" s="639" t="e">
        <f t="shared" si="178"/>
        <v>#N/A</v>
      </c>
      <c r="BG442" s="639">
        <f t="shared" si="186"/>
        <v>0</v>
      </c>
      <c r="BH442" s="683">
        <f t="shared" si="187"/>
        <v>0</v>
      </c>
      <c r="BI442" s="683">
        <f t="shared" si="188"/>
        <v>0</v>
      </c>
      <c r="BJ442" s="641" t="e">
        <f t="shared" si="189"/>
        <v>#N/A</v>
      </c>
      <c r="BK442" s="641" t="e">
        <f t="shared" si="190"/>
        <v>#N/A</v>
      </c>
      <c r="BL442" s="641" t="e">
        <f t="shared" si="191"/>
        <v>#N/A</v>
      </c>
      <c r="BM442" s="684" t="e">
        <f t="shared" si="192"/>
        <v>#N/A</v>
      </c>
      <c r="BO442" s="682" t="e">
        <f>CONCATENATE(Z442," ",LOOKUP(D442,'f-travail'!A:A,'f-travail'!F:F))</f>
        <v>#N/A</v>
      </c>
      <c r="BP442" s="669" t="e">
        <f t="shared" si="179"/>
        <v>#N/A</v>
      </c>
    </row>
    <row r="443" spans="1:68">
      <c r="A443" s="636">
        <f t="shared" si="193"/>
        <v>442</v>
      </c>
      <c r="B443" s="637"/>
      <c r="C443" s="637"/>
      <c r="D443" s="652"/>
      <c r="E443" s="679" t="e">
        <f>LOOKUP(D443,'f-travail'!A:A,'f-travail'!B:B)</f>
        <v>#N/A</v>
      </c>
      <c r="F443" s="650"/>
      <c r="G443" s="650"/>
      <c r="H443" s="653"/>
      <c r="I443" s="653"/>
      <c r="J443" s="654"/>
      <c r="K443" s="650"/>
      <c r="L443" s="650"/>
      <c r="M443" s="650">
        <v>0</v>
      </c>
      <c r="N443" s="654"/>
      <c r="O443" s="654"/>
      <c r="P443" s="654"/>
      <c r="Q443" s="654"/>
      <c r="R443" s="676"/>
      <c r="S443" s="654"/>
      <c r="T443" s="675"/>
      <c r="U443" s="675"/>
      <c r="V443" s="670" t="e">
        <f>LOOKUP(D443,'f-travail'!A:A,'f-travail'!E:E)</f>
        <v>#N/A</v>
      </c>
      <c r="W443" s="670" t="e">
        <f>VLOOKUP(V443,جرقمإستدلالي,'f-travail'!$AD$4+1,FALSE)</f>
        <v>#N/A</v>
      </c>
      <c r="X443" s="671" t="e">
        <f t="shared" si="169"/>
        <v>#N/A</v>
      </c>
      <c r="Y443" s="671">
        <f>IF(G443="مدير ولائي",(HLOOKUP(I443,جدروظعليا,'f-travail'!$AT$3+1,FALSE)-3200),0)</f>
        <v>0</v>
      </c>
      <c r="Z443" s="672" t="str">
        <f t="shared" si="180"/>
        <v/>
      </c>
      <c r="AA443" s="671">
        <f t="shared" si="181"/>
        <v>0</v>
      </c>
      <c r="AB443" s="677" t="b">
        <f t="shared" si="170"/>
        <v>0</v>
      </c>
      <c r="AC443" s="678">
        <f t="shared" si="182"/>
        <v>0</v>
      </c>
      <c r="AD443" s="673"/>
      <c r="AE443" s="678">
        <f t="shared" si="171"/>
        <v>0</v>
      </c>
      <c r="AF443" s="678" t="e">
        <f t="shared" si="172"/>
        <v>#N/A</v>
      </c>
      <c r="AG443" s="678" t="e">
        <f t="shared" si="173"/>
        <v>#N/A</v>
      </c>
      <c r="AH443" s="673">
        <f t="shared" si="183"/>
        <v>0</v>
      </c>
      <c r="AI443" s="674" t="e">
        <f>IF(G443="مدير ولائي",(11000*35%),LOOKUP(D443,'f-travail'!A:A,'f-travail'!I:I))</f>
        <v>#N/A</v>
      </c>
      <c r="AJ443" s="673" t="e">
        <f>IF(G443="مدير ولائي",((W443+X443)*45)*80%,IF(V443&lt;8,0,IF(F443="إليزي",(LOOKUP(D443,'f-travail'!A:A,'f-travail'!O:O))*(AF443+AG443),LOOKUP(D443,'f-travail'!A:A,'f-travail'!P:P)*(AF443+AG443))))</f>
        <v>#N/A</v>
      </c>
      <c r="AK443" s="673" t="e">
        <f>IF(G443="مدير ولائي",0,LOOKUP(D443,'f-travail'!A:A,'f-travail'!Q:Q))</f>
        <v>#N/A</v>
      </c>
      <c r="AL443" s="673" t="e">
        <f>IF(G443="مدير ولائي",0,LOOKUP(D443,'f-travail'!A:A,'f-travail'!R:R)*(AF443+AG443))</f>
        <v>#N/A</v>
      </c>
      <c r="AM443" s="673" t="e">
        <f>IF(G443="مدير ولائي",0,LOOKUP(D443,'f-travail'!A:A,'f-travail'!S:S)*(AF443+AG443))</f>
        <v>#N/A</v>
      </c>
      <c r="AN443" s="673" t="e">
        <f>IF(G443="مدير ولائي",0,LOOKUP(D443,'f-travail'!A:A,'f-travail'!T:T)*(AF443+AG443))</f>
        <v>#N/A</v>
      </c>
      <c r="AO443" s="673" t="e">
        <f>IF(G443="مدير ولائي",0,LOOKUP(D443,'f-travail'!A:A,'f-travail'!U:U)*(AF443+AG443))</f>
        <v>#N/A</v>
      </c>
      <c r="AP443" s="673" t="e">
        <f>IF(G443="مدير ولائي",0,LOOKUP(D443,'f-travail'!A:A,'f-travail'!V:V)*(AF443+AG443))</f>
        <v>#N/A</v>
      </c>
      <c r="AQ443" s="673" t="e">
        <f>IF(G443="مدير ولائي",0,LOOKUP(D443,'f-travail'!A:A,'f-travail'!W:W)*(AF443+AG443))</f>
        <v>#N/A</v>
      </c>
      <c r="AR443" s="673">
        <f t="shared" si="184"/>
        <v>0</v>
      </c>
      <c r="AS443" s="673" t="e">
        <f>IF(G443="مدير ولائي",0,LOOKUP(D443,'f-travail'!A:A,'f-travail'!X:X)*(AF443+AG443))</f>
        <v>#N/A</v>
      </c>
      <c r="AT443" s="673" t="e">
        <f>IF(G443="مدير ولائي",0,LOOKUP(D443,'f-travail'!Y:Y,'f-travail'!R:R)*(AF443+AG443))</f>
        <v>#N/A</v>
      </c>
      <c r="AU443" s="673">
        <f t="shared" si="174"/>
        <v>0</v>
      </c>
      <c r="AV443" s="673">
        <f t="shared" si="175"/>
        <v>0</v>
      </c>
      <c r="AW443" s="673">
        <f t="shared" si="176"/>
        <v>0</v>
      </c>
      <c r="AY443" s="640" t="e">
        <f t="shared" si="185"/>
        <v>#N/A</v>
      </c>
      <c r="AZ443" s="673" t="e">
        <f t="shared" si="177"/>
        <v>#N/A</v>
      </c>
      <c r="BA443" s="639" t="e">
        <f t="shared" si="178"/>
        <v>#N/A</v>
      </c>
      <c r="BG443" s="639">
        <f t="shared" si="186"/>
        <v>0</v>
      </c>
      <c r="BH443" s="683">
        <f t="shared" si="187"/>
        <v>0</v>
      </c>
      <c r="BI443" s="683">
        <f t="shared" si="188"/>
        <v>0</v>
      </c>
      <c r="BJ443" s="641" t="e">
        <f t="shared" si="189"/>
        <v>#N/A</v>
      </c>
      <c r="BK443" s="641" t="e">
        <f t="shared" si="190"/>
        <v>#N/A</v>
      </c>
      <c r="BL443" s="641" t="e">
        <f t="shared" si="191"/>
        <v>#N/A</v>
      </c>
      <c r="BM443" s="684" t="e">
        <f t="shared" si="192"/>
        <v>#N/A</v>
      </c>
      <c r="BO443" s="682" t="e">
        <f>CONCATENATE(Z443," ",LOOKUP(D443,'f-travail'!A:A,'f-travail'!F:F))</f>
        <v>#N/A</v>
      </c>
      <c r="BP443" s="669" t="e">
        <f t="shared" si="179"/>
        <v>#N/A</v>
      </c>
    </row>
    <row r="444" spans="1:68">
      <c r="A444" s="636">
        <f t="shared" si="193"/>
        <v>443</v>
      </c>
      <c r="B444" s="637"/>
      <c r="C444" s="637"/>
      <c r="D444" s="652"/>
      <c r="E444" s="679" t="e">
        <f>LOOKUP(D444,'f-travail'!A:A,'f-travail'!B:B)</f>
        <v>#N/A</v>
      </c>
      <c r="F444" s="650"/>
      <c r="G444" s="650"/>
      <c r="H444" s="653"/>
      <c r="I444" s="653"/>
      <c r="J444" s="654"/>
      <c r="K444" s="650"/>
      <c r="L444" s="650"/>
      <c r="M444" s="650">
        <v>0</v>
      </c>
      <c r="N444" s="654"/>
      <c r="O444" s="654"/>
      <c r="P444" s="654"/>
      <c r="Q444" s="654"/>
      <c r="R444" s="676"/>
      <c r="S444" s="654"/>
      <c r="T444" s="675"/>
      <c r="U444" s="675"/>
      <c r="V444" s="670" t="e">
        <f>LOOKUP(D444,'f-travail'!A:A,'f-travail'!E:E)</f>
        <v>#N/A</v>
      </c>
      <c r="W444" s="670" t="e">
        <f>VLOOKUP(V444,جرقمإستدلالي,'f-travail'!$AD$4+1,FALSE)</f>
        <v>#N/A</v>
      </c>
      <c r="X444" s="671" t="e">
        <f t="shared" si="169"/>
        <v>#N/A</v>
      </c>
      <c r="Y444" s="671">
        <f>IF(G444="مدير ولائي",(HLOOKUP(I444,جدروظعليا,'f-travail'!$AT$3+1,FALSE)-3200),0)</f>
        <v>0</v>
      </c>
      <c r="Z444" s="672" t="str">
        <f t="shared" si="180"/>
        <v/>
      </c>
      <c r="AA444" s="671">
        <f t="shared" si="181"/>
        <v>0</v>
      </c>
      <c r="AB444" s="677" t="b">
        <f t="shared" si="170"/>
        <v>0</v>
      </c>
      <c r="AC444" s="678">
        <f t="shared" si="182"/>
        <v>0</v>
      </c>
      <c r="AD444" s="673"/>
      <c r="AE444" s="678">
        <f t="shared" si="171"/>
        <v>0</v>
      </c>
      <c r="AF444" s="678" t="e">
        <f t="shared" si="172"/>
        <v>#N/A</v>
      </c>
      <c r="AG444" s="678" t="e">
        <f t="shared" si="173"/>
        <v>#N/A</v>
      </c>
      <c r="AH444" s="673">
        <f t="shared" si="183"/>
        <v>0</v>
      </c>
      <c r="AI444" s="674" t="e">
        <f>IF(G444="مدير ولائي",(11000*35%),LOOKUP(D444,'f-travail'!A:A,'f-travail'!I:I))</f>
        <v>#N/A</v>
      </c>
      <c r="AJ444" s="673" t="e">
        <f>IF(G444="مدير ولائي",((W444+X444)*45)*80%,IF(V444&lt;8,0,IF(F444="إليزي",(LOOKUP(D444,'f-travail'!A:A,'f-travail'!O:O))*(AF444+AG444),LOOKUP(D444,'f-travail'!A:A,'f-travail'!P:P)*(AF444+AG444))))</f>
        <v>#N/A</v>
      </c>
      <c r="AK444" s="673" t="e">
        <f>IF(G444="مدير ولائي",0,LOOKUP(D444,'f-travail'!A:A,'f-travail'!Q:Q))</f>
        <v>#N/A</v>
      </c>
      <c r="AL444" s="673" t="e">
        <f>IF(G444="مدير ولائي",0,LOOKUP(D444,'f-travail'!A:A,'f-travail'!R:R)*(AF444+AG444))</f>
        <v>#N/A</v>
      </c>
      <c r="AM444" s="673" t="e">
        <f>IF(G444="مدير ولائي",0,LOOKUP(D444,'f-travail'!A:A,'f-travail'!S:S)*(AF444+AG444))</f>
        <v>#N/A</v>
      </c>
      <c r="AN444" s="673" t="e">
        <f>IF(G444="مدير ولائي",0,LOOKUP(D444,'f-travail'!A:A,'f-travail'!T:T)*(AF444+AG444))</f>
        <v>#N/A</v>
      </c>
      <c r="AO444" s="673" t="e">
        <f>IF(G444="مدير ولائي",0,LOOKUP(D444,'f-travail'!A:A,'f-travail'!U:U)*(AF444+AG444))</f>
        <v>#N/A</v>
      </c>
      <c r="AP444" s="673" t="e">
        <f>IF(G444="مدير ولائي",0,LOOKUP(D444,'f-travail'!A:A,'f-travail'!V:V)*(AF444+AG444))</f>
        <v>#N/A</v>
      </c>
      <c r="AQ444" s="673" t="e">
        <f>IF(G444="مدير ولائي",0,LOOKUP(D444,'f-travail'!A:A,'f-travail'!W:W)*(AF444+AG444))</f>
        <v>#N/A</v>
      </c>
      <c r="AR444" s="673">
        <f t="shared" si="184"/>
        <v>0</v>
      </c>
      <c r="AS444" s="673" t="e">
        <f>IF(G444="مدير ولائي",0,LOOKUP(D444,'f-travail'!A:A,'f-travail'!X:X)*(AF444+AG444))</f>
        <v>#N/A</v>
      </c>
      <c r="AT444" s="673" t="e">
        <f>IF(G444="مدير ولائي",0,LOOKUP(D444,'f-travail'!Y:Y,'f-travail'!R:R)*(AF444+AG444))</f>
        <v>#N/A</v>
      </c>
      <c r="AU444" s="673">
        <f t="shared" si="174"/>
        <v>0</v>
      </c>
      <c r="AV444" s="673">
        <f t="shared" si="175"/>
        <v>0</v>
      </c>
      <c r="AW444" s="673">
        <f t="shared" si="176"/>
        <v>0</v>
      </c>
      <c r="AY444" s="640" t="e">
        <f t="shared" si="185"/>
        <v>#N/A</v>
      </c>
      <c r="AZ444" s="673" t="e">
        <f t="shared" si="177"/>
        <v>#N/A</v>
      </c>
      <c r="BA444" s="639" t="e">
        <f t="shared" si="178"/>
        <v>#N/A</v>
      </c>
      <c r="BG444" s="639">
        <f t="shared" si="186"/>
        <v>0</v>
      </c>
      <c r="BH444" s="683">
        <f t="shared" si="187"/>
        <v>0</v>
      </c>
      <c r="BI444" s="683">
        <f t="shared" si="188"/>
        <v>0</v>
      </c>
      <c r="BJ444" s="641" t="e">
        <f t="shared" si="189"/>
        <v>#N/A</v>
      </c>
      <c r="BK444" s="641" t="e">
        <f t="shared" si="190"/>
        <v>#N/A</v>
      </c>
      <c r="BL444" s="641" t="e">
        <f t="shared" si="191"/>
        <v>#N/A</v>
      </c>
      <c r="BM444" s="684" t="e">
        <f t="shared" si="192"/>
        <v>#N/A</v>
      </c>
      <c r="BO444" s="682" t="e">
        <f>CONCATENATE(Z444," ",LOOKUP(D444,'f-travail'!A:A,'f-travail'!F:F))</f>
        <v>#N/A</v>
      </c>
      <c r="BP444" s="669" t="e">
        <f t="shared" si="179"/>
        <v>#N/A</v>
      </c>
    </row>
    <row r="445" spans="1:68">
      <c r="A445" s="636">
        <f t="shared" si="193"/>
        <v>444</v>
      </c>
      <c r="B445" s="637"/>
      <c r="C445" s="637"/>
      <c r="D445" s="652"/>
      <c r="E445" s="679" t="e">
        <f>LOOKUP(D445,'f-travail'!A:A,'f-travail'!B:B)</f>
        <v>#N/A</v>
      </c>
      <c r="F445" s="650"/>
      <c r="G445" s="650"/>
      <c r="H445" s="653"/>
      <c r="I445" s="653"/>
      <c r="J445" s="654"/>
      <c r="K445" s="650"/>
      <c r="L445" s="650"/>
      <c r="M445" s="650">
        <v>0</v>
      </c>
      <c r="N445" s="654"/>
      <c r="O445" s="654"/>
      <c r="P445" s="654"/>
      <c r="Q445" s="654"/>
      <c r="R445" s="676"/>
      <c r="S445" s="654"/>
      <c r="T445" s="675"/>
      <c r="U445" s="675"/>
      <c r="V445" s="670" t="e">
        <f>LOOKUP(D445,'f-travail'!A:A,'f-travail'!E:E)</f>
        <v>#N/A</v>
      </c>
      <c r="W445" s="670" t="e">
        <f>VLOOKUP(V445,جرقمإستدلالي,'f-travail'!$AD$4+1,FALSE)</f>
        <v>#N/A</v>
      </c>
      <c r="X445" s="671" t="e">
        <f t="shared" si="169"/>
        <v>#N/A</v>
      </c>
      <c r="Y445" s="671">
        <f>IF(G445="مدير ولائي",(HLOOKUP(I445,جدروظعليا,'f-travail'!$AT$3+1,FALSE)-3200),0)</f>
        <v>0</v>
      </c>
      <c r="Z445" s="672" t="str">
        <f t="shared" si="180"/>
        <v/>
      </c>
      <c r="AA445" s="671">
        <f t="shared" si="181"/>
        <v>0</v>
      </c>
      <c r="AB445" s="677" t="b">
        <f t="shared" si="170"/>
        <v>0</v>
      </c>
      <c r="AC445" s="678">
        <f t="shared" si="182"/>
        <v>0</v>
      </c>
      <c r="AD445" s="673"/>
      <c r="AE445" s="678">
        <f t="shared" si="171"/>
        <v>0</v>
      </c>
      <c r="AF445" s="678" t="e">
        <f t="shared" si="172"/>
        <v>#N/A</v>
      </c>
      <c r="AG445" s="678" t="e">
        <f t="shared" si="173"/>
        <v>#N/A</v>
      </c>
      <c r="AH445" s="673">
        <f t="shared" si="183"/>
        <v>0</v>
      </c>
      <c r="AI445" s="674" t="e">
        <f>IF(G445="مدير ولائي",(11000*35%),LOOKUP(D445,'f-travail'!A:A,'f-travail'!I:I))</f>
        <v>#N/A</v>
      </c>
      <c r="AJ445" s="673" t="e">
        <f>IF(G445="مدير ولائي",((W445+X445)*45)*80%,IF(V445&lt;8,0,IF(F445="إليزي",(LOOKUP(D445,'f-travail'!A:A,'f-travail'!O:O))*(AF445+AG445),LOOKUP(D445,'f-travail'!A:A,'f-travail'!P:P)*(AF445+AG445))))</f>
        <v>#N/A</v>
      </c>
      <c r="AK445" s="673" t="e">
        <f>IF(G445="مدير ولائي",0,LOOKUP(D445,'f-travail'!A:A,'f-travail'!Q:Q))</f>
        <v>#N/A</v>
      </c>
      <c r="AL445" s="673" t="e">
        <f>IF(G445="مدير ولائي",0,LOOKUP(D445,'f-travail'!A:A,'f-travail'!R:R)*(AF445+AG445))</f>
        <v>#N/A</v>
      </c>
      <c r="AM445" s="673" t="e">
        <f>IF(G445="مدير ولائي",0,LOOKUP(D445,'f-travail'!A:A,'f-travail'!S:S)*(AF445+AG445))</f>
        <v>#N/A</v>
      </c>
      <c r="AN445" s="673" t="e">
        <f>IF(G445="مدير ولائي",0,LOOKUP(D445,'f-travail'!A:A,'f-travail'!T:T)*(AF445+AG445))</f>
        <v>#N/A</v>
      </c>
      <c r="AO445" s="673" t="e">
        <f>IF(G445="مدير ولائي",0,LOOKUP(D445,'f-travail'!A:A,'f-travail'!U:U)*(AF445+AG445))</f>
        <v>#N/A</v>
      </c>
      <c r="AP445" s="673" t="e">
        <f>IF(G445="مدير ولائي",0,LOOKUP(D445,'f-travail'!A:A,'f-travail'!V:V)*(AF445+AG445))</f>
        <v>#N/A</v>
      </c>
      <c r="AQ445" s="673" t="e">
        <f>IF(G445="مدير ولائي",0,LOOKUP(D445,'f-travail'!A:A,'f-travail'!W:W)*(AF445+AG445))</f>
        <v>#N/A</v>
      </c>
      <c r="AR445" s="673">
        <f t="shared" si="184"/>
        <v>0</v>
      </c>
      <c r="AS445" s="673" t="e">
        <f>IF(G445="مدير ولائي",0,LOOKUP(D445,'f-travail'!A:A,'f-travail'!X:X)*(AF445+AG445))</f>
        <v>#N/A</v>
      </c>
      <c r="AT445" s="673" t="e">
        <f>IF(G445="مدير ولائي",0,LOOKUP(D445,'f-travail'!Y:Y,'f-travail'!R:R)*(AF445+AG445))</f>
        <v>#N/A</v>
      </c>
      <c r="AU445" s="673">
        <f t="shared" si="174"/>
        <v>0</v>
      </c>
      <c r="AV445" s="673">
        <f t="shared" si="175"/>
        <v>0</v>
      </c>
      <c r="AW445" s="673">
        <f t="shared" si="176"/>
        <v>0</v>
      </c>
      <c r="AY445" s="640" t="e">
        <f t="shared" si="185"/>
        <v>#N/A</v>
      </c>
      <c r="AZ445" s="673" t="e">
        <f t="shared" si="177"/>
        <v>#N/A</v>
      </c>
      <c r="BA445" s="639" t="e">
        <f t="shared" si="178"/>
        <v>#N/A</v>
      </c>
      <c r="BG445" s="639">
        <f t="shared" si="186"/>
        <v>0</v>
      </c>
      <c r="BH445" s="683">
        <f t="shared" si="187"/>
        <v>0</v>
      </c>
      <c r="BI445" s="683">
        <f t="shared" si="188"/>
        <v>0</v>
      </c>
      <c r="BJ445" s="641" t="e">
        <f t="shared" si="189"/>
        <v>#N/A</v>
      </c>
      <c r="BK445" s="641" t="e">
        <f t="shared" si="190"/>
        <v>#N/A</v>
      </c>
      <c r="BL445" s="641" t="e">
        <f t="shared" si="191"/>
        <v>#N/A</v>
      </c>
      <c r="BM445" s="684" t="e">
        <f t="shared" si="192"/>
        <v>#N/A</v>
      </c>
      <c r="BO445" s="682" t="e">
        <f>CONCATENATE(Z445," ",LOOKUP(D445,'f-travail'!A:A,'f-travail'!F:F))</f>
        <v>#N/A</v>
      </c>
      <c r="BP445" s="669" t="e">
        <f t="shared" si="179"/>
        <v>#N/A</v>
      </c>
    </row>
    <row r="446" spans="1:68">
      <c r="A446" s="636">
        <f t="shared" si="193"/>
        <v>445</v>
      </c>
      <c r="B446" s="637"/>
      <c r="C446" s="637"/>
      <c r="D446" s="652"/>
      <c r="E446" s="679" t="e">
        <f>LOOKUP(D446,'f-travail'!A:A,'f-travail'!B:B)</f>
        <v>#N/A</v>
      </c>
      <c r="F446" s="650"/>
      <c r="G446" s="650"/>
      <c r="H446" s="653"/>
      <c r="I446" s="653"/>
      <c r="J446" s="654"/>
      <c r="K446" s="650"/>
      <c r="L446" s="650"/>
      <c r="M446" s="650">
        <v>0</v>
      </c>
      <c r="N446" s="654"/>
      <c r="O446" s="654"/>
      <c r="P446" s="654"/>
      <c r="Q446" s="654"/>
      <c r="R446" s="676"/>
      <c r="S446" s="654"/>
      <c r="T446" s="675"/>
      <c r="U446" s="675"/>
      <c r="V446" s="670" t="e">
        <f>LOOKUP(D446,'f-travail'!A:A,'f-travail'!E:E)</f>
        <v>#N/A</v>
      </c>
      <c r="W446" s="670" t="e">
        <f>VLOOKUP(V446,جرقمإستدلالي,'f-travail'!$AD$4+1,FALSE)</f>
        <v>#N/A</v>
      </c>
      <c r="X446" s="671" t="e">
        <f t="shared" si="169"/>
        <v>#N/A</v>
      </c>
      <c r="Y446" s="671">
        <f>IF(G446="مدير ولائي",(HLOOKUP(I446,جدروظعليا,'f-travail'!$AT$3+1,FALSE)-3200),0)</f>
        <v>0</v>
      </c>
      <c r="Z446" s="672" t="str">
        <f t="shared" si="180"/>
        <v/>
      </c>
      <c r="AA446" s="671">
        <f t="shared" si="181"/>
        <v>0</v>
      </c>
      <c r="AB446" s="677" t="b">
        <f t="shared" si="170"/>
        <v>0</v>
      </c>
      <c r="AC446" s="678">
        <f t="shared" si="182"/>
        <v>0</v>
      </c>
      <c r="AD446" s="673"/>
      <c r="AE446" s="678">
        <f t="shared" si="171"/>
        <v>0</v>
      </c>
      <c r="AF446" s="678" t="e">
        <f t="shared" si="172"/>
        <v>#N/A</v>
      </c>
      <c r="AG446" s="678" t="e">
        <f t="shared" si="173"/>
        <v>#N/A</v>
      </c>
      <c r="AH446" s="673">
        <f t="shared" si="183"/>
        <v>0</v>
      </c>
      <c r="AI446" s="674" t="e">
        <f>IF(G446="مدير ولائي",(11000*35%),LOOKUP(D446,'f-travail'!A:A,'f-travail'!I:I))</f>
        <v>#N/A</v>
      </c>
      <c r="AJ446" s="673" t="e">
        <f>IF(G446="مدير ولائي",((W446+X446)*45)*80%,IF(V446&lt;8,0,IF(F446="إليزي",(LOOKUP(D446,'f-travail'!A:A,'f-travail'!O:O))*(AF446+AG446),LOOKUP(D446,'f-travail'!A:A,'f-travail'!P:P)*(AF446+AG446))))</f>
        <v>#N/A</v>
      </c>
      <c r="AK446" s="673" t="e">
        <f>IF(G446="مدير ولائي",0,LOOKUP(D446,'f-travail'!A:A,'f-travail'!Q:Q))</f>
        <v>#N/A</v>
      </c>
      <c r="AL446" s="673" t="e">
        <f>IF(G446="مدير ولائي",0,LOOKUP(D446,'f-travail'!A:A,'f-travail'!R:R)*(AF446+AG446))</f>
        <v>#N/A</v>
      </c>
      <c r="AM446" s="673" t="e">
        <f>IF(G446="مدير ولائي",0,LOOKUP(D446,'f-travail'!A:A,'f-travail'!S:S)*(AF446+AG446))</f>
        <v>#N/A</v>
      </c>
      <c r="AN446" s="673" t="e">
        <f>IF(G446="مدير ولائي",0,LOOKUP(D446,'f-travail'!A:A,'f-travail'!T:T)*(AF446+AG446))</f>
        <v>#N/A</v>
      </c>
      <c r="AO446" s="673" t="e">
        <f>IF(G446="مدير ولائي",0,LOOKUP(D446,'f-travail'!A:A,'f-travail'!U:U)*(AF446+AG446))</f>
        <v>#N/A</v>
      </c>
      <c r="AP446" s="673" t="e">
        <f>IF(G446="مدير ولائي",0,LOOKUP(D446,'f-travail'!A:A,'f-travail'!V:V)*(AF446+AG446))</f>
        <v>#N/A</v>
      </c>
      <c r="AQ446" s="673" t="e">
        <f>IF(G446="مدير ولائي",0,LOOKUP(D446,'f-travail'!A:A,'f-travail'!W:W)*(AF446+AG446))</f>
        <v>#N/A</v>
      </c>
      <c r="AR446" s="673">
        <f t="shared" si="184"/>
        <v>0</v>
      </c>
      <c r="AS446" s="673" t="e">
        <f>IF(G446="مدير ولائي",0,LOOKUP(D446,'f-travail'!A:A,'f-travail'!X:X)*(AF446+AG446))</f>
        <v>#N/A</v>
      </c>
      <c r="AT446" s="673" t="e">
        <f>IF(G446="مدير ولائي",0,LOOKUP(D446,'f-travail'!Y:Y,'f-travail'!R:R)*(AF446+AG446))</f>
        <v>#N/A</v>
      </c>
      <c r="AU446" s="673">
        <f t="shared" si="174"/>
        <v>0</v>
      </c>
      <c r="AV446" s="673">
        <f t="shared" si="175"/>
        <v>0</v>
      </c>
      <c r="AW446" s="673">
        <f t="shared" si="176"/>
        <v>0</v>
      </c>
      <c r="AY446" s="640" t="e">
        <f t="shared" si="185"/>
        <v>#N/A</v>
      </c>
      <c r="AZ446" s="673" t="e">
        <f t="shared" si="177"/>
        <v>#N/A</v>
      </c>
      <c r="BA446" s="639" t="e">
        <f t="shared" si="178"/>
        <v>#N/A</v>
      </c>
      <c r="BG446" s="639">
        <f t="shared" si="186"/>
        <v>0</v>
      </c>
      <c r="BH446" s="683">
        <f t="shared" si="187"/>
        <v>0</v>
      </c>
      <c r="BI446" s="683">
        <f t="shared" si="188"/>
        <v>0</v>
      </c>
      <c r="BJ446" s="641" t="e">
        <f t="shared" si="189"/>
        <v>#N/A</v>
      </c>
      <c r="BK446" s="641" t="e">
        <f t="shared" si="190"/>
        <v>#N/A</v>
      </c>
      <c r="BL446" s="641" t="e">
        <f t="shared" si="191"/>
        <v>#N/A</v>
      </c>
      <c r="BM446" s="684" t="e">
        <f t="shared" si="192"/>
        <v>#N/A</v>
      </c>
      <c r="BO446" s="682" t="e">
        <f>CONCATENATE(Z446," ",LOOKUP(D446,'f-travail'!A:A,'f-travail'!F:F))</f>
        <v>#N/A</v>
      </c>
      <c r="BP446" s="669" t="e">
        <f t="shared" si="179"/>
        <v>#N/A</v>
      </c>
    </row>
    <row r="447" spans="1:68">
      <c r="A447" s="636">
        <f t="shared" si="193"/>
        <v>446</v>
      </c>
      <c r="B447" s="637"/>
      <c r="C447" s="637"/>
      <c r="D447" s="652"/>
      <c r="E447" s="679" t="e">
        <f>LOOKUP(D447,'f-travail'!A:A,'f-travail'!B:B)</f>
        <v>#N/A</v>
      </c>
      <c r="F447" s="650"/>
      <c r="G447" s="650"/>
      <c r="H447" s="653"/>
      <c r="I447" s="653"/>
      <c r="J447" s="654"/>
      <c r="K447" s="650"/>
      <c r="L447" s="650"/>
      <c r="M447" s="650">
        <v>0</v>
      </c>
      <c r="N447" s="654"/>
      <c r="O447" s="654"/>
      <c r="P447" s="654"/>
      <c r="Q447" s="654"/>
      <c r="R447" s="676"/>
      <c r="S447" s="654"/>
      <c r="T447" s="675"/>
      <c r="U447" s="675"/>
      <c r="V447" s="670" t="e">
        <f>LOOKUP(D447,'f-travail'!A:A,'f-travail'!E:E)</f>
        <v>#N/A</v>
      </c>
      <c r="W447" s="670" t="e">
        <f>VLOOKUP(V447,جرقمإستدلالي,'f-travail'!$AD$4+1,FALSE)</f>
        <v>#N/A</v>
      </c>
      <c r="X447" s="671" t="e">
        <f t="shared" si="169"/>
        <v>#N/A</v>
      </c>
      <c r="Y447" s="671">
        <f>IF(G447="مدير ولائي",(HLOOKUP(I447,جدروظعليا,'f-travail'!$AT$3+1,FALSE)-3200),0)</f>
        <v>0</v>
      </c>
      <c r="Z447" s="672" t="str">
        <f t="shared" si="180"/>
        <v/>
      </c>
      <c r="AA447" s="671">
        <f t="shared" si="181"/>
        <v>0</v>
      </c>
      <c r="AB447" s="677" t="b">
        <f t="shared" si="170"/>
        <v>0</v>
      </c>
      <c r="AC447" s="678">
        <f t="shared" si="182"/>
        <v>0</v>
      </c>
      <c r="AD447" s="673"/>
      <c r="AE447" s="678">
        <f t="shared" si="171"/>
        <v>0</v>
      </c>
      <c r="AF447" s="678" t="e">
        <f t="shared" si="172"/>
        <v>#N/A</v>
      </c>
      <c r="AG447" s="678" t="e">
        <f t="shared" si="173"/>
        <v>#N/A</v>
      </c>
      <c r="AH447" s="673">
        <f t="shared" si="183"/>
        <v>0</v>
      </c>
      <c r="AI447" s="674" t="e">
        <f>IF(G447="مدير ولائي",(11000*35%),LOOKUP(D447,'f-travail'!A:A,'f-travail'!I:I))</f>
        <v>#N/A</v>
      </c>
      <c r="AJ447" s="673" t="e">
        <f>IF(G447="مدير ولائي",((W447+X447)*45)*80%,IF(V447&lt;8,0,IF(F447="إليزي",(LOOKUP(D447,'f-travail'!A:A,'f-travail'!O:O))*(AF447+AG447),LOOKUP(D447,'f-travail'!A:A,'f-travail'!P:P)*(AF447+AG447))))</f>
        <v>#N/A</v>
      </c>
      <c r="AK447" s="673" t="e">
        <f>IF(G447="مدير ولائي",0,LOOKUP(D447,'f-travail'!A:A,'f-travail'!Q:Q))</f>
        <v>#N/A</v>
      </c>
      <c r="AL447" s="673" t="e">
        <f>IF(G447="مدير ولائي",0,LOOKUP(D447,'f-travail'!A:A,'f-travail'!R:R)*(AF447+AG447))</f>
        <v>#N/A</v>
      </c>
      <c r="AM447" s="673" t="e">
        <f>IF(G447="مدير ولائي",0,LOOKUP(D447,'f-travail'!A:A,'f-travail'!S:S)*(AF447+AG447))</f>
        <v>#N/A</v>
      </c>
      <c r="AN447" s="673" t="e">
        <f>IF(G447="مدير ولائي",0,LOOKUP(D447,'f-travail'!A:A,'f-travail'!T:T)*(AF447+AG447))</f>
        <v>#N/A</v>
      </c>
      <c r="AO447" s="673" t="e">
        <f>IF(G447="مدير ولائي",0,LOOKUP(D447,'f-travail'!A:A,'f-travail'!U:U)*(AF447+AG447))</f>
        <v>#N/A</v>
      </c>
      <c r="AP447" s="673" t="e">
        <f>IF(G447="مدير ولائي",0,LOOKUP(D447,'f-travail'!A:A,'f-travail'!V:V)*(AF447+AG447))</f>
        <v>#N/A</v>
      </c>
      <c r="AQ447" s="673" t="e">
        <f>IF(G447="مدير ولائي",0,LOOKUP(D447,'f-travail'!A:A,'f-travail'!W:W)*(AF447+AG447))</f>
        <v>#N/A</v>
      </c>
      <c r="AR447" s="673">
        <f t="shared" si="184"/>
        <v>0</v>
      </c>
      <c r="AS447" s="673" t="e">
        <f>IF(G447="مدير ولائي",0,LOOKUP(D447,'f-travail'!A:A,'f-travail'!X:X)*(AF447+AG447))</f>
        <v>#N/A</v>
      </c>
      <c r="AT447" s="673" t="e">
        <f>IF(G447="مدير ولائي",0,LOOKUP(D447,'f-travail'!Y:Y,'f-travail'!R:R)*(AF447+AG447))</f>
        <v>#N/A</v>
      </c>
      <c r="AU447" s="673">
        <f t="shared" si="174"/>
        <v>0</v>
      </c>
      <c r="AV447" s="673">
        <f t="shared" si="175"/>
        <v>0</v>
      </c>
      <c r="AW447" s="673">
        <f t="shared" si="176"/>
        <v>0</v>
      </c>
      <c r="AY447" s="640" t="e">
        <f t="shared" si="185"/>
        <v>#N/A</v>
      </c>
      <c r="AZ447" s="673" t="e">
        <f t="shared" si="177"/>
        <v>#N/A</v>
      </c>
      <c r="BA447" s="639" t="e">
        <f t="shared" si="178"/>
        <v>#N/A</v>
      </c>
      <c r="BG447" s="639">
        <f t="shared" si="186"/>
        <v>0</v>
      </c>
      <c r="BH447" s="683">
        <f t="shared" si="187"/>
        <v>0</v>
      </c>
      <c r="BI447" s="683">
        <f t="shared" si="188"/>
        <v>0</v>
      </c>
      <c r="BJ447" s="641" t="e">
        <f t="shared" si="189"/>
        <v>#N/A</v>
      </c>
      <c r="BK447" s="641" t="e">
        <f t="shared" si="190"/>
        <v>#N/A</v>
      </c>
      <c r="BL447" s="641" t="e">
        <f t="shared" si="191"/>
        <v>#N/A</v>
      </c>
      <c r="BM447" s="684" t="e">
        <f t="shared" si="192"/>
        <v>#N/A</v>
      </c>
      <c r="BO447" s="682" t="e">
        <f>CONCATENATE(Z447," ",LOOKUP(D447,'f-travail'!A:A,'f-travail'!F:F))</f>
        <v>#N/A</v>
      </c>
      <c r="BP447" s="669" t="e">
        <f t="shared" si="179"/>
        <v>#N/A</v>
      </c>
    </row>
    <row r="448" spans="1:68">
      <c r="A448" s="636">
        <f t="shared" si="193"/>
        <v>447</v>
      </c>
      <c r="B448" s="637"/>
      <c r="C448" s="637"/>
      <c r="D448" s="652"/>
      <c r="E448" s="679" t="e">
        <f>LOOKUP(D448,'f-travail'!A:A,'f-travail'!B:B)</f>
        <v>#N/A</v>
      </c>
      <c r="F448" s="650"/>
      <c r="G448" s="650"/>
      <c r="H448" s="653"/>
      <c r="I448" s="653"/>
      <c r="J448" s="654"/>
      <c r="K448" s="650"/>
      <c r="L448" s="650"/>
      <c r="M448" s="650">
        <v>0</v>
      </c>
      <c r="N448" s="654"/>
      <c r="O448" s="654"/>
      <c r="P448" s="654"/>
      <c r="Q448" s="654"/>
      <c r="R448" s="676"/>
      <c r="S448" s="654"/>
      <c r="T448" s="675"/>
      <c r="U448" s="675"/>
      <c r="V448" s="670" t="e">
        <f>LOOKUP(D448,'f-travail'!A:A,'f-travail'!E:E)</f>
        <v>#N/A</v>
      </c>
      <c r="W448" s="670" t="e">
        <f>VLOOKUP(V448,جرقمإستدلالي,'f-travail'!$AD$4+1,FALSE)</f>
        <v>#N/A</v>
      </c>
      <c r="X448" s="671" t="e">
        <f t="shared" si="169"/>
        <v>#N/A</v>
      </c>
      <c r="Y448" s="671">
        <f>IF(G448="مدير ولائي",(HLOOKUP(I448,جدروظعليا,'f-travail'!$AT$3+1,FALSE)-3200),0)</f>
        <v>0</v>
      </c>
      <c r="Z448" s="672" t="str">
        <f t="shared" si="180"/>
        <v/>
      </c>
      <c r="AA448" s="671">
        <f t="shared" si="181"/>
        <v>0</v>
      </c>
      <c r="AB448" s="677" t="b">
        <f t="shared" si="170"/>
        <v>0</v>
      </c>
      <c r="AC448" s="678">
        <f t="shared" si="182"/>
        <v>0</v>
      </c>
      <c r="AD448" s="673"/>
      <c r="AE448" s="678">
        <f t="shared" si="171"/>
        <v>0</v>
      </c>
      <c r="AF448" s="678" t="e">
        <f t="shared" si="172"/>
        <v>#N/A</v>
      </c>
      <c r="AG448" s="678" t="e">
        <f t="shared" si="173"/>
        <v>#N/A</v>
      </c>
      <c r="AH448" s="673">
        <f t="shared" si="183"/>
        <v>0</v>
      </c>
      <c r="AI448" s="674" t="e">
        <f>IF(G448="مدير ولائي",(11000*35%),LOOKUP(D448,'f-travail'!A:A,'f-travail'!I:I))</f>
        <v>#N/A</v>
      </c>
      <c r="AJ448" s="673" t="e">
        <f>IF(G448="مدير ولائي",((W448+X448)*45)*80%,IF(V448&lt;8,0,IF(F448="إليزي",(LOOKUP(D448,'f-travail'!A:A,'f-travail'!O:O))*(AF448+AG448),LOOKUP(D448,'f-travail'!A:A,'f-travail'!P:P)*(AF448+AG448))))</f>
        <v>#N/A</v>
      </c>
      <c r="AK448" s="673" t="e">
        <f>IF(G448="مدير ولائي",0,LOOKUP(D448,'f-travail'!A:A,'f-travail'!Q:Q))</f>
        <v>#N/A</v>
      </c>
      <c r="AL448" s="673" t="e">
        <f>IF(G448="مدير ولائي",0,LOOKUP(D448,'f-travail'!A:A,'f-travail'!R:R)*(AF448+AG448))</f>
        <v>#N/A</v>
      </c>
      <c r="AM448" s="673" t="e">
        <f>IF(G448="مدير ولائي",0,LOOKUP(D448,'f-travail'!A:A,'f-travail'!S:S)*(AF448+AG448))</f>
        <v>#N/A</v>
      </c>
      <c r="AN448" s="673" t="e">
        <f>IF(G448="مدير ولائي",0,LOOKUP(D448,'f-travail'!A:A,'f-travail'!T:T)*(AF448+AG448))</f>
        <v>#N/A</v>
      </c>
      <c r="AO448" s="673" t="e">
        <f>IF(G448="مدير ولائي",0,LOOKUP(D448,'f-travail'!A:A,'f-travail'!U:U)*(AF448+AG448))</f>
        <v>#N/A</v>
      </c>
      <c r="AP448" s="673" t="e">
        <f>IF(G448="مدير ولائي",0,LOOKUP(D448,'f-travail'!A:A,'f-travail'!V:V)*(AF448+AG448))</f>
        <v>#N/A</v>
      </c>
      <c r="AQ448" s="673" t="e">
        <f>IF(G448="مدير ولائي",0,LOOKUP(D448,'f-travail'!A:A,'f-travail'!W:W)*(AF448+AG448))</f>
        <v>#N/A</v>
      </c>
      <c r="AR448" s="673">
        <f t="shared" si="184"/>
        <v>0</v>
      </c>
      <c r="AS448" s="673" t="e">
        <f>IF(G448="مدير ولائي",0,LOOKUP(D448,'f-travail'!A:A,'f-travail'!X:X)*(AF448+AG448))</f>
        <v>#N/A</v>
      </c>
      <c r="AT448" s="673" t="e">
        <f>IF(G448="مدير ولائي",0,LOOKUP(D448,'f-travail'!Y:Y,'f-travail'!R:R)*(AF448+AG448))</f>
        <v>#N/A</v>
      </c>
      <c r="AU448" s="673">
        <f t="shared" si="174"/>
        <v>0</v>
      </c>
      <c r="AV448" s="673">
        <f t="shared" si="175"/>
        <v>0</v>
      </c>
      <c r="AW448" s="673">
        <f t="shared" si="176"/>
        <v>0</v>
      </c>
      <c r="AY448" s="640" t="e">
        <f t="shared" si="185"/>
        <v>#N/A</v>
      </c>
      <c r="AZ448" s="673" t="e">
        <f t="shared" si="177"/>
        <v>#N/A</v>
      </c>
      <c r="BA448" s="639" t="e">
        <f t="shared" si="178"/>
        <v>#N/A</v>
      </c>
      <c r="BG448" s="639">
        <f t="shared" si="186"/>
        <v>0</v>
      </c>
      <c r="BH448" s="683">
        <f t="shared" si="187"/>
        <v>0</v>
      </c>
      <c r="BI448" s="683">
        <f t="shared" si="188"/>
        <v>0</v>
      </c>
      <c r="BJ448" s="641" t="e">
        <f t="shared" si="189"/>
        <v>#N/A</v>
      </c>
      <c r="BK448" s="641" t="e">
        <f t="shared" si="190"/>
        <v>#N/A</v>
      </c>
      <c r="BL448" s="641" t="e">
        <f t="shared" si="191"/>
        <v>#N/A</v>
      </c>
      <c r="BM448" s="684" t="e">
        <f t="shared" si="192"/>
        <v>#N/A</v>
      </c>
      <c r="BO448" s="682" t="e">
        <f>CONCATENATE(Z448," ",LOOKUP(D448,'f-travail'!A:A,'f-travail'!F:F))</f>
        <v>#N/A</v>
      </c>
      <c r="BP448" s="669" t="e">
        <f t="shared" si="179"/>
        <v>#N/A</v>
      </c>
    </row>
    <row r="449" spans="1:68">
      <c r="A449" s="636">
        <f t="shared" si="193"/>
        <v>448</v>
      </c>
      <c r="B449" s="637"/>
      <c r="C449" s="637"/>
      <c r="D449" s="652"/>
      <c r="E449" s="679" t="e">
        <f>LOOKUP(D449,'f-travail'!A:A,'f-travail'!B:B)</f>
        <v>#N/A</v>
      </c>
      <c r="F449" s="650"/>
      <c r="G449" s="650"/>
      <c r="H449" s="653"/>
      <c r="I449" s="653"/>
      <c r="J449" s="654"/>
      <c r="K449" s="650"/>
      <c r="L449" s="650"/>
      <c r="M449" s="650">
        <v>0</v>
      </c>
      <c r="N449" s="654"/>
      <c r="O449" s="654"/>
      <c r="P449" s="654"/>
      <c r="Q449" s="654"/>
      <c r="R449" s="676"/>
      <c r="S449" s="654"/>
      <c r="T449" s="675"/>
      <c r="U449" s="675"/>
      <c r="V449" s="670" t="e">
        <f>LOOKUP(D449,'f-travail'!A:A,'f-travail'!E:E)</f>
        <v>#N/A</v>
      </c>
      <c r="W449" s="670" t="e">
        <f>VLOOKUP(V449,جرقمإستدلالي,'f-travail'!$AD$4+1,FALSE)</f>
        <v>#N/A</v>
      </c>
      <c r="X449" s="671" t="e">
        <f t="shared" ref="X449:X499" si="194">INDEX(جدرجات,V449,H449+1)</f>
        <v>#N/A</v>
      </c>
      <c r="Y449" s="671">
        <f>IF(G449="مدير ولائي",(HLOOKUP(I449,جدروظعليا,'f-travail'!$AT$3+1,FALSE)-3200),0)</f>
        <v>0</v>
      </c>
      <c r="Z449" s="672" t="str">
        <f t="shared" si="180"/>
        <v/>
      </c>
      <c r="AA449" s="671">
        <f t="shared" si="181"/>
        <v>0</v>
      </c>
      <c r="AB449" s="677" t="b">
        <f t="shared" ref="AB449:AB499" si="195">IF(OR(J449="متزوج(ة)",J449="متزوج(ة)ماكثة",J449="متزوج(ة)عاملة"),(CONCATENATE("م","(",K449,")")),IF(J449="مطلق(ة)",(CONCATENATE("مط","(",K449,")")),IF(J449="عازب(ة)","ع",IF(J449="عازب(ة)كفيل",CONCATENATE("ع/ك","(",K449,")")))))</f>
        <v>0</v>
      </c>
      <c r="AC449" s="678">
        <f t="shared" si="182"/>
        <v>0</v>
      </c>
      <c r="AD449" s="673"/>
      <c r="AE449" s="678">
        <f t="shared" ref="AE449:AE499" si="196">IF(AB449="ع",0,(AD449+(K449*300)+AC449))</f>
        <v>0</v>
      </c>
      <c r="AF449" s="678" t="e">
        <f t="shared" ref="AF449:AF499" si="197">IF(G449="مدير ولائي",(3200*19),(W449*45))</f>
        <v>#N/A</v>
      </c>
      <c r="AG449" s="678" t="e">
        <f t="shared" ref="AG449:AG499" si="198">IF(G449="مدير ولائي",(Y449*19),(X449*45))</f>
        <v>#N/A</v>
      </c>
      <c r="AH449" s="673">
        <f t="shared" si="183"/>
        <v>0</v>
      </c>
      <c r="AI449" s="674" t="e">
        <f>IF(G449="مدير ولائي",(11000*35%),LOOKUP(D449,'f-travail'!A:A,'f-travail'!I:I))</f>
        <v>#N/A</v>
      </c>
      <c r="AJ449" s="673" t="e">
        <f>IF(G449="مدير ولائي",((W449+X449)*45)*80%,IF(V449&lt;8,0,IF(F449="إليزي",(LOOKUP(D449,'f-travail'!A:A,'f-travail'!O:O))*(AF449+AG449),LOOKUP(D449,'f-travail'!A:A,'f-travail'!P:P)*(AF449+AG449))))</f>
        <v>#N/A</v>
      </c>
      <c r="AK449" s="673" t="e">
        <f>IF(G449="مدير ولائي",0,LOOKUP(D449,'f-travail'!A:A,'f-travail'!Q:Q))</f>
        <v>#N/A</v>
      </c>
      <c r="AL449" s="673" t="e">
        <f>IF(G449="مدير ولائي",0,LOOKUP(D449,'f-travail'!A:A,'f-travail'!R:R)*(AF449+AG449))</f>
        <v>#N/A</v>
      </c>
      <c r="AM449" s="673" t="e">
        <f>IF(G449="مدير ولائي",0,LOOKUP(D449,'f-travail'!A:A,'f-travail'!S:S)*(AF449+AG449))</f>
        <v>#N/A</v>
      </c>
      <c r="AN449" s="673" t="e">
        <f>IF(G449="مدير ولائي",0,LOOKUP(D449,'f-travail'!A:A,'f-travail'!T:T)*(AF449+AG449))</f>
        <v>#N/A</v>
      </c>
      <c r="AO449" s="673" t="e">
        <f>IF(G449="مدير ولائي",0,LOOKUP(D449,'f-travail'!A:A,'f-travail'!U:U)*(AF449+AG449))</f>
        <v>#N/A</v>
      </c>
      <c r="AP449" s="673" t="e">
        <f>IF(G449="مدير ولائي",0,LOOKUP(D449,'f-travail'!A:A,'f-travail'!V:V)*(AF449+AG449))</f>
        <v>#N/A</v>
      </c>
      <c r="AQ449" s="673" t="e">
        <f>IF(G449="مدير ولائي",0,LOOKUP(D449,'f-travail'!A:A,'f-travail'!W:W)*(AF449+AG449))</f>
        <v>#N/A</v>
      </c>
      <c r="AR449" s="673">
        <f t="shared" si="184"/>
        <v>0</v>
      </c>
      <c r="AS449" s="673" t="e">
        <f>IF(G449="مدير ولائي",0,LOOKUP(D449,'f-travail'!A:A,'f-travail'!X:X)*(AF449+AG449))</f>
        <v>#N/A</v>
      </c>
      <c r="AT449" s="673" t="e">
        <f>IF(G449="مدير ولائي",0,LOOKUP(D449,'f-travail'!Y:Y,'f-travail'!R:R)*(AF449+AG449))</f>
        <v>#N/A</v>
      </c>
      <c r="AU449" s="673">
        <f t="shared" ref="AU449:AU499" si="199">IF(G449="مدير ولائي",50%*(AF449+AG449),0)</f>
        <v>0</v>
      </c>
      <c r="AV449" s="673">
        <f t="shared" ref="AV449:AV499" si="200">IF(G449="مدير ولائي",50%*(AF449+AG449),0)</f>
        <v>0</v>
      </c>
      <c r="AW449" s="673">
        <f t="shared" ref="AW449:AW499" si="201">IF(G449="مدير ولائي",50%*(AF449+AG449),0)</f>
        <v>0</v>
      </c>
      <c r="AY449" s="640" t="e">
        <f t="shared" si="185"/>
        <v>#N/A</v>
      </c>
      <c r="AZ449" s="673" t="e">
        <f t="shared" ref="AZ449:AZ499" si="202">AG449+AF449+U449+T449+(AA449*45)</f>
        <v>#N/A</v>
      </c>
      <c r="BA449" s="639" t="e">
        <f t="shared" ref="BA449:BA499" si="203">SUM(BB449:BF449,(AZ449+AT449+AJ449+AI449+AE449))</f>
        <v>#N/A</v>
      </c>
      <c r="BG449" s="639">
        <f t="shared" si="186"/>
        <v>0</v>
      </c>
      <c r="BH449" s="683">
        <f t="shared" si="187"/>
        <v>0</v>
      </c>
      <c r="BI449" s="683">
        <f t="shared" si="188"/>
        <v>0</v>
      </c>
      <c r="BJ449" s="641" t="e">
        <f t="shared" si="189"/>
        <v>#N/A</v>
      </c>
      <c r="BK449" s="641" t="e">
        <f t="shared" si="190"/>
        <v>#N/A</v>
      </c>
      <c r="BL449" s="641" t="e">
        <f t="shared" si="191"/>
        <v>#N/A</v>
      </c>
      <c r="BM449" s="684" t="e">
        <f t="shared" si="192"/>
        <v>#N/A</v>
      </c>
      <c r="BO449" s="682" t="e">
        <f>CONCATENATE(Z449," ",LOOKUP(D449,'f-travail'!A:A,'f-travail'!F:F))</f>
        <v>#N/A</v>
      </c>
      <c r="BP449" s="669" t="e">
        <f t="shared" ref="BP449:BP499" si="204">IF(G449="",CONCATENATE(G449," ",E449),CONCATENATE(G449," (",E449,")"))</f>
        <v>#N/A</v>
      </c>
    </row>
    <row r="450" spans="1:68">
      <c r="A450" s="636">
        <f t="shared" si="193"/>
        <v>449</v>
      </c>
      <c r="B450" s="637"/>
      <c r="C450" s="637"/>
      <c r="D450" s="652"/>
      <c r="E450" s="679" t="e">
        <f>LOOKUP(D450,'f-travail'!A:A,'f-travail'!B:B)</f>
        <v>#N/A</v>
      </c>
      <c r="F450" s="650"/>
      <c r="G450" s="650"/>
      <c r="H450" s="653"/>
      <c r="I450" s="653"/>
      <c r="J450" s="654"/>
      <c r="K450" s="650"/>
      <c r="L450" s="650"/>
      <c r="M450" s="650">
        <v>0</v>
      </c>
      <c r="N450" s="654"/>
      <c r="O450" s="654"/>
      <c r="P450" s="654"/>
      <c r="Q450" s="654"/>
      <c r="R450" s="676"/>
      <c r="S450" s="654"/>
      <c r="T450" s="675"/>
      <c r="U450" s="675"/>
      <c r="V450" s="670" t="e">
        <f>LOOKUP(D450,'f-travail'!A:A,'f-travail'!E:E)</f>
        <v>#N/A</v>
      </c>
      <c r="W450" s="670" t="e">
        <f>VLOOKUP(V450,جرقمإستدلالي,'f-travail'!$AD$4+1,FALSE)</f>
        <v>#N/A</v>
      </c>
      <c r="X450" s="671" t="e">
        <f t="shared" si="194"/>
        <v>#N/A</v>
      </c>
      <c r="Y450" s="671">
        <f>IF(G450="مدير ولائي",(HLOOKUP(I450,جدروظعليا,'f-travail'!$AT$3+1,FALSE)-3200),0)</f>
        <v>0</v>
      </c>
      <c r="Z450" s="672" t="str">
        <f t="shared" ref="Z450:Z499" si="205">IF(OR(G450="رئيس مفتشية",G450="محافظ عقاري",G450="رئيس مصلحة"),"م8",IF(G450="رئيس مكتب","م7",IF(G450="رئيس قسم","م5",IF(G450="رئيس حضيرة","م3",IF(G450="مدير ولائي","ب 1","")))))</f>
        <v/>
      </c>
      <c r="AA450" s="671">
        <f t="shared" ref="AA450:AA499" si="206">IF(Z450="م8",195,IF(Z450="م7",145,IF(Z450="م5",75,IF(Z450="م3",45,0))))</f>
        <v>0</v>
      </c>
      <c r="AB450" s="677" t="b">
        <f t="shared" si="195"/>
        <v>0</v>
      </c>
      <c r="AC450" s="678">
        <f t="shared" ref="AC450:AC499" si="207">IF(AND(J450="متزوج(ة)ماكثة",K450=0),5.5,IF(AND(J450="متزوج(ة)ماكثة",K450&gt;0),800,0))</f>
        <v>0</v>
      </c>
      <c r="AD450" s="673"/>
      <c r="AE450" s="678">
        <f t="shared" si="196"/>
        <v>0</v>
      </c>
      <c r="AF450" s="678" t="e">
        <f t="shared" si="197"/>
        <v>#N/A</v>
      </c>
      <c r="AG450" s="678" t="e">
        <f t="shared" si="198"/>
        <v>#N/A</v>
      </c>
      <c r="AH450" s="673">
        <f t="shared" ref="AH450:AH499" si="208">IF(OR(G450="مدير ولائي",M450=0),0,IF(M450=1,2000))</f>
        <v>0</v>
      </c>
      <c r="AI450" s="674" t="e">
        <f>IF(G450="مدير ولائي",(11000*35%),LOOKUP(D450,'f-travail'!A:A,'f-travail'!I:I))</f>
        <v>#N/A</v>
      </c>
      <c r="AJ450" s="673" t="e">
        <f>IF(G450="مدير ولائي",((W450+X450)*45)*80%,IF(V450&lt;8,0,IF(F450="إليزي",(LOOKUP(D450,'f-travail'!A:A,'f-travail'!O:O))*(AF450+AG450),LOOKUP(D450,'f-travail'!A:A,'f-travail'!P:P)*(AF450+AG450))))</f>
        <v>#N/A</v>
      </c>
      <c r="AK450" s="673" t="e">
        <f>IF(G450="مدير ولائي",0,LOOKUP(D450,'f-travail'!A:A,'f-travail'!Q:Q))</f>
        <v>#N/A</v>
      </c>
      <c r="AL450" s="673" t="e">
        <f>IF(G450="مدير ولائي",0,LOOKUP(D450,'f-travail'!A:A,'f-travail'!R:R)*(AF450+AG450))</f>
        <v>#N/A</v>
      </c>
      <c r="AM450" s="673" t="e">
        <f>IF(G450="مدير ولائي",0,LOOKUP(D450,'f-travail'!A:A,'f-travail'!S:S)*(AF450+AG450))</f>
        <v>#N/A</v>
      </c>
      <c r="AN450" s="673" t="e">
        <f>IF(G450="مدير ولائي",0,LOOKUP(D450,'f-travail'!A:A,'f-travail'!T:T)*(AF450+AG450))</f>
        <v>#N/A</v>
      </c>
      <c r="AO450" s="673" t="e">
        <f>IF(G450="مدير ولائي",0,LOOKUP(D450,'f-travail'!A:A,'f-travail'!U:U)*(AF450+AG450))</f>
        <v>#N/A</v>
      </c>
      <c r="AP450" s="673" t="e">
        <f>IF(G450="مدير ولائي",0,LOOKUP(D450,'f-travail'!A:A,'f-travail'!V:V)*(AF450+AG450))</f>
        <v>#N/A</v>
      </c>
      <c r="AQ450" s="673" t="e">
        <f>IF(G450="مدير ولائي",0,LOOKUP(D450,'f-travail'!A:A,'f-travail'!W:W)*(AF450+AG450))</f>
        <v>#N/A</v>
      </c>
      <c r="AR450" s="673">
        <f t="shared" ref="AR450:AR499" si="209">IF(G450="أمين صندوق",4000,0)</f>
        <v>0</v>
      </c>
      <c r="AS450" s="673" t="e">
        <f>IF(G450="مدير ولائي",0,LOOKUP(D450,'f-travail'!A:A,'f-travail'!X:X)*(AF450+AG450))</f>
        <v>#N/A</v>
      </c>
      <c r="AT450" s="673" t="e">
        <f>IF(G450="مدير ولائي",0,LOOKUP(D450,'f-travail'!Y:Y,'f-travail'!R:R)*(AF450+AG450))</f>
        <v>#N/A</v>
      </c>
      <c r="AU450" s="673">
        <f t="shared" si="199"/>
        <v>0</v>
      </c>
      <c r="AV450" s="673">
        <f t="shared" si="200"/>
        <v>0</v>
      </c>
      <c r="AW450" s="673">
        <f t="shared" si="201"/>
        <v>0</v>
      </c>
      <c r="AY450" s="640" t="e">
        <f t="shared" ref="AY450:AY499" si="210">IF(Z450="ب 1",IF(OR(A450=0,A450=""),"",IF(OR(H450=0,I450=""),BO450,CONCATENATE(BO450," - ","د"," ",I450))),IF(OR(A450=0,A450=""),"",IF(OR(H450=0,H450=""),BO450,CONCATENATE(BO450," - ","د"," ",H450))))</f>
        <v>#N/A</v>
      </c>
      <c r="AZ450" s="673" t="e">
        <f t="shared" si="202"/>
        <v>#N/A</v>
      </c>
      <c r="BA450" s="639" t="e">
        <f t="shared" si="203"/>
        <v>#N/A</v>
      </c>
      <c r="BG450" s="639">
        <f t="shared" ref="BG450:BG499" si="211">IF(Z450="ب 1",ROUND((BA450-AE450-N450)*1%,2),0)</f>
        <v>0</v>
      </c>
      <c r="BH450" s="683">
        <f t="shared" ref="BH450:BH499" si="212">IF(AND(Z450="ب 1",P450=1),ROUND((BA450-AE450-N450)*1.5%,2),IF(P450=1,ROUND((BA450-AE450)*1.5%,2),0))</f>
        <v>0</v>
      </c>
      <c r="BI450" s="683">
        <f t="shared" ref="BI450:BI499" si="213">IF(O450=1,9523.81,0)</f>
        <v>0</v>
      </c>
      <c r="BJ450" s="641" t="e">
        <f t="shared" ref="BJ450:BJ499" si="214">IF(Z450="ب 1",ROUND((BA450-AE450-N450),2),ROUND((BA450-AE450),2))</f>
        <v>#N/A</v>
      </c>
      <c r="BK450" s="641" t="e">
        <f t="shared" ref="BK450:BK499" si="215">ROUND((BJ450*9%),2)</f>
        <v>#N/A</v>
      </c>
      <c r="BL450" s="641" t="e">
        <f t="shared" ref="BL450:BL499" si="216">IF(Z450="ب 1",ROUNDDOWN((BA450-BK450-AI450-N450),2),ROUNDDOWN((BA450-BK450-AI450-AH450),2))</f>
        <v>#N/A</v>
      </c>
      <c r="BM450" s="684" t="e">
        <f t="shared" ref="BM450:BM499" si="217">IF(Z450="ب 1",ROUND((29500+(BL450-120000)*35%)/2,2),(ROUND((IF((BL450&gt;1500),(IF(OR(BL450&gt;22500),IF(AND(BL450&gt;22500),(BL450-22500)*12%)+IF(AND(BL450&gt;28750),(BL450-28750)*8%)+IF(AND(BL450&gt;30000),(BL450-30000)*10%)+1500,IF(AND((BL450&gt;1500),(BL450&lt;=22500)),(BL450-15000)*20%))))/2),2)))</f>
        <v>#N/A</v>
      </c>
      <c r="BO450" s="682" t="e">
        <f>CONCATENATE(Z450," ",LOOKUP(D450,'f-travail'!A:A,'f-travail'!F:F))</f>
        <v>#N/A</v>
      </c>
      <c r="BP450" s="669" t="e">
        <f t="shared" si="204"/>
        <v>#N/A</v>
      </c>
    </row>
    <row r="451" spans="1:68">
      <c r="A451" s="636">
        <f t="shared" si="193"/>
        <v>450</v>
      </c>
      <c r="B451" s="637"/>
      <c r="C451" s="637"/>
      <c r="D451" s="652"/>
      <c r="E451" s="679" t="e">
        <f>LOOKUP(D451,'f-travail'!A:A,'f-travail'!B:B)</f>
        <v>#N/A</v>
      </c>
      <c r="F451" s="650"/>
      <c r="G451" s="650"/>
      <c r="H451" s="653"/>
      <c r="I451" s="653"/>
      <c r="J451" s="654"/>
      <c r="K451" s="650"/>
      <c r="L451" s="650"/>
      <c r="M451" s="650">
        <v>0</v>
      </c>
      <c r="N451" s="654"/>
      <c r="O451" s="654"/>
      <c r="P451" s="654"/>
      <c r="Q451" s="654"/>
      <c r="R451" s="676"/>
      <c r="S451" s="654"/>
      <c r="T451" s="675"/>
      <c r="U451" s="675"/>
      <c r="V451" s="670" t="e">
        <f>LOOKUP(D451,'f-travail'!A:A,'f-travail'!E:E)</f>
        <v>#N/A</v>
      </c>
      <c r="W451" s="670" t="e">
        <f>VLOOKUP(V451,جرقمإستدلالي,'f-travail'!$AD$4+1,FALSE)</f>
        <v>#N/A</v>
      </c>
      <c r="X451" s="671" t="e">
        <f t="shared" si="194"/>
        <v>#N/A</v>
      </c>
      <c r="Y451" s="671">
        <f>IF(G451="مدير ولائي",(HLOOKUP(I451,جدروظعليا,'f-travail'!$AT$3+1,FALSE)-3200),0)</f>
        <v>0</v>
      </c>
      <c r="Z451" s="672" t="str">
        <f t="shared" si="205"/>
        <v/>
      </c>
      <c r="AA451" s="671">
        <f t="shared" si="206"/>
        <v>0</v>
      </c>
      <c r="AB451" s="677" t="b">
        <f t="shared" si="195"/>
        <v>0</v>
      </c>
      <c r="AC451" s="678">
        <f t="shared" si="207"/>
        <v>0</v>
      </c>
      <c r="AD451" s="673"/>
      <c r="AE451" s="678">
        <f t="shared" si="196"/>
        <v>0</v>
      </c>
      <c r="AF451" s="678" t="e">
        <f t="shared" si="197"/>
        <v>#N/A</v>
      </c>
      <c r="AG451" s="678" t="e">
        <f t="shared" si="198"/>
        <v>#N/A</v>
      </c>
      <c r="AH451" s="673">
        <f t="shared" si="208"/>
        <v>0</v>
      </c>
      <c r="AI451" s="674" t="e">
        <f>IF(G451="مدير ولائي",(11000*35%),LOOKUP(D451,'f-travail'!A:A,'f-travail'!I:I))</f>
        <v>#N/A</v>
      </c>
      <c r="AJ451" s="673" t="e">
        <f>IF(G451="مدير ولائي",((W451+X451)*45)*80%,IF(V451&lt;8,0,IF(F451="إليزي",(LOOKUP(D451,'f-travail'!A:A,'f-travail'!O:O))*(AF451+AG451),LOOKUP(D451,'f-travail'!A:A,'f-travail'!P:P)*(AF451+AG451))))</f>
        <v>#N/A</v>
      </c>
      <c r="AK451" s="673" t="e">
        <f>IF(G451="مدير ولائي",0,LOOKUP(D451,'f-travail'!A:A,'f-travail'!Q:Q))</f>
        <v>#N/A</v>
      </c>
      <c r="AL451" s="673" t="e">
        <f>IF(G451="مدير ولائي",0,LOOKUP(D451,'f-travail'!A:A,'f-travail'!R:R)*(AF451+AG451))</f>
        <v>#N/A</v>
      </c>
      <c r="AM451" s="673" t="e">
        <f>IF(G451="مدير ولائي",0,LOOKUP(D451,'f-travail'!A:A,'f-travail'!S:S)*(AF451+AG451))</f>
        <v>#N/A</v>
      </c>
      <c r="AN451" s="673" t="e">
        <f>IF(G451="مدير ولائي",0,LOOKUP(D451,'f-travail'!A:A,'f-travail'!T:T)*(AF451+AG451))</f>
        <v>#N/A</v>
      </c>
      <c r="AO451" s="673" t="e">
        <f>IF(G451="مدير ولائي",0,LOOKUP(D451,'f-travail'!A:A,'f-travail'!U:U)*(AF451+AG451))</f>
        <v>#N/A</v>
      </c>
      <c r="AP451" s="673" t="e">
        <f>IF(G451="مدير ولائي",0,LOOKUP(D451,'f-travail'!A:A,'f-travail'!V:V)*(AF451+AG451))</f>
        <v>#N/A</v>
      </c>
      <c r="AQ451" s="673" t="e">
        <f>IF(G451="مدير ولائي",0,LOOKUP(D451,'f-travail'!A:A,'f-travail'!W:W)*(AF451+AG451))</f>
        <v>#N/A</v>
      </c>
      <c r="AR451" s="673">
        <f t="shared" si="209"/>
        <v>0</v>
      </c>
      <c r="AS451" s="673" t="e">
        <f>IF(G451="مدير ولائي",0,LOOKUP(D451,'f-travail'!A:A,'f-travail'!X:X)*(AF451+AG451))</f>
        <v>#N/A</v>
      </c>
      <c r="AT451" s="673" t="e">
        <f>IF(G451="مدير ولائي",0,LOOKUP(D451,'f-travail'!Y:Y,'f-travail'!R:R)*(AF451+AG451))</f>
        <v>#N/A</v>
      </c>
      <c r="AU451" s="673">
        <f t="shared" si="199"/>
        <v>0</v>
      </c>
      <c r="AV451" s="673">
        <f t="shared" si="200"/>
        <v>0</v>
      </c>
      <c r="AW451" s="673">
        <f t="shared" si="201"/>
        <v>0</v>
      </c>
      <c r="AY451" s="640" t="e">
        <f t="shared" si="210"/>
        <v>#N/A</v>
      </c>
      <c r="AZ451" s="673" t="e">
        <f t="shared" si="202"/>
        <v>#N/A</v>
      </c>
      <c r="BA451" s="639" t="e">
        <f t="shared" si="203"/>
        <v>#N/A</v>
      </c>
      <c r="BG451" s="639">
        <f t="shared" si="211"/>
        <v>0</v>
      </c>
      <c r="BH451" s="683">
        <f t="shared" si="212"/>
        <v>0</v>
      </c>
      <c r="BI451" s="683">
        <f t="shared" si="213"/>
        <v>0</v>
      </c>
      <c r="BJ451" s="641" t="e">
        <f t="shared" si="214"/>
        <v>#N/A</v>
      </c>
      <c r="BK451" s="641" t="e">
        <f t="shared" si="215"/>
        <v>#N/A</v>
      </c>
      <c r="BL451" s="641" t="e">
        <f t="shared" si="216"/>
        <v>#N/A</v>
      </c>
      <c r="BM451" s="684" t="e">
        <f t="shared" si="217"/>
        <v>#N/A</v>
      </c>
      <c r="BO451" s="682" t="e">
        <f>CONCATENATE(Z451," ",LOOKUP(D451,'f-travail'!A:A,'f-travail'!F:F))</f>
        <v>#N/A</v>
      </c>
      <c r="BP451" s="669" t="e">
        <f t="shared" si="204"/>
        <v>#N/A</v>
      </c>
    </row>
    <row r="452" spans="1:68">
      <c r="A452" s="636">
        <f t="shared" ref="A452:A499" si="218">A451+1</f>
        <v>451</v>
      </c>
      <c r="B452" s="637"/>
      <c r="C452" s="637"/>
      <c r="D452" s="652"/>
      <c r="E452" s="679" t="e">
        <f>LOOKUP(D452,'f-travail'!A:A,'f-travail'!B:B)</f>
        <v>#N/A</v>
      </c>
      <c r="F452" s="650"/>
      <c r="G452" s="650"/>
      <c r="H452" s="653"/>
      <c r="I452" s="653"/>
      <c r="J452" s="654"/>
      <c r="K452" s="650"/>
      <c r="L452" s="650"/>
      <c r="M452" s="650">
        <v>0</v>
      </c>
      <c r="N452" s="654"/>
      <c r="O452" s="654"/>
      <c r="P452" s="654"/>
      <c r="Q452" s="654"/>
      <c r="R452" s="676"/>
      <c r="S452" s="654"/>
      <c r="T452" s="675"/>
      <c r="U452" s="675"/>
      <c r="V452" s="670" t="e">
        <f>LOOKUP(D452,'f-travail'!A:A,'f-travail'!E:E)</f>
        <v>#N/A</v>
      </c>
      <c r="W452" s="670" t="e">
        <f>VLOOKUP(V452,جرقمإستدلالي,'f-travail'!$AD$4+1,FALSE)</f>
        <v>#N/A</v>
      </c>
      <c r="X452" s="671" t="e">
        <f t="shared" si="194"/>
        <v>#N/A</v>
      </c>
      <c r="Y452" s="671">
        <f>IF(G452="مدير ولائي",(HLOOKUP(I452,جدروظعليا,'f-travail'!$AT$3+1,FALSE)-3200),0)</f>
        <v>0</v>
      </c>
      <c r="Z452" s="672" t="str">
        <f t="shared" si="205"/>
        <v/>
      </c>
      <c r="AA452" s="671">
        <f t="shared" si="206"/>
        <v>0</v>
      </c>
      <c r="AB452" s="677" t="b">
        <f t="shared" si="195"/>
        <v>0</v>
      </c>
      <c r="AC452" s="678">
        <f t="shared" si="207"/>
        <v>0</v>
      </c>
      <c r="AD452" s="673"/>
      <c r="AE452" s="678">
        <f t="shared" si="196"/>
        <v>0</v>
      </c>
      <c r="AF452" s="678" t="e">
        <f t="shared" si="197"/>
        <v>#N/A</v>
      </c>
      <c r="AG452" s="678" t="e">
        <f t="shared" si="198"/>
        <v>#N/A</v>
      </c>
      <c r="AH452" s="673">
        <f t="shared" si="208"/>
        <v>0</v>
      </c>
      <c r="AI452" s="674" t="e">
        <f>IF(G452="مدير ولائي",(11000*35%),LOOKUP(D452,'f-travail'!A:A,'f-travail'!I:I))</f>
        <v>#N/A</v>
      </c>
      <c r="AJ452" s="673" t="e">
        <f>IF(G452="مدير ولائي",((W452+X452)*45)*80%,IF(V452&lt;8,0,IF(F452="إليزي",(LOOKUP(D452,'f-travail'!A:A,'f-travail'!O:O))*(AF452+AG452),LOOKUP(D452,'f-travail'!A:A,'f-travail'!P:P)*(AF452+AG452))))</f>
        <v>#N/A</v>
      </c>
      <c r="AK452" s="673" t="e">
        <f>IF(G452="مدير ولائي",0,LOOKUP(D452,'f-travail'!A:A,'f-travail'!Q:Q))</f>
        <v>#N/A</v>
      </c>
      <c r="AL452" s="673" t="e">
        <f>IF(G452="مدير ولائي",0,LOOKUP(D452,'f-travail'!A:A,'f-travail'!R:R)*(AF452+AG452))</f>
        <v>#N/A</v>
      </c>
      <c r="AM452" s="673" t="e">
        <f>IF(G452="مدير ولائي",0,LOOKUP(D452,'f-travail'!A:A,'f-travail'!S:S)*(AF452+AG452))</f>
        <v>#N/A</v>
      </c>
      <c r="AN452" s="673" t="e">
        <f>IF(G452="مدير ولائي",0,LOOKUP(D452,'f-travail'!A:A,'f-travail'!T:T)*(AF452+AG452))</f>
        <v>#N/A</v>
      </c>
      <c r="AO452" s="673" t="e">
        <f>IF(G452="مدير ولائي",0,LOOKUP(D452,'f-travail'!A:A,'f-travail'!U:U)*(AF452+AG452))</f>
        <v>#N/A</v>
      </c>
      <c r="AP452" s="673" t="e">
        <f>IF(G452="مدير ولائي",0,LOOKUP(D452,'f-travail'!A:A,'f-travail'!V:V)*(AF452+AG452))</f>
        <v>#N/A</v>
      </c>
      <c r="AQ452" s="673" t="e">
        <f>IF(G452="مدير ولائي",0,LOOKUP(D452,'f-travail'!A:A,'f-travail'!W:W)*(AF452+AG452))</f>
        <v>#N/A</v>
      </c>
      <c r="AR452" s="673">
        <f t="shared" si="209"/>
        <v>0</v>
      </c>
      <c r="AS452" s="673" t="e">
        <f>IF(G452="مدير ولائي",0,LOOKUP(D452,'f-travail'!A:A,'f-travail'!X:X)*(AF452+AG452))</f>
        <v>#N/A</v>
      </c>
      <c r="AT452" s="673" t="e">
        <f>IF(G452="مدير ولائي",0,LOOKUP(D452,'f-travail'!Y:Y,'f-travail'!R:R)*(AF452+AG452))</f>
        <v>#N/A</v>
      </c>
      <c r="AU452" s="673">
        <f t="shared" si="199"/>
        <v>0</v>
      </c>
      <c r="AV452" s="673">
        <f t="shared" si="200"/>
        <v>0</v>
      </c>
      <c r="AW452" s="673">
        <f t="shared" si="201"/>
        <v>0</v>
      </c>
      <c r="AY452" s="640" t="e">
        <f t="shared" si="210"/>
        <v>#N/A</v>
      </c>
      <c r="AZ452" s="673" t="e">
        <f t="shared" si="202"/>
        <v>#N/A</v>
      </c>
      <c r="BA452" s="639" t="e">
        <f t="shared" si="203"/>
        <v>#N/A</v>
      </c>
      <c r="BG452" s="639">
        <f t="shared" si="211"/>
        <v>0</v>
      </c>
      <c r="BH452" s="683">
        <f t="shared" si="212"/>
        <v>0</v>
      </c>
      <c r="BI452" s="683">
        <f t="shared" si="213"/>
        <v>0</v>
      </c>
      <c r="BJ452" s="641" t="e">
        <f t="shared" si="214"/>
        <v>#N/A</v>
      </c>
      <c r="BK452" s="641" t="e">
        <f t="shared" si="215"/>
        <v>#N/A</v>
      </c>
      <c r="BL452" s="641" t="e">
        <f t="shared" si="216"/>
        <v>#N/A</v>
      </c>
      <c r="BM452" s="684" t="e">
        <f t="shared" si="217"/>
        <v>#N/A</v>
      </c>
      <c r="BO452" s="682" t="e">
        <f>CONCATENATE(Z452," ",LOOKUP(D452,'f-travail'!A:A,'f-travail'!F:F))</f>
        <v>#N/A</v>
      </c>
      <c r="BP452" s="669" t="e">
        <f t="shared" si="204"/>
        <v>#N/A</v>
      </c>
    </row>
    <row r="453" spans="1:68">
      <c r="A453" s="636">
        <f t="shared" si="218"/>
        <v>452</v>
      </c>
      <c r="B453" s="637"/>
      <c r="C453" s="637"/>
      <c r="D453" s="652"/>
      <c r="E453" s="679" t="e">
        <f>LOOKUP(D453,'f-travail'!A:A,'f-travail'!B:B)</f>
        <v>#N/A</v>
      </c>
      <c r="F453" s="650"/>
      <c r="G453" s="650"/>
      <c r="H453" s="653"/>
      <c r="I453" s="653"/>
      <c r="J453" s="654"/>
      <c r="K453" s="650"/>
      <c r="L453" s="650"/>
      <c r="M453" s="650">
        <v>0</v>
      </c>
      <c r="N453" s="654"/>
      <c r="O453" s="654"/>
      <c r="P453" s="654"/>
      <c r="Q453" s="654"/>
      <c r="R453" s="676"/>
      <c r="S453" s="654"/>
      <c r="T453" s="675"/>
      <c r="U453" s="675"/>
      <c r="V453" s="670" t="e">
        <f>LOOKUP(D453,'f-travail'!A:A,'f-travail'!E:E)</f>
        <v>#N/A</v>
      </c>
      <c r="W453" s="670" t="e">
        <f>VLOOKUP(V453,جرقمإستدلالي,'f-travail'!$AD$4+1,FALSE)</f>
        <v>#N/A</v>
      </c>
      <c r="X453" s="671" t="e">
        <f t="shared" si="194"/>
        <v>#N/A</v>
      </c>
      <c r="Y453" s="671">
        <f>IF(G453="مدير ولائي",(HLOOKUP(I453,جدروظعليا,'f-travail'!$AT$3+1,FALSE)-3200),0)</f>
        <v>0</v>
      </c>
      <c r="Z453" s="672" t="str">
        <f t="shared" si="205"/>
        <v/>
      </c>
      <c r="AA453" s="671">
        <f t="shared" si="206"/>
        <v>0</v>
      </c>
      <c r="AB453" s="677" t="b">
        <f t="shared" si="195"/>
        <v>0</v>
      </c>
      <c r="AC453" s="678">
        <f t="shared" si="207"/>
        <v>0</v>
      </c>
      <c r="AD453" s="673"/>
      <c r="AE453" s="678">
        <f t="shared" si="196"/>
        <v>0</v>
      </c>
      <c r="AF453" s="678" t="e">
        <f t="shared" si="197"/>
        <v>#N/A</v>
      </c>
      <c r="AG453" s="678" t="e">
        <f t="shared" si="198"/>
        <v>#N/A</v>
      </c>
      <c r="AH453" s="673">
        <f t="shared" si="208"/>
        <v>0</v>
      </c>
      <c r="AI453" s="674" t="e">
        <f>IF(G453="مدير ولائي",(11000*35%),LOOKUP(D453,'f-travail'!A:A,'f-travail'!I:I))</f>
        <v>#N/A</v>
      </c>
      <c r="AJ453" s="673" t="e">
        <f>IF(G453="مدير ولائي",((W453+X453)*45)*80%,IF(V453&lt;8,0,IF(F453="إليزي",(LOOKUP(D453,'f-travail'!A:A,'f-travail'!O:O))*(AF453+AG453),LOOKUP(D453,'f-travail'!A:A,'f-travail'!P:P)*(AF453+AG453))))</f>
        <v>#N/A</v>
      </c>
      <c r="AK453" s="673" t="e">
        <f>IF(G453="مدير ولائي",0,LOOKUP(D453,'f-travail'!A:A,'f-travail'!Q:Q))</f>
        <v>#N/A</v>
      </c>
      <c r="AL453" s="673" t="e">
        <f>IF(G453="مدير ولائي",0,LOOKUP(D453,'f-travail'!A:A,'f-travail'!R:R)*(AF453+AG453))</f>
        <v>#N/A</v>
      </c>
      <c r="AM453" s="673" t="e">
        <f>IF(G453="مدير ولائي",0,LOOKUP(D453,'f-travail'!A:A,'f-travail'!S:S)*(AF453+AG453))</f>
        <v>#N/A</v>
      </c>
      <c r="AN453" s="673" t="e">
        <f>IF(G453="مدير ولائي",0,LOOKUP(D453,'f-travail'!A:A,'f-travail'!T:T)*(AF453+AG453))</f>
        <v>#N/A</v>
      </c>
      <c r="AO453" s="673" t="e">
        <f>IF(G453="مدير ولائي",0,LOOKUP(D453,'f-travail'!A:A,'f-travail'!U:U)*(AF453+AG453))</f>
        <v>#N/A</v>
      </c>
      <c r="AP453" s="673" t="e">
        <f>IF(G453="مدير ولائي",0,LOOKUP(D453,'f-travail'!A:A,'f-travail'!V:V)*(AF453+AG453))</f>
        <v>#N/A</v>
      </c>
      <c r="AQ453" s="673" t="e">
        <f>IF(G453="مدير ولائي",0,LOOKUP(D453,'f-travail'!A:A,'f-travail'!W:W)*(AF453+AG453))</f>
        <v>#N/A</v>
      </c>
      <c r="AR453" s="673">
        <f t="shared" si="209"/>
        <v>0</v>
      </c>
      <c r="AS453" s="673" t="e">
        <f>IF(G453="مدير ولائي",0,LOOKUP(D453,'f-travail'!A:A,'f-travail'!X:X)*(AF453+AG453))</f>
        <v>#N/A</v>
      </c>
      <c r="AT453" s="673" t="e">
        <f>IF(G453="مدير ولائي",0,LOOKUP(D453,'f-travail'!Y:Y,'f-travail'!R:R)*(AF453+AG453))</f>
        <v>#N/A</v>
      </c>
      <c r="AU453" s="673">
        <f t="shared" si="199"/>
        <v>0</v>
      </c>
      <c r="AV453" s="673">
        <f t="shared" si="200"/>
        <v>0</v>
      </c>
      <c r="AW453" s="673">
        <f t="shared" si="201"/>
        <v>0</v>
      </c>
      <c r="AY453" s="640" t="e">
        <f t="shared" si="210"/>
        <v>#N/A</v>
      </c>
      <c r="AZ453" s="673" t="e">
        <f t="shared" si="202"/>
        <v>#N/A</v>
      </c>
      <c r="BA453" s="639" t="e">
        <f t="shared" si="203"/>
        <v>#N/A</v>
      </c>
      <c r="BG453" s="639">
        <f t="shared" si="211"/>
        <v>0</v>
      </c>
      <c r="BH453" s="683">
        <f t="shared" si="212"/>
        <v>0</v>
      </c>
      <c r="BI453" s="683">
        <f t="shared" si="213"/>
        <v>0</v>
      </c>
      <c r="BJ453" s="641" t="e">
        <f t="shared" si="214"/>
        <v>#N/A</v>
      </c>
      <c r="BK453" s="641" t="e">
        <f t="shared" si="215"/>
        <v>#N/A</v>
      </c>
      <c r="BL453" s="641" t="e">
        <f t="shared" si="216"/>
        <v>#N/A</v>
      </c>
      <c r="BM453" s="684" t="e">
        <f t="shared" si="217"/>
        <v>#N/A</v>
      </c>
      <c r="BO453" s="682" t="e">
        <f>CONCATENATE(Z453," ",LOOKUP(D453,'f-travail'!A:A,'f-travail'!F:F))</f>
        <v>#N/A</v>
      </c>
      <c r="BP453" s="669" t="e">
        <f t="shared" si="204"/>
        <v>#N/A</v>
      </c>
    </row>
    <row r="454" spans="1:68">
      <c r="A454" s="636">
        <f t="shared" si="218"/>
        <v>453</v>
      </c>
      <c r="B454" s="637"/>
      <c r="C454" s="637"/>
      <c r="D454" s="652"/>
      <c r="E454" s="679" t="e">
        <f>LOOKUP(D454,'f-travail'!A:A,'f-travail'!B:B)</f>
        <v>#N/A</v>
      </c>
      <c r="F454" s="650"/>
      <c r="G454" s="650"/>
      <c r="H454" s="653"/>
      <c r="I454" s="653"/>
      <c r="J454" s="654"/>
      <c r="K454" s="650"/>
      <c r="L454" s="650"/>
      <c r="M454" s="650">
        <v>0</v>
      </c>
      <c r="N454" s="654"/>
      <c r="O454" s="654"/>
      <c r="P454" s="654"/>
      <c r="Q454" s="654"/>
      <c r="R454" s="676"/>
      <c r="S454" s="654"/>
      <c r="T454" s="675"/>
      <c r="U454" s="675"/>
      <c r="V454" s="670" t="e">
        <f>LOOKUP(D454,'f-travail'!A:A,'f-travail'!E:E)</f>
        <v>#N/A</v>
      </c>
      <c r="W454" s="670" t="e">
        <f>VLOOKUP(V454,جرقمإستدلالي,'f-travail'!$AD$4+1,FALSE)</f>
        <v>#N/A</v>
      </c>
      <c r="X454" s="671" t="e">
        <f t="shared" si="194"/>
        <v>#N/A</v>
      </c>
      <c r="Y454" s="671">
        <f>IF(G454="مدير ولائي",(HLOOKUP(I454,جدروظعليا,'f-travail'!$AT$3+1,FALSE)-3200),0)</f>
        <v>0</v>
      </c>
      <c r="Z454" s="672" t="str">
        <f t="shared" si="205"/>
        <v/>
      </c>
      <c r="AA454" s="671">
        <f t="shared" si="206"/>
        <v>0</v>
      </c>
      <c r="AB454" s="677" t="b">
        <f t="shared" si="195"/>
        <v>0</v>
      </c>
      <c r="AC454" s="678">
        <f t="shared" si="207"/>
        <v>0</v>
      </c>
      <c r="AD454" s="673"/>
      <c r="AE454" s="678">
        <f t="shared" si="196"/>
        <v>0</v>
      </c>
      <c r="AF454" s="678" t="e">
        <f t="shared" si="197"/>
        <v>#N/A</v>
      </c>
      <c r="AG454" s="678" t="e">
        <f t="shared" si="198"/>
        <v>#N/A</v>
      </c>
      <c r="AH454" s="673">
        <f t="shared" si="208"/>
        <v>0</v>
      </c>
      <c r="AI454" s="674" t="e">
        <f>IF(G454="مدير ولائي",(11000*35%),LOOKUP(D454,'f-travail'!A:A,'f-travail'!I:I))</f>
        <v>#N/A</v>
      </c>
      <c r="AJ454" s="673" t="e">
        <f>IF(G454="مدير ولائي",((W454+X454)*45)*80%,IF(V454&lt;8,0,IF(F454="إليزي",(LOOKUP(D454,'f-travail'!A:A,'f-travail'!O:O))*(AF454+AG454),LOOKUP(D454,'f-travail'!A:A,'f-travail'!P:P)*(AF454+AG454))))</f>
        <v>#N/A</v>
      </c>
      <c r="AK454" s="673" t="e">
        <f>IF(G454="مدير ولائي",0,LOOKUP(D454,'f-travail'!A:A,'f-travail'!Q:Q))</f>
        <v>#N/A</v>
      </c>
      <c r="AL454" s="673" t="e">
        <f>IF(G454="مدير ولائي",0,LOOKUP(D454,'f-travail'!A:A,'f-travail'!R:R)*(AF454+AG454))</f>
        <v>#N/A</v>
      </c>
      <c r="AM454" s="673" t="e">
        <f>IF(G454="مدير ولائي",0,LOOKUP(D454,'f-travail'!A:A,'f-travail'!S:S)*(AF454+AG454))</f>
        <v>#N/A</v>
      </c>
      <c r="AN454" s="673" t="e">
        <f>IF(G454="مدير ولائي",0,LOOKUP(D454,'f-travail'!A:A,'f-travail'!T:T)*(AF454+AG454))</f>
        <v>#N/A</v>
      </c>
      <c r="AO454" s="673" t="e">
        <f>IF(G454="مدير ولائي",0,LOOKUP(D454,'f-travail'!A:A,'f-travail'!U:U)*(AF454+AG454))</f>
        <v>#N/A</v>
      </c>
      <c r="AP454" s="673" t="e">
        <f>IF(G454="مدير ولائي",0,LOOKUP(D454,'f-travail'!A:A,'f-travail'!V:V)*(AF454+AG454))</f>
        <v>#N/A</v>
      </c>
      <c r="AQ454" s="673" t="e">
        <f>IF(G454="مدير ولائي",0,LOOKUP(D454,'f-travail'!A:A,'f-travail'!W:W)*(AF454+AG454))</f>
        <v>#N/A</v>
      </c>
      <c r="AR454" s="673">
        <f t="shared" si="209"/>
        <v>0</v>
      </c>
      <c r="AS454" s="673" t="e">
        <f>IF(G454="مدير ولائي",0,LOOKUP(D454,'f-travail'!A:A,'f-travail'!X:X)*(AF454+AG454))</f>
        <v>#N/A</v>
      </c>
      <c r="AT454" s="673" t="e">
        <f>IF(G454="مدير ولائي",0,LOOKUP(D454,'f-travail'!Y:Y,'f-travail'!R:R)*(AF454+AG454))</f>
        <v>#N/A</v>
      </c>
      <c r="AU454" s="673">
        <f t="shared" si="199"/>
        <v>0</v>
      </c>
      <c r="AV454" s="673">
        <f t="shared" si="200"/>
        <v>0</v>
      </c>
      <c r="AW454" s="673">
        <f t="shared" si="201"/>
        <v>0</v>
      </c>
      <c r="AY454" s="640" t="e">
        <f t="shared" si="210"/>
        <v>#N/A</v>
      </c>
      <c r="AZ454" s="673" t="e">
        <f t="shared" si="202"/>
        <v>#N/A</v>
      </c>
      <c r="BA454" s="639" t="e">
        <f t="shared" si="203"/>
        <v>#N/A</v>
      </c>
      <c r="BG454" s="639">
        <f t="shared" si="211"/>
        <v>0</v>
      </c>
      <c r="BH454" s="683">
        <f t="shared" si="212"/>
        <v>0</v>
      </c>
      <c r="BI454" s="683">
        <f t="shared" si="213"/>
        <v>0</v>
      </c>
      <c r="BJ454" s="641" t="e">
        <f t="shared" si="214"/>
        <v>#N/A</v>
      </c>
      <c r="BK454" s="641" t="e">
        <f t="shared" si="215"/>
        <v>#N/A</v>
      </c>
      <c r="BL454" s="641" t="e">
        <f t="shared" si="216"/>
        <v>#N/A</v>
      </c>
      <c r="BM454" s="684" t="e">
        <f t="shared" si="217"/>
        <v>#N/A</v>
      </c>
      <c r="BO454" s="682" t="e">
        <f>CONCATENATE(Z454," ",LOOKUP(D454,'f-travail'!A:A,'f-travail'!F:F))</f>
        <v>#N/A</v>
      </c>
      <c r="BP454" s="669" t="e">
        <f t="shared" si="204"/>
        <v>#N/A</v>
      </c>
    </row>
    <row r="455" spans="1:68">
      <c r="A455" s="636">
        <f t="shared" si="218"/>
        <v>454</v>
      </c>
      <c r="B455" s="637"/>
      <c r="C455" s="637"/>
      <c r="D455" s="652"/>
      <c r="E455" s="679" t="e">
        <f>LOOKUP(D455,'f-travail'!A:A,'f-travail'!B:B)</f>
        <v>#N/A</v>
      </c>
      <c r="F455" s="650"/>
      <c r="G455" s="650"/>
      <c r="H455" s="653"/>
      <c r="I455" s="653"/>
      <c r="J455" s="654"/>
      <c r="K455" s="650"/>
      <c r="L455" s="650"/>
      <c r="M455" s="650">
        <v>0</v>
      </c>
      <c r="N455" s="654"/>
      <c r="O455" s="654"/>
      <c r="P455" s="654"/>
      <c r="Q455" s="654"/>
      <c r="R455" s="676"/>
      <c r="S455" s="654"/>
      <c r="T455" s="675"/>
      <c r="U455" s="675"/>
      <c r="V455" s="670" t="e">
        <f>LOOKUP(D455,'f-travail'!A:A,'f-travail'!E:E)</f>
        <v>#N/A</v>
      </c>
      <c r="W455" s="670" t="e">
        <f>VLOOKUP(V455,جرقمإستدلالي,'f-travail'!$AD$4+1,FALSE)</f>
        <v>#N/A</v>
      </c>
      <c r="X455" s="671" t="e">
        <f t="shared" si="194"/>
        <v>#N/A</v>
      </c>
      <c r="Y455" s="671">
        <f>IF(G455="مدير ولائي",(HLOOKUP(I455,جدروظعليا,'f-travail'!$AT$3+1,FALSE)-3200),0)</f>
        <v>0</v>
      </c>
      <c r="Z455" s="672" t="str">
        <f t="shared" si="205"/>
        <v/>
      </c>
      <c r="AA455" s="671">
        <f t="shared" si="206"/>
        <v>0</v>
      </c>
      <c r="AB455" s="677" t="b">
        <f t="shared" si="195"/>
        <v>0</v>
      </c>
      <c r="AC455" s="678">
        <f t="shared" si="207"/>
        <v>0</v>
      </c>
      <c r="AD455" s="673"/>
      <c r="AE455" s="678">
        <f t="shared" si="196"/>
        <v>0</v>
      </c>
      <c r="AF455" s="678" t="e">
        <f t="shared" si="197"/>
        <v>#N/A</v>
      </c>
      <c r="AG455" s="678" t="e">
        <f t="shared" si="198"/>
        <v>#N/A</v>
      </c>
      <c r="AH455" s="673">
        <f t="shared" si="208"/>
        <v>0</v>
      </c>
      <c r="AI455" s="674" t="e">
        <f>IF(G455="مدير ولائي",(11000*35%),LOOKUP(D455,'f-travail'!A:A,'f-travail'!I:I))</f>
        <v>#N/A</v>
      </c>
      <c r="AJ455" s="673" t="e">
        <f>IF(G455="مدير ولائي",((W455+X455)*45)*80%,IF(V455&lt;8,0,IF(F455="إليزي",(LOOKUP(D455,'f-travail'!A:A,'f-travail'!O:O))*(AF455+AG455),LOOKUP(D455,'f-travail'!A:A,'f-travail'!P:P)*(AF455+AG455))))</f>
        <v>#N/A</v>
      </c>
      <c r="AK455" s="673" t="e">
        <f>IF(G455="مدير ولائي",0,LOOKUP(D455,'f-travail'!A:A,'f-travail'!Q:Q))</f>
        <v>#N/A</v>
      </c>
      <c r="AL455" s="673" t="e">
        <f>IF(G455="مدير ولائي",0,LOOKUP(D455,'f-travail'!A:A,'f-travail'!R:R)*(AF455+AG455))</f>
        <v>#N/A</v>
      </c>
      <c r="AM455" s="673" t="e">
        <f>IF(G455="مدير ولائي",0,LOOKUP(D455,'f-travail'!A:A,'f-travail'!S:S)*(AF455+AG455))</f>
        <v>#N/A</v>
      </c>
      <c r="AN455" s="673" t="e">
        <f>IF(G455="مدير ولائي",0,LOOKUP(D455,'f-travail'!A:A,'f-travail'!T:T)*(AF455+AG455))</f>
        <v>#N/A</v>
      </c>
      <c r="AO455" s="673" t="e">
        <f>IF(G455="مدير ولائي",0,LOOKUP(D455,'f-travail'!A:A,'f-travail'!U:U)*(AF455+AG455))</f>
        <v>#N/A</v>
      </c>
      <c r="AP455" s="673" t="e">
        <f>IF(G455="مدير ولائي",0,LOOKUP(D455,'f-travail'!A:A,'f-travail'!V:V)*(AF455+AG455))</f>
        <v>#N/A</v>
      </c>
      <c r="AQ455" s="673" t="e">
        <f>IF(G455="مدير ولائي",0,LOOKUP(D455,'f-travail'!A:A,'f-travail'!W:W)*(AF455+AG455))</f>
        <v>#N/A</v>
      </c>
      <c r="AR455" s="673">
        <f t="shared" si="209"/>
        <v>0</v>
      </c>
      <c r="AS455" s="673" t="e">
        <f>IF(G455="مدير ولائي",0,LOOKUP(D455,'f-travail'!A:A,'f-travail'!X:X)*(AF455+AG455))</f>
        <v>#N/A</v>
      </c>
      <c r="AT455" s="673" t="e">
        <f>IF(G455="مدير ولائي",0,LOOKUP(D455,'f-travail'!Y:Y,'f-travail'!R:R)*(AF455+AG455))</f>
        <v>#N/A</v>
      </c>
      <c r="AU455" s="673">
        <f t="shared" si="199"/>
        <v>0</v>
      </c>
      <c r="AV455" s="673">
        <f t="shared" si="200"/>
        <v>0</v>
      </c>
      <c r="AW455" s="673">
        <f t="shared" si="201"/>
        <v>0</v>
      </c>
      <c r="AY455" s="640" t="e">
        <f t="shared" si="210"/>
        <v>#N/A</v>
      </c>
      <c r="AZ455" s="673" t="e">
        <f t="shared" si="202"/>
        <v>#N/A</v>
      </c>
      <c r="BA455" s="639" t="e">
        <f t="shared" si="203"/>
        <v>#N/A</v>
      </c>
      <c r="BG455" s="639">
        <f t="shared" si="211"/>
        <v>0</v>
      </c>
      <c r="BH455" s="683">
        <f t="shared" si="212"/>
        <v>0</v>
      </c>
      <c r="BI455" s="683">
        <f t="shared" si="213"/>
        <v>0</v>
      </c>
      <c r="BJ455" s="641" t="e">
        <f t="shared" si="214"/>
        <v>#N/A</v>
      </c>
      <c r="BK455" s="641" t="e">
        <f t="shared" si="215"/>
        <v>#N/A</v>
      </c>
      <c r="BL455" s="641" t="e">
        <f t="shared" si="216"/>
        <v>#N/A</v>
      </c>
      <c r="BM455" s="684" t="e">
        <f t="shared" si="217"/>
        <v>#N/A</v>
      </c>
      <c r="BO455" s="682" t="e">
        <f>CONCATENATE(Z455," ",LOOKUP(D455,'f-travail'!A:A,'f-travail'!F:F))</f>
        <v>#N/A</v>
      </c>
      <c r="BP455" s="669" t="e">
        <f t="shared" si="204"/>
        <v>#N/A</v>
      </c>
    </row>
    <row r="456" spans="1:68">
      <c r="A456" s="636">
        <f t="shared" si="218"/>
        <v>455</v>
      </c>
      <c r="B456" s="637"/>
      <c r="C456" s="637"/>
      <c r="D456" s="652"/>
      <c r="E456" s="679" t="e">
        <f>LOOKUP(D456,'f-travail'!A:A,'f-travail'!B:B)</f>
        <v>#N/A</v>
      </c>
      <c r="F456" s="650"/>
      <c r="G456" s="650"/>
      <c r="H456" s="653"/>
      <c r="I456" s="653"/>
      <c r="J456" s="654"/>
      <c r="K456" s="650"/>
      <c r="L456" s="650"/>
      <c r="M456" s="650">
        <v>0</v>
      </c>
      <c r="N456" s="654"/>
      <c r="O456" s="654"/>
      <c r="P456" s="654"/>
      <c r="Q456" s="654"/>
      <c r="R456" s="676"/>
      <c r="S456" s="654"/>
      <c r="T456" s="675"/>
      <c r="U456" s="675"/>
      <c r="V456" s="670" t="e">
        <f>LOOKUP(D456,'f-travail'!A:A,'f-travail'!E:E)</f>
        <v>#N/A</v>
      </c>
      <c r="W456" s="670" t="e">
        <f>VLOOKUP(V456,جرقمإستدلالي,'f-travail'!$AD$4+1,FALSE)</f>
        <v>#N/A</v>
      </c>
      <c r="X456" s="671" t="e">
        <f t="shared" si="194"/>
        <v>#N/A</v>
      </c>
      <c r="Y456" s="671">
        <f>IF(G456="مدير ولائي",(HLOOKUP(I456,جدروظعليا,'f-travail'!$AT$3+1,FALSE)-3200),0)</f>
        <v>0</v>
      </c>
      <c r="Z456" s="672" t="str">
        <f t="shared" si="205"/>
        <v/>
      </c>
      <c r="AA456" s="671">
        <f t="shared" si="206"/>
        <v>0</v>
      </c>
      <c r="AB456" s="677" t="b">
        <f t="shared" si="195"/>
        <v>0</v>
      </c>
      <c r="AC456" s="678">
        <f t="shared" si="207"/>
        <v>0</v>
      </c>
      <c r="AD456" s="673"/>
      <c r="AE456" s="678">
        <f t="shared" si="196"/>
        <v>0</v>
      </c>
      <c r="AF456" s="678" t="e">
        <f t="shared" si="197"/>
        <v>#N/A</v>
      </c>
      <c r="AG456" s="678" t="e">
        <f t="shared" si="198"/>
        <v>#N/A</v>
      </c>
      <c r="AH456" s="673">
        <f t="shared" si="208"/>
        <v>0</v>
      </c>
      <c r="AI456" s="674" t="e">
        <f>IF(G456="مدير ولائي",(11000*35%),LOOKUP(D456,'f-travail'!A:A,'f-travail'!I:I))</f>
        <v>#N/A</v>
      </c>
      <c r="AJ456" s="673" t="e">
        <f>IF(G456="مدير ولائي",((W456+X456)*45)*80%,IF(V456&lt;8,0,IF(F456="إليزي",(LOOKUP(D456,'f-travail'!A:A,'f-travail'!O:O))*(AF456+AG456),LOOKUP(D456,'f-travail'!A:A,'f-travail'!P:P)*(AF456+AG456))))</f>
        <v>#N/A</v>
      </c>
      <c r="AK456" s="673" t="e">
        <f>IF(G456="مدير ولائي",0,LOOKUP(D456,'f-travail'!A:A,'f-travail'!Q:Q))</f>
        <v>#N/A</v>
      </c>
      <c r="AL456" s="673" t="e">
        <f>IF(G456="مدير ولائي",0,LOOKUP(D456,'f-travail'!A:A,'f-travail'!R:R)*(AF456+AG456))</f>
        <v>#N/A</v>
      </c>
      <c r="AM456" s="673" t="e">
        <f>IF(G456="مدير ولائي",0,LOOKUP(D456,'f-travail'!A:A,'f-travail'!S:S)*(AF456+AG456))</f>
        <v>#N/A</v>
      </c>
      <c r="AN456" s="673" t="e">
        <f>IF(G456="مدير ولائي",0,LOOKUP(D456,'f-travail'!A:A,'f-travail'!T:T)*(AF456+AG456))</f>
        <v>#N/A</v>
      </c>
      <c r="AO456" s="673" t="e">
        <f>IF(G456="مدير ولائي",0,LOOKUP(D456,'f-travail'!A:A,'f-travail'!U:U)*(AF456+AG456))</f>
        <v>#N/A</v>
      </c>
      <c r="AP456" s="673" t="e">
        <f>IF(G456="مدير ولائي",0,LOOKUP(D456,'f-travail'!A:A,'f-travail'!V:V)*(AF456+AG456))</f>
        <v>#N/A</v>
      </c>
      <c r="AQ456" s="673" t="e">
        <f>IF(G456="مدير ولائي",0,LOOKUP(D456,'f-travail'!A:A,'f-travail'!W:W)*(AF456+AG456))</f>
        <v>#N/A</v>
      </c>
      <c r="AR456" s="673">
        <f t="shared" si="209"/>
        <v>0</v>
      </c>
      <c r="AS456" s="673" t="e">
        <f>IF(G456="مدير ولائي",0,LOOKUP(D456,'f-travail'!A:A,'f-travail'!X:X)*(AF456+AG456))</f>
        <v>#N/A</v>
      </c>
      <c r="AT456" s="673" t="e">
        <f>IF(G456="مدير ولائي",0,LOOKUP(D456,'f-travail'!Y:Y,'f-travail'!R:R)*(AF456+AG456))</f>
        <v>#N/A</v>
      </c>
      <c r="AU456" s="673">
        <f t="shared" si="199"/>
        <v>0</v>
      </c>
      <c r="AV456" s="673">
        <f t="shared" si="200"/>
        <v>0</v>
      </c>
      <c r="AW456" s="673">
        <f t="shared" si="201"/>
        <v>0</v>
      </c>
      <c r="AY456" s="640" t="e">
        <f t="shared" si="210"/>
        <v>#N/A</v>
      </c>
      <c r="AZ456" s="673" t="e">
        <f t="shared" si="202"/>
        <v>#N/A</v>
      </c>
      <c r="BA456" s="639" t="e">
        <f t="shared" si="203"/>
        <v>#N/A</v>
      </c>
      <c r="BG456" s="639">
        <f t="shared" si="211"/>
        <v>0</v>
      </c>
      <c r="BH456" s="683">
        <f t="shared" si="212"/>
        <v>0</v>
      </c>
      <c r="BI456" s="683">
        <f t="shared" si="213"/>
        <v>0</v>
      </c>
      <c r="BJ456" s="641" t="e">
        <f t="shared" si="214"/>
        <v>#N/A</v>
      </c>
      <c r="BK456" s="641" t="e">
        <f t="shared" si="215"/>
        <v>#N/A</v>
      </c>
      <c r="BL456" s="641" t="e">
        <f t="shared" si="216"/>
        <v>#N/A</v>
      </c>
      <c r="BM456" s="684" t="e">
        <f t="shared" si="217"/>
        <v>#N/A</v>
      </c>
      <c r="BO456" s="682" t="e">
        <f>CONCATENATE(Z456," ",LOOKUP(D456,'f-travail'!A:A,'f-travail'!F:F))</f>
        <v>#N/A</v>
      </c>
      <c r="BP456" s="669" t="e">
        <f t="shared" si="204"/>
        <v>#N/A</v>
      </c>
    </row>
    <row r="457" spans="1:68">
      <c r="A457" s="636">
        <f t="shared" si="218"/>
        <v>456</v>
      </c>
      <c r="B457" s="637"/>
      <c r="C457" s="637"/>
      <c r="D457" s="652"/>
      <c r="E457" s="679" t="e">
        <f>LOOKUP(D457,'f-travail'!A:A,'f-travail'!B:B)</f>
        <v>#N/A</v>
      </c>
      <c r="F457" s="650"/>
      <c r="G457" s="650"/>
      <c r="H457" s="653"/>
      <c r="I457" s="653"/>
      <c r="J457" s="654"/>
      <c r="K457" s="650"/>
      <c r="L457" s="650"/>
      <c r="M457" s="650">
        <v>0</v>
      </c>
      <c r="N457" s="654"/>
      <c r="O457" s="654"/>
      <c r="P457" s="654"/>
      <c r="Q457" s="654"/>
      <c r="R457" s="676"/>
      <c r="S457" s="654"/>
      <c r="T457" s="675"/>
      <c r="U457" s="675"/>
      <c r="V457" s="670" t="e">
        <f>LOOKUP(D457,'f-travail'!A:A,'f-travail'!E:E)</f>
        <v>#N/A</v>
      </c>
      <c r="W457" s="670" t="e">
        <f>VLOOKUP(V457,جرقمإستدلالي,'f-travail'!$AD$4+1,FALSE)</f>
        <v>#N/A</v>
      </c>
      <c r="X457" s="671" t="e">
        <f t="shared" si="194"/>
        <v>#N/A</v>
      </c>
      <c r="Y457" s="671">
        <f>IF(G457="مدير ولائي",(HLOOKUP(I457,جدروظعليا,'f-travail'!$AT$3+1,FALSE)-3200),0)</f>
        <v>0</v>
      </c>
      <c r="Z457" s="672" t="str">
        <f t="shared" si="205"/>
        <v/>
      </c>
      <c r="AA457" s="671">
        <f t="shared" si="206"/>
        <v>0</v>
      </c>
      <c r="AB457" s="677" t="b">
        <f t="shared" si="195"/>
        <v>0</v>
      </c>
      <c r="AC457" s="678">
        <f t="shared" si="207"/>
        <v>0</v>
      </c>
      <c r="AD457" s="673"/>
      <c r="AE457" s="678">
        <f t="shared" si="196"/>
        <v>0</v>
      </c>
      <c r="AF457" s="678" t="e">
        <f t="shared" si="197"/>
        <v>#N/A</v>
      </c>
      <c r="AG457" s="678" t="e">
        <f t="shared" si="198"/>
        <v>#N/A</v>
      </c>
      <c r="AH457" s="673">
        <f t="shared" si="208"/>
        <v>0</v>
      </c>
      <c r="AI457" s="674" t="e">
        <f>IF(G457="مدير ولائي",(11000*35%),LOOKUP(D457,'f-travail'!A:A,'f-travail'!I:I))</f>
        <v>#N/A</v>
      </c>
      <c r="AJ457" s="673" t="e">
        <f>IF(G457="مدير ولائي",((W457+X457)*45)*80%,IF(V457&lt;8,0,IF(F457="إليزي",(LOOKUP(D457,'f-travail'!A:A,'f-travail'!O:O))*(AF457+AG457),LOOKUP(D457,'f-travail'!A:A,'f-travail'!P:P)*(AF457+AG457))))</f>
        <v>#N/A</v>
      </c>
      <c r="AK457" s="673" t="e">
        <f>IF(G457="مدير ولائي",0,LOOKUP(D457,'f-travail'!A:A,'f-travail'!Q:Q))</f>
        <v>#N/A</v>
      </c>
      <c r="AL457" s="673" t="e">
        <f>IF(G457="مدير ولائي",0,LOOKUP(D457,'f-travail'!A:A,'f-travail'!R:R)*(AF457+AG457))</f>
        <v>#N/A</v>
      </c>
      <c r="AM457" s="673" t="e">
        <f>IF(G457="مدير ولائي",0,LOOKUP(D457,'f-travail'!A:A,'f-travail'!S:S)*(AF457+AG457))</f>
        <v>#N/A</v>
      </c>
      <c r="AN457" s="673" t="e">
        <f>IF(G457="مدير ولائي",0,LOOKUP(D457,'f-travail'!A:A,'f-travail'!T:T)*(AF457+AG457))</f>
        <v>#N/A</v>
      </c>
      <c r="AO457" s="673" t="e">
        <f>IF(G457="مدير ولائي",0,LOOKUP(D457,'f-travail'!A:A,'f-travail'!U:U)*(AF457+AG457))</f>
        <v>#N/A</v>
      </c>
      <c r="AP457" s="673" t="e">
        <f>IF(G457="مدير ولائي",0,LOOKUP(D457,'f-travail'!A:A,'f-travail'!V:V)*(AF457+AG457))</f>
        <v>#N/A</v>
      </c>
      <c r="AQ457" s="673" t="e">
        <f>IF(G457="مدير ولائي",0,LOOKUP(D457,'f-travail'!A:A,'f-travail'!W:W)*(AF457+AG457))</f>
        <v>#N/A</v>
      </c>
      <c r="AR457" s="673">
        <f t="shared" si="209"/>
        <v>0</v>
      </c>
      <c r="AS457" s="673" t="e">
        <f>IF(G457="مدير ولائي",0,LOOKUP(D457,'f-travail'!A:A,'f-travail'!X:X)*(AF457+AG457))</f>
        <v>#N/A</v>
      </c>
      <c r="AT457" s="673" t="e">
        <f>IF(G457="مدير ولائي",0,LOOKUP(D457,'f-travail'!Y:Y,'f-travail'!R:R)*(AF457+AG457))</f>
        <v>#N/A</v>
      </c>
      <c r="AU457" s="673">
        <f t="shared" si="199"/>
        <v>0</v>
      </c>
      <c r="AV457" s="673">
        <f t="shared" si="200"/>
        <v>0</v>
      </c>
      <c r="AW457" s="673">
        <f t="shared" si="201"/>
        <v>0</v>
      </c>
      <c r="AY457" s="640" t="e">
        <f t="shared" si="210"/>
        <v>#N/A</v>
      </c>
      <c r="AZ457" s="673" t="e">
        <f t="shared" si="202"/>
        <v>#N/A</v>
      </c>
      <c r="BA457" s="639" t="e">
        <f t="shared" si="203"/>
        <v>#N/A</v>
      </c>
      <c r="BG457" s="639">
        <f t="shared" si="211"/>
        <v>0</v>
      </c>
      <c r="BH457" s="683">
        <f t="shared" si="212"/>
        <v>0</v>
      </c>
      <c r="BI457" s="683">
        <f t="shared" si="213"/>
        <v>0</v>
      </c>
      <c r="BJ457" s="641" t="e">
        <f t="shared" si="214"/>
        <v>#N/A</v>
      </c>
      <c r="BK457" s="641" t="e">
        <f t="shared" si="215"/>
        <v>#N/A</v>
      </c>
      <c r="BL457" s="641" t="e">
        <f t="shared" si="216"/>
        <v>#N/A</v>
      </c>
      <c r="BM457" s="684" t="e">
        <f t="shared" si="217"/>
        <v>#N/A</v>
      </c>
      <c r="BO457" s="682" t="e">
        <f>CONCATENATE(Z457," ",LOOKUP(D457,'f-travail'!A:A,'f-travail'!F:F))</f>
        <v>#N/A</v>
      </c>
      <c r="BP457" s="669" t="e">
        <f t="shared" si="204"/>
        <v>#N/A</v>
      </c>
    </row>
    <row r="458" spans="1:68">
      <c r="A458" s="636">
        <f t="shared" si="218"/>
        <v>457</v>
      </c>
      <c r="B458" s="637"/>
      <c r="C458" s="637"/>
      <c r="D458" s="652"/>
      <c r="E458" s="679" t="e">
        <f>LOOKUP(D458,'f-travail'!A:A,'f-travail'!B:B)</f>
        <v>#N/A</v>
      </c>
      <c r="F458" s="650"/>
      <c r="G458" s="650"/>
      <c r="H458" s="653"/>
      <c r="I458" s="653"/>
      <c r="J458" s="654"/>
      <c r="K458" s="650"/>
      <c r="L458" s="650"/>
      <c r="M458" s="650">
        <v>0</v>
      </c>
      <c r="N458" s="654"/>
      <c r="O458" s="654"/>
      <c r="P458" s="654"/>
      <c r="Q458" s="654"/>
      <c r="R458" s="676"/>
      <c r="S458" s="654"/>
      <c r="T458" s="675"/>
      <c r="U458" s="675"/>
      <c r="V458" s="670" t="e">
        <f>LOOKUP(D458,'f-travail'!A:A,'f-travail'!E:E)</f>
        <v>#N/A</v>
      </c>
      <c r="W458" s="670" t="e">
        <f>VLOOKUP(V458,جرقمإستدلالي,'f-travail'!$AD$4+1,FALSE)</f>
        <v>#N/A</v>
      </c>
      <c r="X458" s="671" t="e">
        <f t="shared" si="194"/>
        <v>#N/A</v>
      </c>
      <c r="Y458" s="671">
        <f>IF(G458="مدير ولائي",(HLOOKUP(I458,جدروظعليا,'f-travail'!$AT$3+1,FALSE)-3200),0)</f>
        <v>0</v>
      </c>
      <c r="Z458" s="672" t="str">
        <f t="shared" si="205"/>
        <v/>
      </c>
      <c r="AA458" s="671">
        <f t="shared" si="206"/>
        <v>0</v>
      </c>
      <c r="AB458" s="677" t="b">
        <f t="shared" si="195"/>
        <v>0</v>
      </c>
      <c r="AC458" s="678">
        <f t="shared" si="207"/>
        <v>0</v>
      </c>
      <c r="AD458" s="673"/>
      <c r="AE458" s="678">
        <f t="shared" si="196"/>
        <v>0</v>
      </c>
      <c r="AF458" s="678" t="e">
        <f t="shared" si="197"/>
        <v>#N/A</v>
      </c>
      <c r="AG458" s="678" t="e">
        <f t="shared" si="198"/>
        <v>#N/A</v>
      </c>
      <c r="AH458" s="673">
        <f t="shared" si="208"/>
        <v>0</v>
      </c>
      <c r="AI458" s="674" t="e">
        <f>IF(G458="مدير ولائي",(11000*35%),LOOKUP(D458,'f-travail'!A:A,'f-travail'!I:I))</f>
        <v>#N/A</v>
      </c>
      <c r="AJ458" s="673" t="e">
        <f>IF(G458="مدير ولائي",((W458+X458)*45)*80%,IF(V458&lt;8,0,IF(F458="إليزي",(LOOKUP(D458,'f-travail'!A:A,'f-travail'!O:O))*(AF458+AG458),LOOKUP(D458,'f-travail'!A:A,'f-travail'!P:P)*(AF458+AG458))))</f>
        <v>#N/A</v>
      </c>
      <c r="AK458" s="673" t="e">
        <f>IF(G458="مدير ولائي",0,LOOKUP(D458,'f-travail'!A:A,'f-travail'!Q:Q))</f>
        <v>#N/A</v>
      </c>
      <c r="AL458" s="673" t="e">
        <f>IF(G458="مدير ولائي",0,LOOKUP(D458,'f-travail'!A:A,'f-travail'!R:R)*(AF458+AG458))</f>
        <v>#N/A</v>
      </c>
      <c r="AM458" s="673" t="e">
        <f>IF(G458="مدير ولائي",0,LOOKUP(D458,'f-travail'!A:A,'f-travail'!S:S)*(AF458+AG458))</f>
        <v>#N/A</v>
      </c>
      <c r="AN458" s="673" t="e">
        <f>IF(G458="مدير ولائي",0,LOOKUP(D458,'f-travail'!A:A,'f-travail'!T:T)*(AF458+AG458))</f>
        <v>#N/A</v>
      </c>
      <c r="AO458" s="673" t="e">
        <f>IF(G458="مدير ولائي",0,LOOKUP(D458,'f-travail'!A:A,'f-travail'!U:U)*(AF458+AG458))</f>
        <v>#N/A</v>
      </c>
      <c r="AP458" s="673" t="e">
        <f>IF(G458="مدير ولائي",0,LOOKUP(D458,'f-travail'!A:A,'f-travail'!V:V)*(AF458+AG458))</f>
        <v>#N/A</v>
      </c>
      <c r="AQ458" s="673" t="e">
        <f>IF(G458="مدير ولائي",0,LOOKUP(D458,'f-travail'!A:A,'f-travail'!W:W)*(AF458+AG458))</f>
        <v>#N/A</v>
      </c>
      <c r="AR458" s="673">
        <f t="shared" si="209"/>
        <v>0</v>
      </c>
      <c r="AS458" s="673" t="e">
        <f>IF(G458="مدير ولائي",0,LOOKUP(D458,'f-travail'!A:A,'f-travail'!X:X)*(AF458+AG458))</f>
        <v>#N/A</v>
      </c>
      <c r="AT458" s="673" t="e">
        <f>IF(G458="مدير ولائي",0,LOOKUP(D458,'f-travail'!Y:Y,'f-travail'!R:R)*(AF458+AG458))</f>
        <v>#N/A</v>
      </c>
      <c r="AU458" s="673">
        <f t="shared" si="199"/>
        <v>0</v>
      </c>
      <c r="AV458" s="673">
        <f t="shared" si="200"/>
        <v>0</v>
      </c>
      <c r="AW458" s="673">
        <f t="shared" si="201"/>
        <v>0</v>
      </c>
      <c r="AY458" s="640" t="e">
        <f t="shared" si="210"/>
        <v>#N/A</v>
      </c>
      <c r="AZ458" s="673" t="e">
        <f t="shared" si="202"/>
        <v>#N/A</v>
      </c>
      <c r="BA458" s="639" t="e">
        <f t="shared" si="203"/>
        <v>#N/A</v>
      </c>
      <c r="BG458" s="639">
        <f t="shared" si="211"/>
        <v>0</v>
      </c>
      <c r="BH458" s="683">
        <f t="shared" si="212"/>
        <v>0</v>
      </c>
      <c r="BI458" s="683">
        <f t="shared" si="213"/>
        <v>0</v>
      </c>
      <c r="BJ458" s="641" t="e">
        <f t="shared" si="214"/>
        <v>#N/A</v>
      </c>
      <c r="BK458" s="641" t="e">
        <f t="shared" si="215"/>
        <v>#N/A</v>
      </c>
      <c r="BL458" s="641" t="e">
        <f t="shared" si="216"/>
        <v>#N/A</v>
      </c>
      <c r="BM458" s="684" t="e">
        <f t="shared" si="217"/>
        <v>#N/A</v>
      </c>
      <c r="BO458" s="682" t="e">
        <f>CONCATENATE(Z458," ",LOOKUP(D458,'f-travail'!A:A,'f-travail'!F:F))</f>
        <v>#N/A</v>
      </c>
      <c r="BP458" s="669" t="e">
        <f t="shared" si="204"/>
        <v>#N/A</v>
      </c>
    </row>
    <row r="459" spans="1:68">
      <c r="A459" s="636">
        <f t="shared" si="218"/>
        <v>458</v>
      </c>
      <c r="B459" s="637"/>
      <c r="C459" s="637"/>
      <c r="D459" s="652"/>
      <c r="E459" s="679" t="e">
        <f>LOOKUP(D459,'f-travail'!A:A,'f-travail'!B:B)</f>
        <v>#N/A</v>
      </c>
      <c r="F459" s="650"/>
      <c r="G459" s="650"/>
      <c r="H459" s="653"/>
      <c r="I459" s="653"/>
      <c r="J459" s="654"/>
      <c r="K459" s="650"/>
      <c r="L459" s="650"/>
      <c r="M459" s="650">
        <v>0</v>
      </c>
      <c r="N459" s="654"/>
      <c r="O459" s="654"/>
      <c r="P459" s="654"/>
      <c r="Q459" s="654"/>
      <c r="R459" s="676"/>
      <c r="S459" s="654"/>
      <c r="T459" s="675"/>
      <c r="U459" s="675"/>
      <c r="V459" s="670" t="e">
        <f>LOOKUP(D459,'f-travail'!A:A,'f-travail'!E:E)</f>
        <v>#N/A</v>
      </c>
      <c r="W459" s="670" t="e">
        <f>VLOOKUP(V459,جرقمإستدلالي,'f-travail'!$AD$4+1,FALSE)</f>
        <v>#N/A</v>
      </c>
      <c r="X459" s="671" t="e">
        <f t="shared" si="194"/>
        <v>#N/A</v>
      </c>
      <c r="Y459" s="671">
        <f>IF(G459="مدير ولائي",(HLOOKUP(I459,جدروظعليا,'f-travail'!$AT$3+1,FALSE)-3200),0)</f>
        <v>0</v>
      </c>
      <c r="Z459" s="672" t="str">
        <f t="shared" si="205"/>
        <v/>
      </c>
      <c r="AA459" s="671">
        <f t="shared" si="206"/>
        <v>0</v>
      </c>
      <c r="AB459" s="677" t="b">
        <f t="shared" si="195"/>
        <v>0</v>
      </c>
      <c r="AC459" s="678">
        <f t="shared" si="207"/>
        <v>0</v>
      </c>
      <c r="AD459" s="673"/>
      <c r="AE459" s="678">
        <f t="shared" si="196"/>
        <v>0</v>
      </c>
      <c r="AF459" s="678" t="e">
        <f t="shared" si="197"/>
        <v>#N/A</v>
      </c>
      <c r="AG459" s="678" t="e">
        <f t="shared" si="198"/>
        <v>#N/A</v>
      </c>
      <c r="AH459" s="673">
        <f t="shared" si="208"/>
        <v>0</v>
      </c>
      <c r="AI459" s="674" t="e">
        <f>IF(G459="مدير ولائي",(11000*35%),LOOKUP(D459,'f-travail'!A:A,'f-travail'!I:I))</f>
        <v>#N/A</v>
      </c>
      <c r="AJ459" s="673" t="e">
        <f>IF(G459="مدير ولائي",((W459+X459)*45)*80%,IF(V459&lt;8,0,IF(F459="إليزي",(LOOKUP(D459,'f-travail'!A:A,'f-travail'!O:O))*(AF459+AG459),LOOKUP(D459,'f-travail'!A:A,'f-travail'!P:P)*(AF459+AG459))))</f>
        <v>#N/A</v>
      </c>
      <c r="AK459" s="673" t="e">
        <f>IF(G459="مدير ولائي",0,LOOKUP(D459,'f-travail'!A:A,'f-travail'!Q:Q))</f>
        <v>#N/A</v>
      </c>
      <c r="AL459" s="673" t="e">
        <f>IF(G459="مدير ولائي",0,LOOKUP(D459,'f-travail'!A:A,'f-travail'!R:R)*(AF459+AG459))</f>
        <v>#N/A</v>
      </c>
      <c r="AM459" s="673" t="e">
        <f>IF(G459="مدير ولائي",0,LOOKUP(D459,'f-travail'!A:A,'f-travail'!S:S)*(AF459+AG459))</f>
        <v>#N/A</v>
      </c>
      <c r="AN459" s="673" t="e">
        <f>IF(G459="مدير ولائي",0,LOOKUP(D459,'f-travail'!A:A,'f-travail'!T:T)*(AF459+AG459))</f>
        <v>#N/A</v>
      </c>
      <c r="AO459" s="673" t="e">
        <f>IF(G459="مدير ولائي",0,LOOKUP(D459,'f-travail'!A:A,'f-travail'!U:U)*(AF459+AG459))</f>
        <v>#N/A</v>
      </c>
      <c r="AP459" s="673" t="e">
        <f>IF(G459="مدير ولائي",0,LOOKUP(D459,'f-travail'!A:A,'f-travail'!V:V)*(AF459+AG459))</f>
        <v>#N/A</v>
      </c>
      <c r="AQ459" s="673" t="e">
        <f>IF(G459="مدير ولائي",0,LOOKUP(D459,'f-travail'!A:A,'f-travail'!W:W)*(AF459+AG459))</f>
        <v>#N/A</v>
      </c>
      <c r="AR459" s="673">
        <f t="shared" si="209"/>
        <v>0</v>
      </c>
      <c r="AS459" s="673" t="e">
        <f>IF(G459="مدير ولائي",0,LOOKUP(D459,'f-travail'!A:A,'f-travail'!X:X)*(AF459+AG459))</f>
        <v>#N/A</v>
      </c>
      <c r="AT459" s="673" t="e">
        <f>IF(G459="مدير ولائي",0,LOOKUP(D459,'f-travail'!Y:Y,'f-travail'!R:R)*(AF459+AG459))</f>
        <v>#N/A</v>
      </c>
      <c r="AU459" s="673">
        <f t="shared" si="199"/>
        <v>0</v>
      </c>
      <c r="AV459" s="673">
        <f t="shared" si="200"/>
        <v>0</v>
      </c>
      <c r="AW459" s="673">
        <f t="shared" si="201"/>
        <v>0</v>
      </c>
      <c r="AY459" s="640" t="e">
        <f t="shared" si="210"/>
        <v>#N/A</v>
      </c>
      <c r="AZ459" s="673" t="e">
        <f t="shared" si="202"/>
        <v>#N/A</v>
      </c>
      <c r="BA459" s="639" t="e">
        <f t="shared" si="203"/>
        <v>#N/A</v>
      </c>
      <c r="BG459" s="639">
        <f t="shared" si="211"/>
        <v>0</v>
      </c>
      <c r="BH459" s="683">
        <f t="shared" si="212"/>
        <v>0</v>
      </c>
      <c r="BI459" s="683">
        <f t="shared" si="213"/>
        <v>0</v>
      </c>
      <c r="BJ459" s="641" t="e">
        <f t="shared" si="214"/>
        <v>#N/A</v>
      </c>
      <c r="BK459" s="641" t="e">
        <f t="shared" si="215"/>
        <v>#N/A</v>
      </c>
      <c r="BL459" s="641" t="e">
        <f t="shared" si="216"/>
        <v>#N/A</v>
      </c>
      <c r="BM459" s="684" t="e">
        <f t="shared" si="217"/>
        <v>#N/A</v>
      </c>
      <c r="BO459" s="682" t="e">
        <f>CONCATENATE(Z459," ",LOOKUP(D459,'f-travail'!A:A,'f-travail'!F:F))</f>
        <v>#N/A</v>
      </c>
      <c r="BP459" s="669" t="e">
        <f t="shared" si="204"/>
        <v>#N/A</v>
      </c>
    </row>
    <row r="460" spans="1:68">
      <c r="A460" s="636">
        <f t="shared" si="218"/>
        <v>459</v>
      </c>
      <c r="B460" s="637"/>
      <c r="C460" s="637"/>
      <c r="D460" s="652"/>
      <c r="E460" s="679" t="e">
        <f>LOOKUP(D460,'f-travail'!A:A,'f-travail'!B:B)</f>
        <v>#N/A</v>
      </c>
      <c r="F460" s="650"/>
      <c r="G460" s="650"/>
      <c r="H460" s="653"/>
      <c r="I460" s="653"/>
      <c r="J460" s="654"/>
      <c r="K460" s="650"/>
      <c r="L460" s="650"/>
      <c r="M460" s="650">
        <v>0</v>
      </c>
      <c r="N460" s="654"/>
      <c r="O460" s="654"/>
      <c r="P460" s="654"/>
      <c r="Q460" s="654"/>
      <c r="R460" s="676"/>
      <c r="S460" s="654"/>
      <c r="T460" s="675"/>
      <c r="U460" s="675"/>
      <c r="V460" s="670" t="e">
        <f>LOOKUP(D460,'f-travail'!A:A,'f-travail'!E:E)</f>
        <v>#N/A</v>
      </c>
      <c r="W460" s="670" t="e">
        <f>VLOOKUP(V460,جرقمإستدلالي,'f-travail'!$AD$4+1,FALSE)</f>
        <v>#N/A</v>
      </c>
      <c r="X460" s="671" t="e">
        <f t="shared" si="194"/>
        <v>#N/A</v>
      </c>
      <c r="Y460" s="671">
        <f>IF(G460="مدير ولائي",(HLOOKUP(I460,جدروظعليا,'f-travail'!$AT$3+1,FALSE)-3200),0)</f>
        <v>0</v>
      </c>
      <c r="Z460" s="672" t="str">
        <f t="shared" si="205"/>
        <v/>
      </c>
      <c r="AA460" s="671">
        <f t="shared" si="206"/>
        <v>0</v>
      </c>
      <c r="AB460" s="677" t="b">
        <f t="shared" si="195"/>
        <v>0</v>
      </c>
      <c r="AC460" s="678">
        <f t="shared" si="207"/>
        <v>0</v>
      </c>
      <c r="AD460" s="673"/>
      <c r="AE460" s="678">
        <f t="shared" si="196"/>
        <v>0</v>
      </c>
      <c r="AF460" s="678" t="e">
        <f t="shared" si="197"/>
        <v>#N/A</v>
      </c>
      <c r="AG460" s="678" t="e">
        <f t="shared" si="198"/>
        <v>#N/A</v>
      </c>
      <c r="AH460" s="673">
        <f t="shared" si="208"/>
        <v>0</v>
      </c>
      <c r="AI460" s="674" t="e">
        <f>IF(G460="مدير ولائي",(11000*35%),LOOKUP(D460,'f-travail'!A:A,'f-travail'!I:I))</f>
        <v>#N/A</v>
      </c>
      <c r="AJ460" s="673" t="e">
        <f>IF(G460="مدير ولائي",((W460+X460)*45)*80%,IF(V460&lt;8,0,IF(F460="إليزي",(LOOKUP(D460,'f-travail'!A:A,'f-travail'!O:O))*(AF460+AG460),LOOKUP(D460,'f-travail'!A:A,'f-travail'!P:P)*(AF460+AG460))))</f>
        <v>#N/A</v>
      </c>
      <c r="AK460" s="673" t="e">
        <f>IF(G460="مدير ولائي",0,LOOKUP(D460,'f-travail'!A:A,'f-travail'!Q:Q))</f>
        <v>#N/A</v>
      </c>
      <c r="AL460" s="673" t="e">
        <f>IF(G460="مدير ولائي",0,LOOKUP(D460,'f-travail'!A:A,'f-travail'!R:R)*(AF460+AG460))</f>
        <v>#N/A</v>
      </c>
      <c r="AM460" s="673" t="e">
        <f>IF(G460="مدير ولائي",0,LOOKUP(D460,'f-travail'!A:A,'f-travail'!S:S)*(AF460+AG460))</f>
        <v>#N/A</v>
      </c>
      <c r="AN460" s="673" t="e">
        <f>IF(G460="مدير ولائي",0,LOOKUP(D460,'f-travail'!A:A,'f-travail'!T:T)*(AF460+AG460))</f>
        <v>#N/A</v>
      </c>
      <c r="AO460" s="673" t="e">
        <f>IF(G460="مدير ولائي",0,LOOKUP(D460,'f-travail'!A:A,'f-travail'!U:U)*(AF460+AG460))</f>
        <v>#N/A</v>
      </c>
      <c r="AP460" s="673" t="e">
        <f>IF(G460="مدير ولائي",0,LOOKUP(D460,'f-travail'!A:A,'f-travail'!V:V)*(AF460+AG460))</f>
        <v>#N/A</v>
      </c>
      <c r="AQ460" s="673" t="e">
        <f>IF(G460="مدير ولائي",0,LOOKUP(D460,'f-travail'!A:A,'f-travail'!W:W)*(AF460+AG460))</f>
        <v>#N/A</v>
      </c>
      <c r="AR460" s="673">
        <f t="shared" si="209"/>
        <v>0</v>
      </c>
      <c r="AS460" s="673" t="e">
        <f>IF(G460="مدير ولائي",0,LOOKUP(D460,'f-travail'!A:A,'f-travail'!X:X)*(AF460+AG460))</f>
        <v>#N/A</v>
      </c>
      <c r="AT460" s="673" t="e">
        <f>IF(G460="مدير ولائي",0,LOOKUP(D460,'f-travail'!Y:Y,'f-travail'!R:R)*(AF460+AG460))</f>
        <v>#N/A</v>
      </c>
      <c r="AU460" s="673">
        <f t="shared" si="199"/>
        <v>0</v>
      </c>
      <c r="AV460" s="673">
        <f t="shared" si="200"/>
        <v>0</v>
      </c>
      <c r="AW460" s="673">
        <f t="shared" si="201"/>
        <v>0</v>
      </c>
      <c r="AY460" s="640" t="e">
        <f t="shared" si="210"/>
        <v>#N/A</v>
      </c>
      <c r="AZ460" s="673" t="e">
        <f t="shared" si="202"/>
        <v>#N/A</v>
      </c>
      <c r="BA460" s="639" t="e">
        <f t="shared" si="203"/>
        <v>#N/A</v>
      </c>
      <c r="BG460" s="639">
        <f t="shared" si="211"/>
        <v>0</v>
      </c>
      <c r="BH460" s="683">
        <f t="shared" si="212"/>
        <v>0</v>
      </c>
      <c r="BI460" s="683">
        <f t="shared" si="213"/>
        <v>0</v>
      </c>
      <c r="BJ460" s="641" t="e">
        <f t="shared" si="214"/>
        <v>#N/A</v>
      </c>
      <c r="BK460" s="641" t="e">
        <f t="shared" si="215"/>
        <v>#N/A</v>
      </c>
      <c r="BL460" s="641" t="e">
        <f t="shared" si="216"/>
        <v>#N/A</v>
      </c>
      <c r="BM460" s="684" t="e">
        <f t="shared" si="217"/>
        <v>#N/A</v>
      </c>
      <c r="BO460" s="682" t="e">
        <f>CONCATENATE(Z460," ",LOOKUP(D460,'f-travail'!A:A,'f-travail'!F:F))</f>
        <v>#N/A</v>
      </c>
      <c r="BP460" s="669" t="e">
        <f t="shared" si="204"/>
        <v>#N/A</v>
      </c>
    </row>
    <row r="461" spans="1:68">
      <c r="A461" s="636">
        <f t="shared" si="218"/>
        <v>460</v>
      </c>
      <c r="B461" s="637"/>
      <c r="C461" s="637"/>
      <c r="D461" s="652"/>
      <c r="E461" s="679" t="e">
        <f>LOOKUP(D461,'f-travail'!A:A,'f-travail'!B:B)</f>
        <v>#N/A</v>
      </c>
      <c r="F461" s="650"/>
      <c r="G461" s="650"/>
      <c r="H461" s="653"/>
      <c r="I461" s="653"/>
      <c r="J461" s="654"/>
      <c r="K461" s="650"/>
      <c r="L461" s="650"/>
      <c r="M461" s="650">
        <v>0</v>
      </c>
      <c r="N461" s="654"/>
      <c r="O461" s="654"/>
      <c r="P461" s="654"/>
      <c r="Q461" s="654"/>
      <c r="R461" s="676"/>
      <c r="S461" s="654"/>
      <c r="T461" s="675"/>
      <c r="U461" s="675"/>
      <c r="V461" s="670" t="e">
        <f>LOOKUP(D461,'f-travail'!A:A,'f-travail'!E:E)</f>
        <v>#N/A</v>
      </c>
      <c r="W461" s="670" t="e">
        <f>VLOOKUP(V461,جرقمإستدلالي,'f-travail'!$AD$4+1,FALSE)</f>
        <v>#N/A</v>
      </c>
      <c r="X461" s="671" t="e">
        <f t="shared" si="194"/>
        <v>#N/A</v>
      </c>
      <c r="Y461" s="671">
        <f>IF(G461="مدير ولائي",(HLOOKUP(I461,جدروظعليا,'f-travail'!$AT$3+1,FALSE)-3200),0)</f>
        <v>0</v>
      </c>
      <c r="Z461" s="672" t="str">
        <f t="shared" si="205"/>
        <v/>
      </c>
      <c r="AA461" s="671">
        <f t="shared" si="206"/>
        <v>0</v>
      </c>
      <c r="AB461" s="677" t="b">
        <f t="shared" si="195"/>
        <v>0</v>
      </c>
      <c r="AC461" s="678">
        <f t="shared" si="207"/>
        <v>0</v>
      </c>
      <c r="AD461" s="673"/>
      <c r="AE461" s="678">
        <f t="shared" si="196"/>
        <v>0</v>
      </c>
      <c r="AF461" s="678" t="e">
        <f t="shared" si="197"/>
        <v>#N/A</v>
      </c>
      <c r="AG461" s="678" t="e">
        <f t="shared" si="198"/>
        <v>#N/A</v>
      </c>
      <c r="AH461" s="673">
        <f t="shared" si="208"/>
        <v>0</v>
      </c>
      <c r="AI461" s="674" t="e">
        <f>IF(G461="مدير ولائي",(11000*35%),LOOKUP(D461,'f-travail'!A:A,'f-travail'!I:I))</f>
        <v>#N/A</v>
      </c>
      <c r="AJ461" s="673" t="e">
        <f>IF(G461="مدير ولائي",((W461+X461)*45)*80%,IF(V461&lt;8,0,IF(F461="إليزي",(LOOKUP(D461,'f-travail'!A:A,'f-travail'!O:O))*(AF461+AG461),LOOKUP(D461,'f-travail'!A:A,'f-travail'!P:P)*(AF461+AG461))))</f>
        <v>#N/A</v>
      </c>
      <c r="AK461" s="673" t="e">
        <f>IF(G461="مدير ولائي",0,LOOKUP(D461,'f-travail'!A:A,'f-travail'!Q:Q))</f>
        <v>#N/A</v>
      </c>
      <c r="AL461" s="673" t="e">
        <f>IF(G461="مدير ولائي",0,LOOKUP(D461,'f-travail'!A:A,'f-travail'!R:R)*(AF461+AG461))</f>
        <v>#N/A</v>
      </c>
      <c r="AM461" s="673" t="e">
        <f>IF(G461="مدير ولائي",0,LOOKUP(D461,'f-travail'!A:A,'f-travail'!S:S)*(AF461+AG461))</f>
        <v>#N/A</v>
      </c>
      <c r="AN461" s="673" t="e">
        <f>IF(G461="مدير ولائي",0,LOOKUP(D461,'f-travail'!A:A,'f-travail'!T:T)*(AF461+AG461))</f>
        <v>#N/A</v>
      </c>
      <c r="AO461" s="673" t="e">
        <f>IF(G461="مدير ولائي",0,LOOKUP(D461,'f-travail'!A:A,'f-travail'!U:U)*(AF461+AG461))</f>
        <v>#N/A</v>
      </c>
      <c r="AP461" s="673" t="e">
        <f>IF(G461="مدير ولائي",0,LOOKUP(D461,'f-travail'!A:A,'f-travail'!V:V)*(AF461+AG461))</f>
        <v>#N/A</v>
      </c>
      <c r="AQ461" s="673" t="e">
        <f>IF(G461="مدير ولائي",0,LOOKUP(D461,'f-travail'!A:A,'f-travail'!W:W)*(AF461+AG461))</f>
        <v>#N/A</v>
      </c>
      <c r="AR461" s="673">
        <f t="shared" si="209"/>
        <v>0</v>
      </c>
      <c r="AS461" s="673" t="e">
        <f>IF(G461="مدير ولائي",0,LOOKUP(D461,'f-travail'!A:A,'f-travail'!X:X)*(AF461+AG461))</f>
        <v>#N/A</v>
      </c>
      <c r="AT461" s="673" t="e">
        <f>IF(G461="مدير ولائي",0,LOOKUP(D461,'f-travail'!Y:Y,'f-travail'!R:R)*(AF461+AG461))</f>
        <v>#N/A</v>
      </c>
      <c r="AU461" s="673">
        <f t="shared" si="199"/>
        <v>0</v>
      </c>
      <c r="AV461" s="673">
        <f t="shared" si="200"/>
        <v>0</v>
      </c>
      <c r="AW461" s="673">
        <f t="shared" si="201"/>
        <v>0</v>
      </c>
      <c r="AY461" s="640" t="e">
        <f t="shared" si="210"/>
        <v>#N/A</v>
      </c>
      <c r="AZ461" s="673" t="e">
        <f t="shared" si="202"/>
        <v>#N/A</v>
      </c>
      <c r="BA461" s="639" t="e">
        <f t="shared" si="203"/>
        <v>#N/A</v>
      </c>
      <c r="BG461" s="639">
        <f t="shared" si="211"/>
        <v>0</v>
      </c>
      <c r="BH461" s="683">
        <f t="shared" si="212"/>
        <v>0</v>
      </c>
      <c r="BI461" s="683">
        <f t="shared" si="213"/>
        <v>0</v>
      </c>
      <c r="BJ461" s="641" t="e">
        <f t="shared" si="214"/>
        <v>#N/A</v>
      </c>
      <c r="BK461" s="641" t="e">
        <f t="shared" si="215"/>
        <v>#N/A</v>
      </c>
      <c r="BL461" s="641" t="e">
        <f t="shared" si="216"/>
        <v>#N/A</v>
      </c>
      <c r="BM461" s="684" t="e">
        <f t="shared" si="217"/>
        <v>#N/A</v>
      </c>
      <c r="BO461" s="682" t="e">
        <f>CONCATENATE(Z461," ",LOOKUP(D461,'f-travail'!A:A,'f-travail'!F:F))</f>
        <v>#N/A</v>
      </c>
      <c r="BP461" s="669" t="e">
        <f t="shared" si="204"/>
        <v>#N/A</v>
      </c>
    </row>
    <row r="462" spans="1:68">
      <c r="A462" s="636">
        <f t="shared" si="218"/>
        <v>461</v>
      </c>
      <c r="B462" s="637"/>
      <c r="C462" s="637"/>
      <c r="D462" s="652"/>
      <c r="E462" s="679" t="e">
        <f>LOOKUP(D462,'f-travail'!A:A,'f-travail'!B:B)</f>
        <v>#N/A</v>
      </c>
      <c r="F462" s="650"/>
      <c r="G462" s="650"/>
      <c r="H462" s="653"/>
      <c r="I462" s="653"/>
      <c r="J462" s="654"/>
      <c r="K462" s="650"/>
      <c r="L462" s="650"/>
      <c r="M462" s="650">
        <v>0</v>
      </c>
      <c r="N462" s="654"/>
      <c r="O462" s="654"/>
      <c r="P462" s="654"/>
      <c r="Q462" s="654"/>
      <c r="R462" s="676"/>
      <c r="S462" s="654"/>
      <c r="T462" s="675"/>
      <c r="U462" s="675"/>
      <c r="V462" s="670" t="e">
        <f>LOOKUP(D462,'f-travail'!A:A,'f-travail'!E:E)</f>
        <v>#N/A</v>
      </c>
      <c r="W462" s="670" t="e">
        <f>VLOOKUP(V462,جرقمإستدلالي,'f-travail'!$AD$4+1,FALSE)</f>
        <v>#N/A</v>
      </c>
      <c r="X462" s="671" t="e">
        <f t="shared" si="194"/>
        <v>#N/A</v>
      </c>
      <c r="Y462" s="671">
        <f>IF(G462="مدير ولائي",(HLOOKUP(I462,جدروظعليا,'f-travail'!$AT$3+1,FALSE)-3200),0)</f>
        <v>0</v>
      </c>
      <c r="Z462" s="672" t="str">
        <f t="shared" si="205"/>
        <v/>
      </c>
      <c r="AA462" s="671">
        <f t="shared" si="206"/>
        <v>0</v>
      </c>
      <c r="AB462" s="677" t="b">
        <f t="shared" si="195"/>
        <v>0</v>
      </c>
      <c r="AC462" s="678">
        <f t="shared" si="207"/>
        <v>0</v>
      </c>
      <c r="AD462" s="673"/>
      <c r="AE462" s="678">
        <f t="shared" si="196"/>
        <v>0</v>
      </c>
      <c r="AF462" s="678" t="e">
        <f t="shared" si="197"/>
        <v>#N/A</v>
      </c>
      <c r="AG462" s="678" t="e">
        <f t="shared" si="198"/>
        <v>#N/A</v>
      </c>
      <c r="AH462" s="673">
        <f t="shared" si="208"/>
        <v>0</v>
      </c>
      <c r="AI462" s="674" t="e">
        <f>IF(G462="مدير ولائي",(11000*35%),LOOKUP(D462,'f-travail'!A:A,'f-travail'!I:I))</f>
        <v>#N/A</v>
      </c>
      <c r="AJ462" s="673" t="e">
        <f>IF(G462="مدير ولائي",((W462+X462)*45)*80%,IF(V462&lt;8,0,IF(F462="إليزي",(LOOKUP(D462,'f-travail'!A:A,'f-travail'!O:O))*(AF462+AG462),LOOKUP(D462,'f-travail'!A:A,'f-travail'!P:P)*(AF462+AG462))))</f>
        <v>#N/A</v>
      </c>
      <c r="AK462" s="673" t="e">
        <f>IF(G462="مدير ولائي",0,LOOKUP(D462,'f-travail'!A:A,'f-travail'!Q:Q))</f>
        <v>#N/A</v>
      </c>
      <c r="AL462" s="673" t="e">
        <f>IF(G462="مدير ولائي",0,LOOKUP(D462,'f-travail'!A:A,'f-travail'!R:R)*(AF462+AG462))</f>
        <v>#N/A</v>
      </c>
      <c r="AM462" s="673" t="e">
        <f>IF(G462="مدير ولائي",0,LOOKUP(D462,'f-travail'!A:A,'f-travail'!S:S)*(AF462+AG462))</f>
        <v>#N/A</v>
      </c>
      <c r="AN462" s="673" t="e">
        <f>IF(G462="مدير ولائي",0,LOOKUP(D462,'f-travail'!A:A,'f-travail'!T:T)*(AF462+AG462))</f>
        <v>#N/A</v>
      </c>
      <c r="AO462" s="673" t="e">
        <f>IF(G462="مدير ولائي",0,LOOKUP(D462,'f-travail'!A:A,'f-travail'!U:U)*(AF462+AG462))</f>
        <v>#N/A</v>
      </c>
      <c r="AP462" s="673" t="e">
        <f>IF(G462="مدير ولائي",0,LOOKUP(D462,'f-travail'!A:A,'f-travail'!V:V)*(AF462+AG462))</f>
        <v>#N/A</v>
      </c>
      <c r="AQ462" s="673" t="e">
        <f>IF(G462="مدير ولائي",0,LOOKUP(D462,'f-travail'!A:A,'f-travail'!W:W)*(AF462+AG462))</f>
        <v>#N/A</v>
      </c>
      <c r="AR462" s="673">
        <f t="shared" si="209"/>
        <v>0</v>
      </c>
      <c r="AS462" s="673" t="e">
        <f>IF(G462="مدير ولائي",0,LOOKUP(D462,'f-travail'!A:A,'f-travail'!X:X)*(AF462+AG462))</f>
        <v>#N/A</v>
      </c>
      <c r="AT462" s="673" t="e">
        <f>IF(G462="مدير ولائي",0,LOOKUP(D462,'f-travail'!Y:Y,'f-travail'!R:R)*(AF462+AG462))</f>
        <v>#N/A</v>
      </c>
      <c r="AU462" s="673">
        <f t="shared" si="199"/>
        <v>0</v>
      </c>
      <c r="AV462" s="673">
        <f t="shared" si="200"/>
        <v>0</v>
      </c>
      <c r="AW462" s="673">
        <f t="shared" si="201"/>
        <v>0</v>
      </c>
      <c r="AY462" s="640" t="e">
        <f t="shared" si="210"/>
        <v>#N/A</v>
      </c>
      <c r="AZ462" s="673" t="e">
        <f t="shared" si="202"/>
        <v>#N/A</v>
      </c>
      <c r="BA462" s="639" t="e">
        <f t="shared" si="203"/>
        <v>#N/A</v>
      </c>
      <c r="BG462" s="639">
        <f t="shared" si="211"/>
        <v>0</v>
      </c>
      <c r="BH462" s="683">
        <f t="shared" si="212"/>
        <v>0</v>
      </c>
      <c r="BI462" s="683">
        <f t="shared" si="213"/>
        <v>0</v>
      </c>
      <c r="BJ462" s="641" t="e">
        <f t="shared" si="214"/>
        <v>#N/A</v>
      </c>
      <c r="BK462" s="641" t="e">
        <f t="shared" si="215"/>
        <v>#N/A</v>
      </c>
      <c r="BL462" s="641" t="e">
        <f t="shared" si="216"/>
        <v>#N/A</v>
      </c>
      <c r="BM462" s="684" t="e">
        <f t="shared" si="217"/>
        <v>#N/A</v>
      </c>
      <c r="BO462" s="682" t="e">
        <f>CONCATENATE(Z462," ",LOOKUP(D462,'f-travail'!A:A,'f-travail'!F:F))</f>
        <v>#N/A</v>
      </c>
      <c r="BP462" s="669" t="e">
        <f t="shared" si="204"/>
        <v>#N/A</v>
      </c>
    </row>
    <row r="463" spans="1:68">
      <c r="A463" s="636">
        <f t="shared" si="218"/>
        <v>462</v>
      </c>
      <c r="B463" s="637"/>
      <c r="C463" s="637"/>
      <c r="D463" s="652"/>
      <c r="E463" s="679" t="e">
        <f>LOOKUP(D463,'f-travail'!A:A,'f-travail'!B:B)</f>
        <v>#N/A</v>
      </c>
      <c r="F463" s="650"/>
      <c r="G463" s="650"/>
      <c r="H463" s="653"/>
      <c r="I463" s="653"/>
      <c r="J463" s="654"/>
      <c r="K463" s="650"/>
      <c r="L463" s="650"/>
      <c r="M463" s="650">
        <v>0</v>
      </c>
      <c r="N463" s="654"/>
      <c r="O463" s="654"/>
      <c r="P463" s="654"/>
      <c r="Q463" s="654"/>
      <c r="R463" s="676"/>
      <c r="S463" s="654"/>
      <c r="T463" s="675"/>
      <c r="U463" s="675"/>
      <c r="V463" s="670" t="e">
        <f>LOOKUP(D463,'f-travail'!A:A,'f-travail'!E:E)</f>
        <v>#N/A</v>
      </c>
      <c r="W463" s="670" t="e">
        <f>VLOOKUP(V463,جرقمإستدلالي,'f-travail'!$AD$4+1,FALSE)</f>
        <v>#N/A</v>
      </c>
      <c r="X463" s="671" t="e">
        <f t="shared" si="194"/>
        <v>#N/A</v>
      </c>
      <c r="Y463" s="671">
        <f>IF(G463="مدير ولائي",(HLOOKUP(I463,جدروظعليا,'f-travail'!$AT$3+1,FALSE)-3200),0)</f>
        <v>0</v>
      </c>
      <c r="Z463" s="672" t="str">
        <f t="shared" si="205"/>
        <v/>
      </c>
      <c r="AA463" s="671">
        <f t="shared" si="206"/>
        <v>0</v>
      </c>
      <c r="AB463" s="677" t="b">
        <f t="shared" si="195"/>
        <v>0</v>
      </c>
      <c r="AC463" s="678">
        <f t="shared" si="207"/>
        <v>0</v>
      </c>
      <c r="AD463" s="673"/>
      <c r="AE463" s="678">
        <f t="shared" si="196"/>
        <v>0</v>
      </c>
      <c r="AF463" s="678" t="e">
        <f t="shared" si="197"/>
        <v>#N/A</v>
      </c>
      <c r="AG463" s="678" t="e">
        <f t="shared" si="198"/>
        <v>#N/A</v>
      </c>
      <c r="AH463" s="673">
        <f t="shared" si="208"/>
        <v>0</v>
      </c>
      <c r="AI463" s="674" t="e">
        <f>IF(G463="مدير ولائي",(11000*35%),LOOKUP(D463,'f-travail'!A:A,'f-travail'!I:I))</f>
        <v>#N/A</v>
      </c>
      <c r="AJ463" s="673" t="e">
        <f>IF(G463="مدير ولائي",((W463+X463)*45)*80%,IF(V463&lt;8,0,IF(F463="إليزي",(LOOKUP(D463,'f-travail'!A:A,'f-travail'!O:O))*(AF463+AG463),LOOKUP(D463,'f-travail'!A:A,'f-travail'!P:P)*(AF463+AG463))))</f>
        <v>#N/A</v>
      </c>
      <c r="AK463" s="673" t="e">
        <f>IF(G463="مدير ولائي",0,LOOKUP(D463,'f-travail'!A:A,'f-travail'!Q:Q))</f>
        <v>#N/A</v>
      </c>
      <c r="AL463" s="673" t="e">
        <f>IF(G463="مدير ولائي",0,LOOKUP(D463,'f-travail'!A:A,'f-travail'!R:R)*(AF463+AG463))</f>
        <v>#N/A</v>
      </c>
      <c r="AM463" s="673" t="e">
        <f>IF(G463="مدير ولائي",0,LOOKUP(D463,'f-travail'!A:A,'f-travail'!S:S)*(AF463+AG463))</f>
        <v>#N/A</v>
      </c>
      <c r="AN463" s="673" t="e">
        <f>IF(G463="مدير ولائي",0,LOOKUP(D463,'f-travail'!A:A,'f-travail'!T:T)*(AF463+AG463))</f>
        <v>#N/A</v>
      </c>
      <c r="AO463" s="673" t="e">
        <f>IF(G463="مدير ولائي",0,LOOKUP(D463,'f-travail'!A:A,'f-travail'!U:U)*(AF463+AG463))</f>
        <v>#N/A</v>
      </c>
      <c r="AP463" s="673" t="e">
        <f>IF(G463="مدير ولائي",0,LOOKUP(D463,'f-travail'!A:A,'f-travail'!V:V)*(AF463+AG463))</f>
        <v>#N/A</v>
      </c>
      <c r="AQ463" s="673" t="e">
        <f>IF(G463="مدير ولائي",0,LOOKUP(D463,'f-travail'!A:A,'f-travail'!W:W)*(AF463+AG463))</f>
        <v>#N/A</v>
      </c>
      <c r="AR463" s="673">
        <f t="shared" si="209"/>
        <v>0</v>
      </c>
      <c r="AS463" s="673" t="e">
        <f>IF(G463="مدير ولائي",0,LOOKUP(D463,'f-travail'!A:A,'f-travail'!X:X)*(AF463+AG463))</f>
        <v>#N/A</v>
      </c>
      <c r="AT463" s="673" t="e">
        <f>IF(G463="مدير ولائي",0,LOOKUP(D463,'f-travail'!Y:Y,'f-travail'!R:R)*(AF463+AG463))</f>
        <v>#N/A</v>
      </c>
      <c r="AU463" s="673">
        <f t="shared" si="199"/>
        <v>0</v>
      </c>
      <c r="AV463" s="673">
        <f t="shared" si="200"/>
        <v>0</v>
      </c>
      <c r="AW463" s="673">
        <f t="shared" si="201"/>
        <v>0</v>
      </c>
      <c r="AY463" s="640" t="e">
        <f t="shared" si="210"/>
        <v>#N/A</v>
      </c>
      <c r="AZ463" s="673" t="e">
        <f t="shared" si="202"/>
        <v>#N/A</v>
      </c>
      <c r="BA463" s="639" t="e">
        <f t="shared" si="203"/>
        <v>#N/A</v>
      </c>
      <c r="BG463" s="639">
        <f t="shared" si="211"/>
        <v>0</v>
      </c>
      <c r="BH463" s="683">
        <f t="shared" si="212"/>
        <v>0</v>
      </c>
      <c r="BI463" s="683">
        <f t="shared" si="213"/>
        <v>0</v>
      </c>
      <c r="BJ463" s="641" t="e">
        <f t="shared" si="214"/>
        <v>#N/A</v>
      </c>
      <c r="BK463" s="641" t="e">
        <f t="shared" si="215"/>
        <v>#N/A</v>
      </c>
      <c r="BL463" s="641" t="e">
        <f t="shared" si="216"/>
        <v>#N/A</v>
      </c>
      <c r="BM463" s="684" t="e">
        <f t="shared" si="217"/>
        <v>#N/A</v>
      </c>
      <c r="BO463" s="682" t="e">
        <f>CONCATENATE(Z463," ",LOOKUP(D463,'f-travail'!A:A,'f-travail'!F:F))</f>
        <v>#N/A</v>
      </c>
      <c r="BP463" s="669" t="e">
        <f t="shared" si="204"/>
        <v>#N/A</v>
      </c>
    </row>
    <row r="464" spans="1:68">
      <c r="A464" s="636">
        <f t="shared" si="218"/>
        <v>463</v>
      </c>
      <c r="B464" s="637"/>
      <c r="C464" s="637"/>
      <c r="D464" s="652"/>
      <c r="E464" s="679" t="e">
        <f>LOOKUP(D464,'f-travail'!A:A,'f-travail'!B:B)</f>
        <v>#N/A</v>
      </c>
      <c r="F464" s="650"/>
      <c r="G464" s="650"/>
      <c r="H464" s="653"/>
      <c r="I464" s="653"/>
      <c r="J464" s="654"/>
      <c r="K464" s="650"/>
      <c r="L464" s="650"/>
      <c r="M464" s="650">
        <v>0</v>
      </c>
      <c r="N464" s="654"/>
      <c r="O464" s="654"/>
      <c r="P464" s="654"/>
      <c r="Q464" s="654"/>
      <c r="R464" s="676"/>
      <c r="S464" s="654"/>
      <c r="T464" s="675"/>
      <c r="U464" s="675"/>
      <c r="V464" s="670" t="e">
        <f>LOOKUP(D464,'f-travail'!A:A,'f-travail'!E:E)</f>
        <v>#N/A</v>
      </c>
      <c r="W464" s="670" t="e">
        <f>VLOOKUP(V464,جرقمإستدلالي,'f-travail'!$AD$4+1,FALSE)</f>
        <v>#N/A</v>
      </c>
      <c r="X464" s="671" t="e">
        <f t="shared" si="194"/>
        <v>#N/A</v>
      </c>
      <c r="Y464" s="671">
        <f>IF(G464="مدير ولائي",(HLOOKUP(I464,جدروظعليا,'f-travail'!$AT$3+1,FALSE)-3200),0)</f>
        <v>0</v>
      </c>
      <c r="Z464" s="672" t="str">
        <f t="shared" si="205"/>
        <v/>
      </c>
      <c r="AA464" s="671">
        <f t="shared" si="206"/>
        <v>0</v>
      </c>
      <c r="AB464" s="677" t="b">
        <f t="shared" si="195"/>
        <v>0</v>
      </c>
      <c r="AC464" s="678">
        <f t="shared" si="207"/>
        <v>0</v>
      </c>
      <c r="AD464" s="673"/>
      <c r="AE464" s="678">
        <f t="shared" si="196"/>
        <v>0</v>
      </c>
      <c r="AF464" s="678" t="e">
        <f t="shared" si="197"/>
        <v>#N/A</v>
      </c>
      <c r="AG464" s="678" t="e">
        <f t="shared" si="198"/>
        <v>#N/A</v>
      </c>
      <c r="AH464" s="673">
        <f t="shared" si="208"/>
        <v>0</v>
      </c>
      <c r="AI464" s="674" t="e">
        <f>IF(G464="مدير ولائي",(11000*35%),LOOKUP(D464,'f-travail'!A:A,'f-travail'!I:I))</f>
        <v>#N/A</v>
      </c>
      <c r="AJ464" s="673" t="e">
        <f>IF(G464="مدير ولائي",((W464+X464)*45)*80%,IF(V464&lt;8,0,IF(F464="إليزي",(LOOKUP(D464,'f-travail'!A:A,'f-travail'!O:O))*(AF464+AG464),LOOKUP(D464,'f-travail'!A:A,'f-travail'!P:P)*(AF464+AG464))))</f>
        <v>#N/A</v>
      </c>
      <c r="AK464" s="673" t="e">
        <f>IF(G464="مدير ولائي",0,LOOKUP(D464,'f-travail'!A:A,'f-travail'!Q:Q))</f>
        <v>#N/A</v>
      </c>
      <c r="AL464" s="673" t="e">
        <f>IF(G464="مدير ولائي",0,LOOKUP(D464,'f-travail'!A:A,'f-travail'!R:R)*(AF464+AG464))</f>
        <v>#N/A</v>
      </c>
      <c r="AM464" s="673" t="e">
        <f>IF(G464="مدير ولائي",0,LOOKUP(D464,'f-travail'!A:A,'f-travail'!S:S)*(AF464+AG464))</f>
        <v>#N/A</v>
      </c>
      <c r="AN464" s="673" t="e">
        <f>IF(G464="مدير ولائي",0,LOOKUP(D464,'f-travail'!A:A,'f-travail'!T:T)*(AF464+AG464))</f>
        <v>#N/A</v>
      </c>
      <c r="AO464" s="673" t="e">
        <f>IF(G464="مدير ولائي",0,LOOKUP(D464,'f-travail'!A:A,'f-travail'!U:U)*(AF464+AG464))</f>
        <v>#N/A</v>
      </c>
      <c r="AP464" s="673" t="e">
        <f>IF(G464="مدير ولائي",0,LOOKUP(D464,'f-travail'!A:A,'f-travail'!V:V)*(AF464+AG464))</f>
        <v>#N/A</v>
      </c>
      <c r="AQ464" s="673" t="e">
        <f>IF(G464="مدير ولائي",0,LOOKUP(D464,'f-travail'!A:A,'f-travail'!W:W)*(AF464+AG464))</f>
        <v>#N/A</v>
      </c>
      <c r="AR464" s="673">
        <f t="shared" si="209"/>
        <v>0</v>
      </c>
      <c r="AS464" s="673" t="e">
        <f>IF(G464="مدير ولائي",0,LOOKUP(D464,'f-travail'!A:A,'f-travail'!X:X)*(AF464+AG464))</f>
        <v>#N/A</v>
      </c>
      <c r="AT464" s="673" t="e">
        <f>IF(G464="مدير ولائي",0,LOOKUP(D464,'f-travail'!Y:Y,'f-travail'!R:R)*(AF464+AG464))</f>
        <v>#N/A</v>
      </c>
      <c r="AU464" s="673">
        <f t="shared" si="199"/>
        <v>0</v>
      </c>
      <c r="AV464" s="673">
        <f t="shared" si="200"/>
        <v>0</v>
      </c>
      <c r="AW464" s="673">
        <f t="shared" si="201"/>
        <v>0</v>
      </c>
      <c r="AY464" s="640" t="e">
        <f t="shared" si="210"/>
        <v>#N/A</v>
      </c>
      <c r="AZ464" s="673" t="e">
        <f t="shared" si="202"/>
        <v>#N/A</v>
      </c>
      <c r="BA464" s="639" t="e">
        <f t="shared" si="203"/>
        <v>#N/A</v>
      </c>
      <c r="BG464" s="639">
        <f t="shared" si="211"/>
        <v>0</v>
      </c>
      <c r="BH464" s="683">
        <f t="shared" si="212"/>
        <v>0</v>
      </c>
      <c r="BI464" s="683">
        <f t="shared" si="213"/>
        <v>0</v>
      </c>
      <c r="BJ464" s="641" t="e">
        <f t="shared" si="214"/>
        <v>#N/A</v>
      </c>
      <c r="BK464" s="641" t="e">
        <f t="shared" si="215"/>
        <v>#N/A</v>
      </c>
      <c r="BL464" s="641" t="e">
        <f t="shared" si="216"/>
        <v>#N/A</v>
      </c>
      <c r="BM464" s="684" t="e">
        <f t="shared" si="217"/>
        <v>#N/A</v>
      </c>
      <c r="BO464" s="682" t="e">
        <f>CONCATENATE(Z464," ",LOOKUP(D464,'f-travail'!A:A,'f-travail'!F:F))</f>
        <v>#N/A</v>
      </c>
      <c r="BP464" s="669" t="e">
        <f t="shared" si="204"/>
        <v>#N/A</v>
      </c>
    </row>
    <row r="465" spans="1:68">
      <c r="A465" s="636">
        <f t="shared" si="218"/>
        <v>464</v>
      </c>
      <c r="B465" s="637"/>
      <c r="C465" s="637"/>
      <c r="D465" s="652"/>
      <c r="E465" s="679" t="e">
        <f>LOOKUP(D465,'f-travail'!A:A,'f-travail'!B:B)</f>
        <v>#N/A</v>
      </c>
      <c r="F465" s="650"/>
      <c r="G465" s="650"/>
      <c r="H465" s="653"/>
      <c r="I465" s="653"/>
      <c r="J465" s="654"/>
      <c r="K465" s="650"/>
      <c r="L465" s="650"/>
      <c r="M465" s="650">
        <v>0</v>
      </c>
      <c r="N465" s="654"/>
      <c r="O465" s="654"/>
      <c r="P465" s="654"/>
      <c r="Q465" s="654"/>
      <c r="R465" s="676"/>
      <c r="S465" s="654"/>
      <c r="T465" s="675"/>
      <c r="U465" s="675"/>
      <c r="V465" s="670" t="e">
        <f>LOOKUP(D465,'f-travail'!A:A,'f-travail'!E:E)</f>
        <v>#N/A</v>
      </c>
      <c r="W465" s="670" t="e">
        <f>VLOOKUP(V465,جرقمإستدلالي,'f-travail'!$AD$4+1,FALSE)</f>
        <v>#N/A</v>
      </c>
      <c r="X465" s="671" t="e">
        <f t="shared" si="194"/>
        <v>#N/A</v>
      </c>
      <c r="Y465" s="671">
        <f>IF(G465="مدير ولائي",(HLOOKUP(I465,جدروظعليا,'f-travail'!$AT$3+1,FALSE)-3200),0)</f>
        <v>0</v>
      </c>
      <c r="Z465" s="672" t="str">
        <f t="shared" si="205"/>
        <v/>
      </c>
      <c r="AA465" s="671">
        <f t="shared" si="206"/>
        <v>0</v>
      </c>
      <c r="AB465" s="677" t="b">
        <f t="shared" si="195"/>
        <v>0</v>
      </c>
      <c r="AC465" s="678">
        <f t="shared" si="207"/>
        <v>0</v>
      </c>
      <c r="AD465" s="673"/>
      <c r="AE465" s="678">
        <f t="shared" si="196"/>
        <v>0</v>
      </c>
      <c r="AF465" s="678" t="e">
        <f t="shared" si="197"/>
        <v>#N/A</v>
      </c>
      <c r="AG465" s="678" t="e">
        <f t="shared" si="198"/>
        <v>#N/A</v>
      </c>
      <c r="AH465" s="673">
        <f t="shared" si="208"/>
        <v>0</v>
      </c>
      <c r="AI465" s="674" t="e">
        <f>IF(G465="مدير ولائي",(11000*35%),LOOKUP(D465,'f-travail'!A:A,'f-travail'!I:I))</f>
        <v>#N/A</v>
      </c>
      <c r="AJ465" s="673" t="e">
        <f>IF(G465="مدير ولائي",((W465+X465)*45)*80%,IF(V465&lt;8,0,IF(F465="إليزي",(LOOKUP(D465,'f-travail'!A:A,'f-travail'!O:O))*(AF465+AG465),LOOKUP(D465,'f-travail'!A:A,'f-travail'!P:P)*(AF465+AG465))))</f>
        <v>#N/A</v>
      </c>
      <c r="AK465" s="673" t="e">
        <f>IF(G465="مدير ولائي",0,LOOKUP(D465,'f-travail'!A:A,'f-travail'!Q:Q))</f>
        <v>#N/A</v>
      </c>
      <c r="AL465" s="673" t="e">
        <f>IF(G465="مدير ولائي",0,LOOKUP(D465,'f-travail'!A:A,'f-travail'!R:R)*(AF465+AG465))</f>
        <v>#N/A</v>
      </c>
      <c r="AM465" s="673" t="e">
        <f>IF(G465="مدير ولائي",0,LOOKUP(D465,'f-travail'!A:A,'f-travail'!S:S)*(AF465+AG465))</f>
        <v>#N/A</v>
      </c>
      <c r="AN465" s="673" t="e">
        <f>IF(G465="مدير ولائي",0,LOOKUP(D465,'f-travail'!A:A,'f-travail'!T:T)*(AF465+AG465))</f>
        <v>#N/A</v>
      </c>
      <c r="AO465" s="673" t="e">
        <f>IF(G465="مدير ولائي",0,LOOKUP(D465,'f-travail'!A:A,'f-travail'!U:U)*(AF465+AG465))</f>
        <v>#N/A</v>
      </c>
      <c r="AP465" s="673" t="e">
        <f>IF(G465="مدير ولائي",0,LOOKUP(D465,'f-travail'!A:A,'f-travail'!V:V)*(AF465+AG465))</f>
        <v>#N/A</v>
      </c>
      <c r="AQ465" s="673" t="e">
        <f>IF(G465="مدير ولائي",0,LOOKUP(D465,'f-travail'!A:A,'f-travail'!W:W)*(AF465+AG465))</f>
        <v>#N/A</v>
      </c>
      <c r="AR465" s="673">
        <f t="shared" si="209"/>
        <v>0</v>
      </c>
      <c r="AS465" s="673" t="e">
        <f>IF(G465="مدير ولائي",0,LOOKUP(D465,'f-travail'!A:A,'f-travail'!X:X)*(AF465+AG465))</f>
        <v>#N/A</v>
      </c>
      <c r="AT465" s="673" t="e">
        <f>IF(G465="مدير ولائي",0,LOOKUP(D465,'f-travail'!Y:Y,'f-travail'!R:R)*(AF465+AG465))</f>
        <v>#N/A</v>
      </c>
      <c r="AU465" s="673">
        <f t="shared" si="199"/>
        <v>0</v>
      </c>
      <c r="AV465" s="673">
        <f t="shared" si="200"/>
        <v>0</v>
      </c>
      <c r="AW465" s="673">
        <f t="shared" si="201"/>
        <v>0</v>
      </c>
      <c r="AY465" s="640" t="e">
        <f t="shared" si="210"/>
        <v>#N/A</v>
      </c>
      <c r="AZ465" s="673" t="e">
        <f t="shared" si="202"/>
        <v>#N/A</v>
      </c>
      <c r="BA465" s="639" t="e">
        <f t="shared" si="203"/>
        <v>#N/A</v>
      </c>
      <c r="BG465" s="639">
        <f t="shared" si="211"/>
        <v>0</v>
      </c>
      <c r="BH465" s="683">
        <f t="shared" si="212"/>
        <v>0</v>
      </c>
      <c r="BI465" s="683">
        <f t="shared" si="213"/>
        <v>0</v>
      </c>
      <c r="BJ465" s="641" t="e">
        <f t="shared" si="214"/>
        <v>#N/A</v>
      </c>
      <c r="BK465" s="641" t="e">
        <f t="shared" si="215"/>
        <v>#N/A</v>
      </c>
      <c r="BL465" s="641" t="e">
        <f t="shared" si="216"/>
        <v>#N/A</v>
      </c>
      <c r="BM465" s="684" t="e">
        <f t="shared" si="217"/>
        <v>#N/A</v>
      </c>
      <c r="BO465" s="682" t="e">
        <f>CONCATENATE(Z465," ",LOOKUP(D465,'f-travail'!A:A,'f-travail'!F:F))</f>
        <v>#N/A</v>
      </c>
      <c r="BP465" s="669" t="e">
        <f t="shared" si="204"/>
        <v>#N/A</v>
      </c>
    </row>
    <row r="466" spans="1:68">
      <c r="A466" s="636">
        <f t="shared" si="218"/>
        <v>465</v>
      </c>
      <c r="B466" s="637"/>
      <c r="C466" s="637"/>
      <c r="D466" s="652"/>
      <c r="E466" s="679" t="e">
        <f>LOOKUP(D466,'f-travail'!A:A,'f-travail'!B:B)</f>
        <v>#N/A</v>
      </c>
      <c r="F466" s="650"/>
      <c r="G466" s="650"/>
      <c r="H466" s="653"/>
      <c r="I466" s="653"/>
      <c r="J466" s="654"/>
      <c r="K466" s="650"/>
      <c r="L466" s="650"/>
      <c r="M466" s="650">
        <v>0</v>
      </c>
      <c r="N466" s="654"/>
      <c r="O466" s="654"/>
      <c r="P466" s="654"/>
      <c r="Q466" s="654"/>
      <c r="R466" s="676"/>
      <c r="S466" s="654"/>
      <c r="T466" s="675"/>
      <c r="U466" s="675"/>
      <c r="V466" s="670" t="e">
        <f>LOOKUP(D466,'f-travail'!A:A,'f-travail'!E:E)</f>
        <v>#N/A</v>
      </c>
      <c r="W466" s="670" t="e">
        <f>VLOOKUP(V466,جرقمإستدلالي,'f-travail'!$AD$4+1,FALSE)</f>
        <v>#N/A</v>
      </c>
      <c r="X466" s="671" t="e">
        <f t="shared" si="194"/>
        <v>#N/A</v>
      </c>
      <c r="Y466" s="671">
        <f>IF(G466="مدير ولائي",(HLOOKUP(I466,جدروظعليا,'f-travail'!$AT$3+1,FALSE)-3200),0)</f>
        <v>0</v>
      </c>
      <c r="Z466" s="672" t="str">
        <f t="shared" si="205"/>
        <v/>
      </c>
      <c r="AA466" s="671">
        <f t="shared" si="206"/>
        <v>0</v>
      </c>
      <c r="AB466" s="677" t="b">
        <f t="shared" si="195"/>
        <v>0</v>
      </c>
      <c r="AC466" s="678">
        <f t="shared" si="207"/>
        <v>0</v>
      </c>
      <c r="AD466" s="673"/>
      <c r="AE466" s="678">
        <f t="shared" si="196"/>
        <v>0</v>
      </c>
      <c r="AF466" s="678" t="e">
        <f t="shared" si="197"/>
        <v>#N/A</v>
      </c>
      <c r="AG466" s="678" t="e">
        <f t="shared" si="198"/>
        <v>#N/A</v>
      </c>
      <c r="AH466" s="673">
        <f t="shared" si="208"/>
        <v>0</v>
      </c>
      <c r="AI466" s="674" t="e">
        <f>IF(G466="مدير ولائي",(11000*35%),LOOKUP(D466,'f-travail'!A:A,'f-travail'!I:I))</f>
        <v>#N/A</v>
      </c>
      <c r="AJ466" s="673" t="e">
        <f>IF(G466="مدير ولائي",((W466+X466)*45)*80%,IF(V466&lt;8,0,IF(F466="إليزي",(LOOKUP(D466,'f-travail'!A:A,'f-travail'!O:O))*(AF466+AG466),LOOKUP(D466,'f-travail'!A:A,'f-travail'!P:P)*(AF466+AG466))))</f>
        <v>#N/A</v>
      </c>
      <c r="AK466" s="673" t="e">
        <f>IF(G466="مدير ولائي",0,LOOKUP(D466,'f-travail'!A:A,'f-travail'!Q:Q))</f>
        <v>#N/A</v>
      </c>
      <c r="AL466" s="673" t="e">
        <f>IF(G466="مدير ولائي",0,LOOKUP(D466,'f-travail'!A:A,'f-travail'!R:R)*(AF466+AG466))</f>
        <v>#N/A</v>
      </c>
      <c r="AM466" s="673" t="e">
        <f>IF(G466="مدير ولائي",0,LOOKUP(D466,'f-travail'!A:A,'f-travail'!S:S)*(AF466+AG466))</f>
        <v>#N/A</v>
      </c>
      <c r="AN466" s="673" t="e">
        <f>IF(G466="مدير ولائي",0,LOOKUP(D466,'f-travail'!A:A,'f-travail'!T:T)*(AF466+AG466))</f>
        <v>#N/A</v>
      </c>
      <c r="AO466" s="673" t="e">
        <f>IF(G466="مدير ولائي",0,LOOKUP(D466,'f-travail'!A:A,'f-travail'!U:U)*(AF466+AG466))</f>
        <v>#N/A</v>
      </c>
      <c r="AP466" s="673" t="e">
        <f>IF(G466="مدير ولائي",0,LOOKUP(D466,'f-travail'!A:A,'f-travail'!V:V)*(AF466+AG466))</f>
        <v>#N/A</v>
      </c>
      <c r="AQ466" s="673" t="e">
        <f>IF(G466="مدير ولائي",0,LOOKUP(D466,'f-travail'!A:A,'f-travail'!W:W)*(AF466+AG466))</f>
        <v>#N/A</v>
      </c>
      <c r="AR466" s="673">
        <f t="shared" si="209"/>
        <v>0</v>
      </c>
      <c r="AS466" s="673" t="e">
        <f>IF(G466="مدير ولائي",0,LOOKUP(D466,'f-travail'!A:A,'f-travail'!X:X)*(AF466+AG466))</f>
        <v>#N/A</v>
      </c>
      <c r="AT466" s="673" t="e">
        <f>IF(G466="مدير ولائي",0,LOOKUP(D466,'f-travail'!Y:Y,'f-travail'!R:R)*(AF466+AG466))</f>
        <v>#N/A</v>
      </c>
      <c r="AU466" s="673">
        <f t="shared" si="199"/>
        <v>0</v>
      </c>
      <c r="AV466" s="673">
        <f t="shared" si="200"/>
        <v>0</v>
      </c>
      <c r="AW466" s="673">
        <f t="shared" si="201"/>
        <v>0</v>
      </c>
      <c r="AY466" s="640" t="e">
        <f t="shared" si="210"/>
        <v>#N/A</v>
      </c>
      <c r="AZ466" s="673" t="e">
        <f t="shared" si="202"/>
        <v>#N/A</v>
      </c>
      <c r="BA466" s="639" t="e">
        <f t="shared" si="203"/>
        <v>#N/A</v>
      </c>
      <c r="BG466" s="639">
        <f t="shared" si="211"/>
        <v>0</v>
      </c>
      <c r="BH466" s="683">
        <f t="shared" si="212"/>
        <v>0</v>
      </c>
      <c r="BI466" s="683">
        <f t="shared" si="213"/>
        <v>0</v>
      </c>
      <c r="BJ466" s="641" t="e">
        <f t="shared" si="214"/>
        <v>#N/A</v>
      </c>
      <c r="BK466" s="641" t="e">
        <f t="shared" si="215"/>
        <v>#N/A</v>
      </c>
      <c r="BL466" s="641" t="e">
        <f t="shared" si="216"/>
        <v>#N/A</v>
      </c>
      <c r="BM466" s="684" t="e">
        <f t="shared" si="217"/>
        <v>#N/A</v>
      </c>
      <c r="BO466" s="682" t="e">
        <f>CONCATENATE(Z466," ",LOOKUP(D466,'f-travail'!A:A,'f-travail'!F:F))</f>
        <v>#N/A</v>
      </c>
      <c r="BP466" s="669" t="e">
        <f t="shared" si="204"/>
        <v>#N/A</v>
      </c>
    </row>
    <row r="467" spans="1:68">
      <c r="A467" s="636">
        <f t="shared" si="218"/>
        <v>466</v>
      </c>
      <c r="B467" s="637"/>
      <c r="C467" s="637"/>
      <c r="D467" s="652"/>
      <c r="E467" s="679" t="e">
        <f>LOOKUP(D467,'f-travail'!A:A,'f-travail'!B:B)</f>
        <v>#N/A</v>
      </c>
      <c r="F467" s="650"/>
      <c r="G467" s="650"/>
      <c r="H467" s="653"/>
      <c r="I467" s="653"/>
      <c r="J467" s="654"/>
      <c r="K467" s="650"/>
      <c r="L467" s="650"/>
      <c r="M467" s="650">
        <v>0</v>
      </c>
      <c r="N467" s="654"/>
      <c r="O467" s="654"/>
      <c r="P467" s="654"/>
      <c r="Q467" s="654"/>
      <c r="R467" s="676"/>
      <c r="S467" s="654"/>
      <c r="T467" s="675"/>
      <c r="U467" s="675"/>
      <c r="V467" s="670" t="e">
        <f>LOOKUP(D467,'f-travail'!A:A,'f-travail'!E:E)</f>
        <v>#N/A</v>
      </c>
      <c r="W467" s="670" t="e">
        <f>VLOOKUP(V467,جرقمإستدلالي,'f-travail'!$AD$4+1,FALSE)</f>
        <v>#N/A</v>
      </c>
      <c r="X467" s="671" t="e">
        <f t="shared" si="194"/>
        <v>#N/A</v>
      </c>
      <c r="Y467" s="671">
        <f>IF(G467="مدير ولائي",(HLOOKUP(I467,جدروظعليا,'f-travail'!$AT$3+1,FALSE)-3200),0)</f>
        <v>0</v>
      </c>
      <c r="Z467" s="672" t="str">
        <f t="shared" si="205"/>
        <v/>
      </c>
      <c r="AA467" s="671">
        <f t="shared" si="206"/>
        <v>0</v>
      </c>
      <c r="AB467" s="677" t="b">
        <f t="shared" si="195"/>
        <v>0</v>
      </c>
      <c r="AC467" s="678">
        <f t="shared" si="207"/>
        <v>0</v>
      </c>
      <c r="AD467" s="673"/>
      <c r="AE467" s="678">
        <f t="shared" si="196"/>
        <v>0</v>
      </c>
      <c r="AF467" s="678" t="e">
        <f t="shared" si="197"/>
        <v>#N/A</v>
      </c>
      <c r="AG467" s="678" t="e">
        <f t="shared" si="198"/>
        <v>#N/A</v>
      </c>
      <c r="AH467" s="673">
        <f t="shared" si="208"/>
        <v>0</v>
      </c>
      <c r="AI467" s="674" t="e">
        <f>IF(G467="مدير ولائي",(11000*35%),LOOKUP(D467,'f-travail'!A:A,'f-travail'!I:I))</f>
        <v>#N/A</v>
      </c>
      <c r="AJ467" s="673" t="e">
        <f>IF(G467="مدير ولائي",((W467+X467)*45)*80%,IF(V467&lt;8,0,IF(F467="إليزي",(LOOKUP(D467,'f-travail'!A:A,'f-travail'!O:O))*(AF467+AG467),LOOKUP(D467,'f-travail'!A:A,'f-travail'!P:P)*(AF467+AG467))))</f>
        <v>#N/A</v>
      </c>
      <c r="AK467" s="673" t="e">
        <f>IF(G467="مدير ولائي",0,LOOKUP(D467,'f-travail'!A:A,'f-travail'!Q:Q))</f>
        <v>#N/A</v>
      </c>
      <c r="AL467" s="673" t="e">
        <f>IF(G467="مدير ولائي",0,LOOKUP(D467,'f-travail'!A:A,'f-travail'!R:R)*(AF467+AG467))</f>
        <v>#N/A</v>
      </c>
      <c r="AM467" s="673" t="e">
        <f>IF(G467="مدير ولائي",0,LOOKUP(D467,'f-travail'!A:A,'f-travail'!S:S)*(AF467+AG467))</f>
        <v>#N/A</v>
      </c>
      <c r="AN467" s="673" t="e">
        <f>IF(G467="مدير ولائي",0,LOOKUP(D467,'f-travail'!A:A,'f-travail'!T:T)*(AF467+AG467))</f>
        <v>#N/A</v>
      </c>
      <c r="AO467" s="673" t="e">
        <f>IF(G467="مدير ولائي",0,LOOKUP(D467,'f-travail'!A:A,'f-travail'!U:U)*(AF467+AG467))</f>
        <v>#N/A</v>
      </c>
      <c r="AP467" s="673" t="e">
        <f>IF(G467="مدير ولائي",0,LOOKUP(D467,'f-travail'!A:A,'f-travail'!V:V)*(AF467+AG467))</f>
        <v>#N/A</v>
      </c>
      <c r="AQ467" s="673" t="e">
        <f>IF(G467="مدير ولائي",0,LOOKUP(D467,'f-travail'!A:A,'f-travail'!W:W)*(AF467+AG467))</f>
        <v>#N/A</v>
      </c>
      <c r="AR467" s="673">
        <f t="shared" si="209"/>
        <v>0</v>
      </c>
      <c r="AS467" s="673" t="e">
        <f>IF(G467="مدير ولائي",0,LOOKUP(D467,'f-travail'!A:A,'f-travail'!X:X)*(AF467+AG467))</f>
        <v>#N/A</v>
      </c>
      <c r="AT467" s="673" t="e">
        <f>IF(G467="مدير ولائي",0,LOOKUP(D467,'f-travail'!Y:Y,'f-travail'!R:R)*(AF467+AG467))</f>
        <v>#N/A</v>
      </c>
      <c r="AU467" s="673">
        <f t="shared" si="199"/>
        <v>0</v>
      </c>
      <c r="AV467" s="673">
        <f t="shared" si="200"/>
        <v>0</v>
      </c>
      <c r="AW467" s="673">
        <f t="shared" si="201"/>
        <v>0</v>
      </c>
      <c r="AY467" s="640" t="e">
        <f t="shared" si="210"/>
        <v>#N/A</v>
      </c>
      <c r="AZ467" s="673" t="e">
        <f t="shared" si="202"/>
        <v>#N/A</v>
      </c>
      <c r="BA467" s="639" t="e">
        <f t="shared" si="203"/>
        <v>#N/A</v>
      </c>
      <c r="BG467" s="639">
        <f t="shared" si="211"/>
        <v>0</v>
      </c>
      <c r="BH467" s="683">
        <f t="shared" si="212"/>
        <v>0</v>
      </c>
      <c r="BI467" s="683">
        <f t="shared" si="213"/>
        <v>0</v>
      </c>
      <c r="BJ467" s="641" t="e">
        <f t="shared" si="214"/>
        <v>#N/A</v>
      </c>
      <c r="BK467" s="641" t="e">
        <f t="shared" si="215"/>
        <v>#N/A</v>
      </c>
      <c r="BL467" s="641" t="e">
        <f t="shared" si="216"/>
        <v>#N/A</v>
      </c>
      <c r="BM467" s="684" t="e">
        <f t="shared" si="217"/>
        <v>#N/A</v>
      </c>
      <c r="BO467" s="682" t="e">
        <f>CONCATENATE(Z467," ",LOOKUP(D467,'f-travail'!A:A,'f-travail'!F:F))</f>
        <v>#N/A</v>
      </c>
      <c r="BP467" s="669" t="e">
        <f t="shared" si="204"/>
        <v>#N/A</v>
      </c>
    </row>
    <row r="468" spans="1:68">
      <c r="A468" s="636">
        <f t="shared" si="218"/>
        <v>467</v>
      </c>
      <c r="B468" s="637"/>
      <c r="C468" s="637"/>
      <c r="D468" s="652"/>
      <c r="E468" s="679" t="e">
        <f>LOOKUP(D468,'f-travail'!A:A,'f-travail'!B:B)</f>
        <v>#N/A</v>
      </c>
      <c r="F468" s="650"/>
      <c r="G468" s="650"/>
      <c r="H468" s="653"/>
      <c r="I468" s="653"/>
      <c r="J468" s="654"/>
      <c r="K468" s="650"/>
      <c r="L468" s="650"/>
      <c r="M468" s="650">
        <v>0</v>
      </c>
      <c r="N468" s="654"/>
      <c r="O468" s="654"/>
      <c r="P468" s="654"/>
      <c r="Q468" s="654"/>
      <c r="R468" s="676"/>
      <c r="S468" s="654"/>
      <c r="T468" s="675"/>
      <c r="U468" s="675"/>
      <c r="V468" s="670" t="e">
        <f>LOOKUP(D468,'f-travail'!A:A,'f-travail'!E:E)</f>
        <v>#N/A</v>
      </c>
      <c r="W468" s="670" t="e">
        <f>VLOOKUP(V468,جرقمإستدلالي,'f-travail'!$AD$4+1,FALSE)</f>
        <v>#N/A</v>
      </c>
      <c r="X468" s="671" t="e">
        <f t="shared" si="194"/>
        <v>#N/A</v>
      </c>
      <c r="Y468" s="671">
        <f>IF(G468="مدير ولائي",(HLOOKUP(I468,جدروظعليا,'f-travail'!$AT$3+1,FALSE)-3200),0)</f>
        <v>0</v>
      </c>
      <c r="Z468" s="672" t="str">
        <f t="shared" si="205"/>
        <v/>
      </c>
      <c r="AA468" s="671">
        <f t="shared" si="206"/>
        <v>0</v>
      </c>
      <c r="AB468" s="677" t="b">
        <f t="shared" si="195"/>
        <v>0</v>
      </c>
      <c r="AC468" s="678">
        <f t="shared" si="207"/>
        <v>0</v>
      </c>
      <c r="AD468" s="673"/>
      <c r="AE468" s="678">
        <f t="shared" si="196"/>
        <v>0</v>
      </c>
      <c r="AF468" s="678" t="e">
        <f t="shared" si="197"/>
        <v>#N/A</v>
      </c>
      <c r="AG468" s="678" t="e">
        <f t="shared" si="198"/>
        <v>#N/A</v>
      </c>
      <c r="AH468" s="673">
        <f t="shared" si="208"/>
        <v>0</v>
      </c>
      <c r="AI468" s="674" t="e">
        <f>IF(G468="مدير ولائي",(11000*35%),LOOKUP(D468,'f-travail'!A:A,'f-travail'!I:I))</f>
        <v>#N/A</v>
      </c>
      <c r="AJ468" s="673" t="e">
        <f>IF(G468="مدير ولائي",((W468+X468)*45)*80%,IF(V468&lt;8,0,IF(F468="إليزي",(LOOKUP(D468,'f-travail'!A:A,'f-travail'!O:O))*(AF468+AG468),LOOKUP(D468,'f-travail'!A:A,'f-travail'!P:P)*(AF468+AG468))))</f>
        <v>#N/A</v>
      </c>
      <c r="AK468" s="673" t="e">
        <f>IF(G468="مدير ولائي",0,LOOKUP(D468,'f-travail'!A:A,'f-travail'!Q:Q))</f>
        <v>#N/A</v>
      </c>
      <c r="AL468" s="673" t="e">
        <f>IF(G468="مدير ولائي",0,LOOKUP(D468,'f-travail'!A:A,'f-travail'!R:R)*(AF468+AG468))</f>
        <v>#N/A</v>
      </c>
      <c r="AM468" s="673" t="e">
        <f>IF(G468="مدير ولائي",0,LOOKUP(D468,'f-travail'!A:A,'f-travail'!S:S)*(AF468+AG468))</f>
        <v>#N/A</v>
      </c>
      <c r="AN468" s="673" t="e">
        <f>IF(G468="مدير ولائي",0,LOOKUP(D468,'f-travail'!A:A,'f-travail'!T:T)*(AF468+AG468))</f>
        <v>#N/A</v>
      </c>
      <c r="AO468" s="673" t="e">
        <f>IF(G468="مدير ولائي",0,LOOKUP(D468,'f-travail'!A:A,'f-travail'!U:U)*(AF468+AG468))</f>
        <v>#N/A</v>
      </c>
      <c r="AP468" s="673" t="e">
        <f>IF(G468="مدير ولائي",0,LOOKUP(D468,'f-travail'!A:A,'f-travail'!V:V)*(AF468+AG468))</f>
        <v>#N/A</v>
      </c>
      <c r="AQ468" s="673" t="e">
        <f>IF(G468="مدير ولائي",0,LOOKUP(D468,'f-travail'!A:A,'f-travail'!W:W)*(AF468+AG468))</f>
        <v>#N/A</v>
      </c>
      <c r="AR468" s="673">
        <f t="shared" si="209"/>
        <v>0</v>
      </c>
      <c r="AS468" s="673" t="e">
        <f>IF(G468="مدير ولائي",0,LOOKUP(D468,'f-travail'!A:A,'f-travail'!X:X)*(AF468+AG468))</f>
        <v>#N/A</v>
      </c>
      <c r="AT468" s="673" t="e">
        <f>IF(G468="مدير ولائي",0,LOOKUP(D468,'f-travail'!Y:Y,'f-travail'!R:R)*(AF468+AG468))</f>
        <v>#N/A</v>
      </c>
      <c r="AU468" s="673">
        <f t="shared" si="199"/>
        <v>0</v>
      </c>
      <c r="AV468" s="673">
        <f t="shared" si="200"/>
        <v>0</v>
      </c>
      <c r="AW468" s="673">
        <f t="shared" si="201"/>
        <v>0</v>
      </c>
      <c r="AY468" s="640" t="e">
        <f t="shared" si="210"/>
        <v>#N/A</v>
      </c>
      <c r="AZ468" s="673" t="e">
        <f t="shared" si="202"/>
        <v>#N/A</v>
      </c>
      <c r="BA468" s="639" t="e">
        <f t="shared" si="203"/>
        <v>#N/A</v>
      </c>
      <c r="BG468" s="639">
        <f t="shared" si="211"/>
        <v>0</v>
      </c>
      <c r="BH468" s="683">
        <f t="shared" si="212"/>
        <v>0</v>
      </c>
      <c r="BI468" s="683">
        <f t="shared" si="213"/>
        <v>0</v>
      </c>
      <c r="BJ468" s="641" t="e">
        <f t="shared" si="214"/>
        <v>#N/A</v>
      </c>
      <c r="BK468" s="641" t="e">
        <f t="shared" si="215"/>
        <v>#N/A</v>
      </c>
      <c r="BL468" s="641" t="e">
        <f t="shared" si="216"/>
        <v>#N/A</v>
      </c>
      <c r="BM468" s="684" t="e">
        <f t="shared" si="217"/>
        <v>#N/A</v>
      </c>
      <c r="BO468" s="682" t="e">
        <f>CONCATENATE(Z468," ",LOOKUP(D468,'f-travail'!A:A,'f-travail'!F:F))</f>
        <v>#N/A</v>
      </c>
      <c r="BP468" s="669" t="e">
        <f t="shared" si="204"/>
        <v>#N/A</v>
      </c>
    </row>
    <row r="469" spans="1:68">
      <c r="A469" s="636">
        <f t="shared" si="218"/>
        <v>468</v>
      </c>
      <c r="B469" s="637"/>
      <c r="C469" s="637"/>
      <c r="D469" s="652"/>
      <c r="E469" s="679" t="e">
        <f>LOOKUP(D469,'f-travail'!A:A,'f-travail'!B:B)</f>
        <v>#N/A</v>
      </c>
      <c r="F469" s="650"/>
      <c r="G469" s="650"/>
      <c r="H469" s="653"/>
      <c r="I469" s="653"/>
      <c r="J469" s="654"/>
      <c r="K469" s="650"/>
      <c r="L469" s="650"/>
      <c r="M469" s="650">
        <v>0</v>
      </c>
      <c r="N469" s="654"/>
      <c r="O469" s="654"/>
      <c r="P469" s="654"/>
      <c r="Q469" s="654"/>
      <c r="R469" s="676"/>
      <c r="S469" s="654"/>
      <c r="T469" s="675"/>
      <c r="U469" s="675"/>
      <c r="V469" s="670" t="e">
        <f>LOOKUP(D469,'f-travail'!A:A,'f-travail'!E:E)</f>
        <v>#N/A</v>
      </c>
      <c r="W469" s="670" t="e">
        <f>VLOOKUP(V469,جرقمإستدلالي,'f-travail'!$AD$4+1,FALSE)</f>
        <v>#N/A</v>
      </c>
      <c r="X469" s="671" t="e">
        <f t="shared" si="194"/>
        <v>#N/A</v>
      </c>
      <c r="Y469" s="671">
        <f>IF(G469="مدير ولائي",(HLOOKUP(I469,جدروظعليا,'f-travail'!$AT$3+1,FALSE)-3200),0)</f>
        <v>0</v>
      </c>
      <c r="Z469" s="672" t="str">
        <f t="shared" si="205"/>
        <v/>
      </c>
      <c r="AA469" s="671">
        <f t="shared" si="206"/>
        <v>0</v>
      </c>
      <c r="AB469" s="677" t="b">
        <f t="shared" si="195"/>
        <v>0</v>
      </c>
      <c r="AC469" s="678">
        <f t="shared" si="207"/>
        <v>0</v>
      </c>
      <c r="AD469" s="673"/>
      <c r="AE469" s="678">
        <f t="shared" si="196"/>
        <v>0</v>
      </c>
      <c r="AF469" s="678" t="e">
        <f t="shared" si="197"/>
        <v>#N/A</v>
      </c>
      <c r="AG469" s="678" t="e">
        <f t="shared" si="198"/>
        <v>#N/A</v>
      </c>
      <c r="AH469" s="673">
        <f t="shared" si="208"/>
        <v>0</v>
      </c>
      <c r="AI469" s="674" t="e">
        <f>IF(G469="مدير ولائي",(11000*35%),LOOKUP(D469,'f-travail'!A:A,'f-travail'!I:I))</f>
        <v>#N/A</v>
      </c>
      <c r="AJ469" s="673" t="e">
        <f>IF(G469="مدير ولائي",((W469+X469)*45)*80%,IF(V469&lt;8,0,IF(F469="إليزي",(LOOKUP(D469,'f-travail'!A:A,'f-travail'!O:O))*(AF469+AG469),LOOKUP(D469,'f-travail'!A:A,'f-travail'!P:P)*(AF469+AG469))))</f>
        <v>#N/A</v>
      </c>
      <c r="AK469" s="673" t="e">
        <f>IF(G469="مدير ولائي",0,LOOKUP(D469,'f-travail'!A:A,'f-travail'!Q:Q))</f>
        <v>#N/A</v>
      </c>
      <c r="AL469" s="673" t="e">
        <f>IF(G469="مدير ولائي",0,LOOKUP(D469,'f-travail'!A:A,'f-travail'!R:R)*(AF469+AG469))</f>
        <v>#N/A</v>
      </c>
      <c r="AM469" s="673" t="e">
        <f>IF(G469="مدير ولائي",0,LOOKUP(D469,'f-travail'!A:A,'f-travail'!S:S)*(AF469+AG469))</f>
        <v>#N/A</v>
      </c>
      <c r="AN469" s="673" t="e">
        <f>IF(G469="مدير ولائي",0,LOOKUP(D469,'f-travail'!A:A,'f-travail'!T:T)*(AF469+AG469))</f>
        <v>#N/A</v>
      </c>
      <c r="AO469" s="673" t="e">
        <f>IF(G469="مدير ولائي",0,LOOKUP(D469,'f-travail'!A:A,'f-travail'!U:U)*(AF469+AG469))</f>
        <v>#N/A</v>
      </c>
      <c r="AP469" s="673" t="e">
        <f>IF(G469="مدير ولائي",0,LOOKUP(D469,'f-travail'!A:A,'f-travail'!V:V)*(AF469+AG469))</f>
        <v>#N/A</v>
      </c>
      <c r="AQ469" s="673" t="e">
        <f>IF(G469="مدير ولائي",0,LOOKUP(D469,'f-travail'!A:A,'f-travail'!W:W)*(AF469+AG469))</f>
        <v>#N/A</v>
      </c>
      <c r="AR469" s="673">
        <f t="shared" si="209"/>
        <v>0</v>
      </c>
      <c r="AS469" s="673" t="e">
        <f>IF(G469="مدير ولائي",0,LOOKUP(D469,'f-travail'!A:A,'f-travail'!X:X)*(AF469+AG469))</f>
        <v>#N/A</v>
      </c>
      <c r="AT469" s="673" t="e">
        <f>IF(G469="مدير ولائي",0,LOOKUP(D469,'f-travail'!Y:Y,'f-travail'!R:R)*(AF469+AG469))</f>
        <v>#N/A</v>
      </c>
      <c r="AU469" s="673">
        <f t="shared" si="199"/>
        <v>0</v>
      </c>
      <c r="AV469" s="673">
        <f t="shared" si="200"/>
        <v>0</v>
      </c>
      <c r="AW469" s="673">
        <f t="shared" si="201"/>
        <v>0</v>
      </c>
      <c r="AY469" s="640" t="e">
        <f t="shared" si="210"/>
        <v>#N/A</v>
      </c>
      <c r="AZ469" s="673" t="e">
        <f t="shared" si="202"/>
        <v>#N/A</v>
      </c>
      <c r="BA469" s="639" t="e">
        <f t="shared" si="203"/>
        <v>#N/A</v>
      </c>
      <c r="BG469" s="639">
        <f t="shared" si="211"/>
        <v>0</v>
      </c>
      <c r="BH469" s="683">
        <f t="shared" si="212"/>
        <v>0</v>
      </c>
      <c r="BI469" s="683">
        <f t="shared" si="213"/>
        <v>0</v>
      </c>
      <c r="BJ469" s="641" t="e">
        <f t="shared" si="214"/>
        <v>#N/A</v>
      </c>
      <c r="BK469" s="641" t="e">
        <f t="shared" si="215"/>
        <v>#N/A</v>
      </c>
      <c r="BL469" s="641" t="e">
        <f t="shared" si="216"/>
        <v>#N/A</v>
      </c>
      <c r="BM469" s="684" t="e">
        <f t="shared" si="217"/>
        <v>#N/A</v>
      </c>
      <c r="BO469" s="682" t="e">
        <f>CONCATENATE(Z469," ",LOOKUP(D469,'f-travail'!A:A,'f-travail'!F:F))</f>
        <v>#N/A</v>
      </c>
      <c r="BP469" s="669" t="e">
        <f t="shared" si="204"/>
        <v>#N/A</v>
      </c>
    </row>
    <row r="470" spans="1:68">
      <c r="A470" s="636">
        <f t="shared" si="218"/>
        <v>469</v>
      </c>
      <c r="B470" s="637"/>
      <c r="C470" s="637"/>
      <c r="D470" s="652"/>
      <c r="E470" s="679" t="e">
        <f>LOOKUP(D470,'f-travail'!A:A,'f-travail'!B:B)</f>
        <v>#N/A</v>
      </c>
      <c r="F470" s="650"/>
      <c r="G470" s="650"/>
      <c r="H470" s="653"/>
      <c r="I470" s="653"/>
      <c r="J470" s="654"/>
      <c r="K470" s="650"/>
      <c r="L470" s="650"/>
      <c r="M470" s="650">
        <v>0</v>
      </c>
      <c r="N470" s="654"/>
      <c r="O470" s="654"/>
      <c r="P470" s="654"/>
      <c r="Q470" s="654"/>
      <c r="R470" s="676"/>
      <c r="S470" s="654"/>
      <c r="T470" s="675"/>
      <c r="U470" s="675"/>
      <c r="V470" s="670" t="e">
        <f>LOOKUP(D470,'f-travail'!A:A,'f-travail'!E:E)</f>
        <v>#N/A</v>
      </c>
      <c r="W470" s="670" t="e">
        <f>VLOOKUP(V470,جرقمإستدلالي,'f-travail'!$AD$4+1,FALSE)</f>
        <v>#N/A</v>
      </c>
      <c r="X470" s="671" t="e">
        <f t="shared" si="194"/>
        <v>#N/A</v>
      </c>
      <c r="Y470" s="671">
        <f>IF(G470="مدير ولائي",(HLOOKUP(I470,جدروظعليا,'f-travail'!$AT$3+1,FALSE)-3200),0)</f>
        <v>0</v>
      </c>
      <c r="Z470" s="672" t="str">
        <f t="shared" si="205"/>
        <v/>
      </c>
      <c r="AA470" s="671">
        <f t="shared" si="206"/>
        <v>0</v>
      </c>
      <c r="AB470" s="677" t="b">
        <f t="shared" si="195"/>
        <v>0</v>
      </c>
      <c r="AC470" s="678">
        <f t="shared" si="207"/>
        <v>0</v>
      </c>
      <c r="AD470" s="673"/>
      <c r="AE470" s="678">
        <f t="shared" si="196"/>
        <v>0</v>
      </c>
      <c r="AF470" s="678" t="e">
        <f t="shared" si="197"/>
        <v>#N/A</v>
      </c>
      <c r="AG470" s="678" t="e">
        <f t="shared" si="198"/>
        <v>#N/A</v>
      </c>
      <c r="AH470" s="673">
        <f t="shared" si="208"/>
        <v>0</v>
      </c>
      <c r="AI470" s="674" t="e">
        <f>IF(G470="مدير ولائي",(11000*35%),LOOKUP(D470,'f-travail'!A:A,'f-travail'!I:I))</f>
        <v>#N/A</v>
      </c>
      <c r="AJ470" s="673" t="e">
        <f>IF(G470="مدير ولائي",((W470+X470)*45)*80%,IF(V470&lt;8,0,IF(F470="إليزي",(LOOKUP(D470,'f-travail'!A:A,'f-travail'!O:O))*(AF470+AG470),LOOKUP(D470,'f-travail'!A:A,'f-travail'!P:P)*(AF470+AG470))))</f>
        <v>#N/A</v>
      </c>
      <c r="AK470" s="673" t="e">
        <f>IF(G470="مدير ولائي",0,LOOKUP(D470,'f-travail'!A:A,'f-travail'!Q:Q))</f>
        <v>#N/A</v>
      </c>
      <c r="AL470" s="673" t="e">
        <f>IF(G470="مدير ولائي",0,LOOKUP(D470,'f-travail'!A:A,'f-travail'!R:R)*(AF470+AG470))</f>
        <v>#N/A</v>
      </c>
      <c r="AM470" s="673" t="e">
        <f>IF(G470="مدير ولائي",0,LOOKUP(D470,'f-travail'!A:A,'f-travail'!S:S)*(AF470+AG470))</f>
        <v>#N/A</v>
      </c>
      <c r="AN470" s="673" t="e">
        <f>IF(G470="مدير ولائي",0,LOOKUP(D470,'f-travail'!A:A,'f-travail'!T:T)*(AF470+AG470))</f>
        <v>#N/A</v>
      </c>
      <c r="AO470" s="673" t="e">
        <f>IF(G470="مدير ولائي",0,LOOKUP(D470,'f-travail'!A:A,'f-travail'!U:U)*(AF470+AG470))</f>
        <v>#N/A</v>
      </c>
      <c r="AP470" s="673" t="e">
        <f>IF(G470="مدير ولائي",0,LOOKUP(D470,'f-travail'!A:A,'f-travail'!V:V)*(AF470+AG470))</f>
        <v>#N/A</v>
      </c>
      <c r="AQ470" s="673" t="e">
        <f>IF(G470="مدير ولائي",0,LOOKUP(D470,'f-travail'!A:A,'f-travail'!W:W)*(AF470+AG470))</f>
        <v>#N/A</v>
      </c>
      <c r="AR470" s="673">
        <f t="shared" si="209"/>
        <v>0</v>
      </c>
      <c r="AS470" s="673" t="e">
        <f>IF(G470="مدير ولائي",0,LOOKUP(D470,'f-travail'!A:A,'f-travail'!X:X)*(AF470+AG470))</f>
        <v>#N/A</v>
      </c>
      <c r="AT470" s="673" t="e">
        <f>IF(G470="مدير ولائي",0,LOOKUP(D470,'f-travail'!Y:Y,'f-travail'!R:R)*(AF470+AG470))</f>
        <v>#N/A</v>
      </c>
      <c r="AU470" s="673">
        <f t="shared" si="199"/>
        <v>0</v>
      </c>
      <c r="AV470" s="673">
        <f t="shared" si="200"/>
        <v>0</v>
      </c>
      <c r="AW470" s="673">
        <f t="shared" si="201"/>
        <v>0</v>
      </c>
      <c r="AY470" s="640" t="e">
        <f t="shared" si="210"/>
        <v>#N/A</v>
      </c>
      <c r="AZ470" s="673" t="e">
        <f t="shared" si="202"/>
        <v>#N/A</v>
      </c>
      <c r="BA470" s="639" t="e">
        <f t="shared" si="203"/>
        <v>#N/A</v>
      </c>
      <c r="BG470" s="639">
        <f t="shared" si="211"/>
        <v>0</v>
      </c>
      <c r="BH470" s="683">
        <f t="shared" si="212"/>
        <v>0</v>
      </c>
      <c r="BI470" s="683">
        <f t="shared" si="213"/>
        <v>0</v>
      </c>
      <c r="BJ470" s="641" t="e">
        <f t="shared" si="214"/>
        <v>#N/A</v>
      </c>
      <c r="BK470" s="641" t="e">
        <f t="shared" si="215"/>
        <v>#N/A</v>
      </c>
      <c r="BL470" s="641" t="e">
        <f t="shared" si="216"/>
        <v>#N/A</v>
      </c>
      <c r="BM470" s="684" t="e">
        <f t="shared" si="217"/>
        <v>#N/A</v>
      </c>
      <c r="BO470" s="682" t="e">
        <f>CONCATENATE(Z470," ",LOOKUP(D470,'f-travail'!A:A,'f-travail'!F:F))</f>
        <v>#N/A</v>
      </c>
      <c r="BP470" s="669" t="e">
        <f t="shared" si="204"/>
        <v>#N/A</v>
      </c>
    </row>
    <row r="471" spans="1:68">
      <c r="A471" s="636">
        <f t="shared" si="218"/>
        <v>470</v>
      </c>
      <c r="B471" s="637"/>
      <c r="C471" s="637"/>
      <c r="D471" s="652"/>
      <c r="E471" s="679" t="e">
        <f>LOOKUP(D471,'f-travail'!A:A,'f-travail'!B:B)</f>
        <v>#N/A</v>
      </c>
      <c r="F471" s="650"/>
      <c r="G471" s="650"/>
      <c r="H471" s="653"/>
      <c r="I471" s="653"/>
      <c r="J471" s="654"/>
      <c r="K471" s="650"/>
      <c r="L471" s="650"/>
      <c r="M471" s="650">
        <v>0</v>
      </c>
      <c r="N471" s="654"/>
      <c r="O471" s="654"/>
      <c r="P471" s="654"/>
      <c r="Q471" s="654"/>
      <c r="R471" s="676"/>
      <c r="S471" s="654"/>
      <c r="T471" s="675"/>
      <c r="U471" s="675"/>
      <c r="V471" s="670" t="e">
        <f>LOOKUP(D471,'f-travail'!A:A,'f-travail'!E:E)</f>
        <v>#N/A</v>
      </c>
      <c r="W471" s="670" t="e">
        <f>VLOOKUP(V471,جرقمإستدلالي,'f-travail'!$AD$4+1,FALSE)</f>
        <v>#N/A</v>
      </c>
      <c r="X471" s="671" t="e">
        <f t="shared" si="194"/>
        <v>#N/A</v>
      </c>
      <c r="Y471" s="671">
        <f>IF(G471="مدير ولائي",(HLOOKUP(I471,جدروظعليا,'f-travail'!$AT$3+1,FALSE)-3200),0)</f>
        <v>0</v>
      </c>
      <c r="Z471" s="672" t="str">
        <f t="shared" si="205"/>
        <v/>
      </c>
      <c r="AA471" s="671">
        <f t="shared" si="206"/>
        <v>0</v>
      </c>
      <c r="AB471" s="677" t="b">
        <f t="shared" si="195"/>
        <v>0</v>
      </c>
      <c r="AC471" s="678">
        <f t="shared" si="207"/>
        <v>0</v>
      </c>
      <c r="AD471" s="673"/>
      <c r="AE471" s="678">
        <f t="shared" si="196"/>
        <v>0</v>
      </c>
      <c r="AF471" s="678" t="e">
        <f t="shared" si="197"/>
        <v>#N/A</v>
      </c>
      <c r="AG471" s="678" t="e">
        <f t="shared" si="198"/>
        <v>#N/A</v>
      </c>
      <c r="AH471" s="673">
        <f t="shared" si="208"/>
        <v>0</v>
      </c>
      <c r="AI471" s="674" t="e">
        <f>IF(G471="مدير ولائي",(11000*35%),LOOKUP(D471,'f-travail'!A:A,'f-travail'!I:I))</f>
        <v>#N/A</v>
      </c>
      <c r="AJ471" s="673" t="e">
        <f>IF(G471="مدير ولائي",((W471+X471)*45)*80%,IF(V471&lt;8,0,IF(F471="إليزي",(LOOKUP(D471,'f-travail'!A:A,'f-travail'!O:O))*(AF471+AG471),LOOKUP(D471,'f-travail'!A:A,'f-travail'!P:P)*(AF471+AG471))))</f>
        <v>#N/A</v>
      </c>
      <c r="AK471" s="673" t="e">
        <f>IF(G471="مدير ولائي",0,LOOKUP(D471,'f-travail'!A:A,'f-travail'!Q:Q))</f>
        <v>#N/A</v>
      </c>
      <c r="AL471" s="673" t="e">
        <f>IF(G471="مدير ولائي",0,LOOKUP(D471,'f-travail'!A:A,'f-travail'!R:R)*(AF471+AG471))</f>
        <v>#N/A</v>
      </c>
      <c r="AM471" s="673" t="e">
        <f>IF(G471="مدير ولائي",0,LOOKUP(D471,'f-travail'!A:A,'f-travail'!S:S)*(AF471+AG471))</f>
        <v>#N/A</v>
      </c>
      <c r="AN471" s="673" t="e">
        <f>IF(G471="مدير ولائي",0,LOOKUP(D471,'f-travail'!A:A,'f-travail'!T:T)*(AF471+AG471))</f>
        <v>#N/A</v>
      </c>
      <c r="AO471" s="673" t="e">
        <f>IF(G471="مدير ولائي",0,LOOKUP(D471,'f-travail'!A:A,'f-travail'!U:U)*(AF471+AG471))</f>
        <v>#N/A</v>
      </c>
      <c r="AP471" s="673" t="e">
        <f>IF(G471="مدير ولائي",0,LOOKUP(D471,'f-travail'!A:A,'f-travail'!V:V)*(AF471+AG471))</f>
        <v>#N/A</v>
      </c>
      <c r="AQ471" s="673" t="e">
        <f>IF(G471="مدير ولائي",0,LOOKUP(D471,'f-travail'!A:A,'f-travail'!W:W)*(AF471+AG471))</f>
        <v>#N/A</v>
      </c>
      <c r="AR471" s="673">
        <f t="shared" si="209"/>
        <v>0</v>
      </c>
      <c r="AS471" s="673" t="e">
        <f>IF(G471="مدير ولائي",0,LOOKUP(D471,'f-travail'!A:A,'f-travail'!X:X)*(AF471+AG471))</f>
        <v>#N/A</v>
      </c>
      <c r="AT471" s="673" t="e">
        <f>IF(G471="مدير ولائي",0,LOOKUP(D471,'f-travail'!Y:Y,'f-travail'!R:R)*(AF471+AG471))</f>
        <v>#N/A</v>
      </c>
      <c r="AU471" s="673">
        <f t="shared" si="199"/>
        <v>0</v>
      </c>
      <c r="AV471" s="673">
        <f t="shared" si="200"/>
        <v>0</v>
      </c>
      <c r="AW471" s="673">
        <f t="shared" si="201"/>
        <v>0</v>
      </c>
      <c r="AY471" s="640" t="e">
        <f t="shared" si="210"/>
        <v>#N/A</v>
      </c>
      <c r="AZ471" s="673" t="e">
        <f t="shared" si="202"/>
        <v>#N/A</v>
      </c>
      <c r="BA471" s="639" t="e">
        <f t="shared" si="203"/>
        <v>#N/A</v>
      </c>
      <c r="BG471" s="639">
        <f t="shared" si="211"/>
        <v>0</v>
      </c>
      <c r="BH471" s="683">
        <f t="shared" si="212"/>
        <v>0</v>
      </c>
      <c r="BI471" s="683">
        <f t="shared" si="213"/>
        <v>0</v>
      </c>
      <c r="BJ471" s="641" t="e">
        <f t="shared" si="214"/>
        <v>#N/A</v>
      </c>
      <c r="BK471" s="641" t="e">
        <f t="shared" si="215"/>
        <v>#N/A</v>
      </c>
      <c r="BL471" s="641" t="e">
        <f t="shared" si="216"/>
        <v>#N/A</v>
      </c>
      <c r="BM471" s="684" t="e">
        <f t="shared" si="217"/>
        <v>#N/A</v>
      </c>
      <c r="BO471" s="682" t="e">
        <f>CONCATENATE(Z471," ",LOOKUP(D471,'f-travail'!A:A,'f-travail'!F:F))</f>
        <v>#N/A</v>
      </c>
      <c r="BP471" s="669" t="e">
        <f t="shared" si="204"/>
        <v>#N/A</v>
      </c>
    </row>
    <row r="472" spans="1:68">
      <c r="A472" s="636">
        <f t="shared" si="218"/>
        <v>471</v>
      </c>
      <c r="B472" s="637"/>
      <c r="C472" s="637"/>
      <c r="D472" s="652"/>
      <c r="E472" s="679" t="e">
        <f>LOOKUP(D472,'f-travail'!A:A,'f-travail'!B:B)</f>
        <v>#N/A</v>
      </c>
      <c r="F472" s="650"/>
      <c r="G472" s="650"/>
      <c r="H472" s="653"/>
      <c r="I472" s="653"/>
      <c r="J472" s="654"/>
      <c r="K472" s="650"/>
      <c r="L472" s="650"/>
      <c r="M472" s="650">
        <v>0</v>
      </c>
      <c r="N472" s="654"/>
      <c r="O472" s="654"/>
      <c r="P472" s="654"/>
      <c r="Q472" s="654"/>
      <c r="R472" s="676"/>
      <c r="S472" s="654"/>
      <c r="T472" s="675"/>
      <c r="U472" s="675"/>
      <c r="V472" s="670" t="e">
        <f>LOOKUP(D472,'f-travail'!A:A,'f-travail'!E:E)</f>
        <v>#N/A</v>
      </c>
      <c r="W472" s="670" t="e">
        <f>VLOOKUP(V472,جرقمإستدلالي,'f-travail'!$AD$4+1,FALSE)</f>
        <v>#N/A</v>
      </c>
      <c r="X472" s="671" t="e">
        <f t="shared" si="194"/>
        <v>#N/A</v>
      </c>
      <c r="Y472" s="671">
        <f>IF(G472="مدير ولائي",(HLOOKUP(I472,جدروظعليا,'f-travail'!$AT$3+1,FALSE)-3200),0)</f>
        <v>0</v>
      </c>
      <c r="Z472" s="672" t="str">
        <f t="shared" si="205"/>
        <v/>
      </c>
      <c r="AA472" s="671">
        <f t="shared" si="206"/>
        <v>0</v>
      </c>
      <c r="AB472" s="677" t="b">
        <f t="shared" si="195"/>
        <v>0</v>
      </c>
      <c r="AC472" s="678">
        <f t="shared" si="207"/>
        <v>0</v>
      </c>
      <c r="AD472" s="673"/>
      <c r="AE472" s="678">
        <f t="shared" si="196"/>
        <v>0</v>
      </c>
      <c r="AF472" s="678" t="e">
        <f t="shared" si="197"/>
        <v>#N/A</v>
      </c>
      <c r="AG472" s="678" t="e">
        <f t="shared" si="198"/>
        <v>#N/A</v>
      </c>
      <c r="AH472" s="673">
        <f t="shared" si="208"/>
        <v>0</v>
      </c>
      <c r="AI472" s="674" t="e">
        <f>IF(G472="مدير ولائي",(11000*35%),LOOKUP(D472,'f-travail'!A:A,'f-travail'!I:I))</f>
        <v>#N/A</v>
      </c>
      <c r="AJ472" s="673" t="e">
        <f>IF(G472="مدير ولائي",((W472+X472)*45)*80%,IF(V472&lt;8,0,IF(F472="إليزي",(LOOKUP(D472,'f-travail'!A:A,'f-travail'!O:O))*(AF472+AG472),LOOKUP(D472,'f-travail'!A:A,'f-travail'!P:P)*(AF472+AG472))))</f>
        <v>#N/A</v>
      </c>
      <c r="AK472" s="673" t="e">
        <f>IF(G472="مدير ولائي",0,LOOKUP(D472,'f-travail'!A:A,'f-travail'!Q:Q))</f>
        <v>#N/A</v>
      </c>
      <c r="AL472" s="673" t="e">
        <f>IF(G472="مدير ولائي",0,LOOKUP(D472,'f-travail'!A:A,'f-travail'!R:R)*(AF472+AG472))</f>
        <v>#N/A</v>
      </c>
      <c r="AM472" s="673" t="e">
        <f>IF(G472="مدير ولائي",0,LOOKUP(D472,'f-travail'!A:A,'f-travail'!S:S)*(AF472+AG472))</f>
        <v>#N/A</v>
      </c>
      <c r="AN472" s="673" t="e">
        <f>IF(G472="مدير ولائي",0,LOOKUP(D472,'f-travail'!A:A,'f-travail'!T:T)*(AF472+AG472))</f>
        <v>#N/A</v>
      </c>
      <c r="AO472" s="673" t="e">
        <f>IF(G472="مدير ولائي",0,LOOKUP(D472,'f-travail'!A:A,'f-travail'!U:U)*(AF472+AG472))</f>
        <v>#N/A</v>
      </c>
      <c r="AP472" s="673" t="e">
        <f>IF(G472="مدير ولائي",0,LOOKUP(D472,'f-travail'!A:A,'f-travail'!V:V)*(AF472+AG472))</f>
        <v>#N/A</v>
      </c>
      <c r="AQ472" s="673" t="e">
        <f>IF(G472="مدير ولائي",0,LOOKUP(D472,'f-travail'!A:A,'f-travail'!W:W)*(AF472+AG472))</f>
        <v>#N/A</v>
      </c>
      <c r="AR472" s="673">
        <f t="shared" si="209"/>
        <v>0</v>
      </c>
      <c r="AS472" s="673" t="e">
        <f>IF(G472="مدير ولائي",0,LOOKUP(D472,'f-travail'!A:A,'f-travail'!X:X)*(AF472+AG472))</f>
        <v>#N/A</v>
      </c>
      <c r="AT472" s="673" t="e">
        <f>IF(G472="مدير ولائي",0,LOOKUP(D472,'f-travail'!Y:Y,'f-travail'!R:R)*(AF472+AG472))</f>
        <v>#N/A</v>
      </c>
      <c r="AU472" s="673">
        <f t="shared" si="199"/>
        <v>0</v>
      </c>
      <c r="AV472" s="673">
        <f t="shared" si="200"/>
        <v>0</v>
      </c>
      <c r="AW472" s="673">
        <f t="shared" si="201"/>
        <v>0</v>
      </c>
      <c r="AY472" s="640" t="e">
        <f t="shared" si="210"/>
        <v>#N/A</v>
      </c>
      <c r="AZ472" s="673" t="e">
        <f t="shared" si="202"/>
        <v>#N/A</v>
      </c>
      <c r="BA472" s="639" t="e">
        <f t="shared" si="203"/>
        <v>#N/A</v>
      </c>
      <c r="BG472" s="639">
        <f t="shared" si="211"/>
        <v>0</v>
      </c>
      <c r="BH472" s="683">
        <f t="shared" si="212"/>
        <v>0</v>
      </c>
      <c r="BI472" s="683">
        <f t="shared" si="213"/>
        <v>0</v>
      </c>
      <c r="BJ472" s="641" t="e">
        <f t="shared" si="214"/>
        <v>#N/A</v>
      </c>
      <c r="BK472" s="641" t="e">
        <f t="shared" si="215"/>
        <v>#N/A</v>
      </c>
      <c r="BL472" s="641" t="e">
        <f t="shared" si="216"/>
        <v>#N/A</v>
      </c>
      <c r="BM472" s="684" t="e">
        <f t="shared" si="217"/>
        <v>#N/A</v>
      </c>
      <c r="BO472" s="682" t="e">
        <f>CONCATENATE(Z472," ",LOOKUP(D472,'f-travail'!A:A,'f-travail'!F:F))</f>
        <v>#N/A</v>
      </c>
      <c r="BP472" s="669" t="e">
        <f t="shared" si="204"/>
        <v>#N/A</v>
      </c>
    </row>
    <row r="473" spans="1:68">
      <c r="A473" s="636">
        <f t="shared" si="218"/>
        <v>472</v>
      </c>
      <c r="B473" s="637"/>
      <c r="C473" s="637"/>
      <c r="D473" s="652"/>
      <c r="E473" s="679" t="e">
        <f>LOOKUP(D473,'f-travail'!A:A,'f-travail'!B:B)</f>
        <v>#N/A</v>
      </c>
      <c r="F473" s="650"/>
      <c r="G473" s="650"/>
      <c r="H473" s="653"/>
      <c r="I473" s="653"/>
      <c r="J473" s="654"/>
      <c r="K473" s="650"/>
      <c r="L473" s="650"/>
      <c r="M473" s="650">
        <v>0</v>
      </c>
      <c r="N473" s="654"/>
      <c r="O473" s="654"/>
      <c r="P473" s="654"/>
      <c r="Q473" s="654"/>
      <c r="R473" s="676"/>
      <c r="S473" s="654"/>
      <c r="T473" s="675"/>
      <c r="U473" s="675"/>
      <c r="V473" s="670" t="e">
        <f>LOOKUP(D473,'f-travail'!A:A,'f-travail'!E:E)</f>
        <v>#N/A</v>
      </c>
      <c r="W473" s="670" t="e">
        <f>VLOOKUP(V473,جرقمإستدلالي,'f-travail'!$AD$4+1,FALSE)</f>
        <v>#N/A</v>
      </c>
      <c r="X473" s="671" t="e">
        <f t="shared" si="194"/>
        <v>#N/A</v>
      </c>
      <c r="Y473" s="671">
        <f>IF(G473="مدير ولائي",(HLOOKUP(I473,جدروظعليا,'f-travail'!$AT$3+1,FALSE)-3200),0)</f>
        <v>0</v>
      </c>
      <c r="Z473" s="672" t="str">
        <f t="shared" si="205"/>
        <v/>
      </c>
      <c r="AA473" s="671">
        <f t="shared" si="206"/>
        <v>0</v>
      </c>
      <c r="AB473" s="677" t="b">
        <f t="shared" si="195"/>
        <v>0</v>
      </c>
      <c r="AC473" s="678">
        <f t="shared" si="207"/>
        <v>0</v>
      </c>
      <c r="AD473" s="673"/>
      <c r="AE473" s="678">
        <f t="shared" si="196"/>
        <v>0</v>
      </c>
      <c r="AF473" s="678" t="e">
        <f t="shared" si="197"/>
        <v>#N/A</v>
      </c>
      <c r="AG473" s="678" t="e">
        <f t="shared" si="198"/>
        <v>#N/A</v>
      </c>
      <c r="AH473" s="673">
        <f t="shared" si="208"/>
        <v>0</v>
      </c>
      <c r="AI473" s="674" t="e">
        <f>IF(G473="مدير ولائي",(11000*35%),LOOKUP(D473,'f-travail'!A:A,'f-travail'!I:I))</f>
        <v>#N/A</v>
      </c>
      <c r="AJ473" s="673" t="e">
        <f>IF(G473="مدير ولائي",((W473+X473)*45)*80%,IF(V473&lt;8,0,IF(F473="إليزي",(LOOKUP(D473,'f-travail'!A:A,'f-travail'!O:O))*(AF473+AG473),LOOKUP(D473,'f-travail'!A:A,'f-travail'!P:P)*(AF473+AG473))))</f>
        <v>#N/A</v>
      </c>
      <c r="AK473" s="673" t="e">
        <f>IF(G473="مدير ولائي",0,LOOKUP(D473,'f-travail'!A:A,'f-travail'!Q:Q))</f>
        <v>#N/A</v>
      </c>
      <c r="AL473" s="673" t="e">
        <f>IF(G473="مدير ولائي",0,LOOKUP(D473,'f-travail'!A:A,'f-travail'!R:R)*(AF473+AG473))</f>
        <v>#N/A</v>
      </c>
      <c r="AM473" s="673" t="e">
        <f>IF(G473="مدير ولائي",0,LOOKUP(D473,'f-travail'!A:A,'f-travail'!S:S)*(AF473+AG473))</f>
        <v>#N/A</v>
      </c>
      <c r="AN473" s="673" t="e">
        <f>IF(G473="مدير ولائي",0,LOOKUP(D473,'f-travail'!A:A,'f-travail'!T:T)*(AF473+AG473))</f>
        <v>#N/A</v>
      </c>
      <c r="AO473" s="673" t="e">
        <f>IF(G473="مدير ولائي",0,LOOKUP(D473,'f-travail'!A:A,'f-travail'!U:U)*(AF473+AG473))</f>
        <v>#N/A</v>
      </c>
      <c r="AP473" s="673" t="e">
        <f>IF(G473="مدير ولائي",0,LOOKUP(D473,'f-travail'!A:A,'f-travail'!V:V)*(AF473+AG473))</f>
        <v>#N/A</v>
      </c>
      <c r="AQ473" s="673" t="e">
        <f>IF(G473="مدير ولائي",0,LOOKUP(D473,'f-travail'!A:A,'f-travail'!W:W)*(AF473+AG473))</f>
        <v>#N/A</v>
      </c>
      <c r="AR473" s="673">
        <f t="shared" si="209"/>
        <v>0</v>
      </c>
      <c r="AS473" s="673" t="e">
        <f>IF(G473="مدير ولائي",0,LOOKUP(D473,'f-travail'!A:A,'f-travail'!X:X)*(AF473+AG473))</f>
        <v>#N/A</v>
      </c>
      <c r="AT473" s="673" t="e">
        <f>IF(G473="مدير ولائي",0,LOOKUP(D473,'f-travail'!Y:Y,'f-travail'!R:R)*(AF473+AG473))</f>
        <v>#N/A</v>
      </c>
      <c r="AU473" s="673">
        <f t="shared" si="199"/>
        <v>0</v>
      </c>
      <c r="AV473" s="673">
        <f t="shared" si="200"/>
        <v>0</v>
      </c>
      <c r="AW473" s="673">
        <f t="shared" si="201"/>
        <v>0</v>
      </c>
      <c r="AY473" s="640" t="e">
        <f t="shared" si="210"/>
        <v>#N/A</v>
      </c>
      <c r="AZ473" s="673" t="e">
        <f t="shared" si="202"/>
        <v>#N/A</v>
      </c>
      <c r="BA473" s="639" t="e">
        <f t="shared" si="203"/>
        <v>#N/A</v>
      </c>
      <c r="BG473" s="639">
        <f t="shared" si="211"/>
        <v>0</v>
      </c>
      <c r="BH473" s="683">
        <f t="shared" si="212"/>
        <v>0</v>
      </c>
      <c r="BI473" s="683">
        <f t="shared" si="213"/>
        <v>0</v>
      </c>
      <c r="BJ473" s="641" t="e">
        <f t="shared" si="214"/>
        <v>#N/A</v>
      </c>
      <c r="BK473" s="641" t="e">
        <f t="shared" si="215"/>
        <v>#N/A</v>
      </c>
      <c r="BL473" s="641" t="e">
        <f t="shared" si="216"/>
        <v>#N/A</v>
      </c>
      <c r="BM473" s="684" t="e">
        <f t="shared" si="217"/>
        <v>#N/A</v>
      </c>
      <c r="BO473" s="682" t="e">
        <f>CONCATENATE(Z473," ",LOOKUP(D473,'f-travail'!A:A,'f-travail'!F:F))</f>
        <v>#N/A</v>
      </c>
      <c r="BP473" s="669" t="e">
        <f t="shared" si="204"/>
        <v>#N/A</v>
      </c>
    </row>
    <row r="474" spans="1:68">
      <c r="A474" s="636">
        <f t="shared" si="218"/>
        <v>473</v>
      </c>
      <c r="B474" s="637"/>
      <c r="C474" s="637"/>
      <c r="D474" s="652"/>
      <c r="E474" s="679" t="e">
        <f>LOOKUP(D474,'f-travail'!A:A,'f-travail'!B:B)</f>
        <v>#N/A</v>
      </c>
      <c r="F474" s="650"/>
      <c r="G474" s="650"/>
      <c r="H474" s="653"/>
      <c r="I474" s="653"/>
      <c r="J474" s="654"/>
      <c r="K474" s="650"/>
      <c r="L474" s="650"/>
      <c r="M474" s="650">
        <v>0</v>
      </c>
      <c r="N474" s="654"/>
      <c r="O474" s="654"/>
      <c r="P474" s="654"/>
      <c r="Q474" s="654"/>
      <c r="R474" s="676"/>
      <c r="S474" s="654"/>
      <c r="T474" s="675"/>
      <c r="U474" s="675"/>
      <c r="V474" s="670" t="e">
        <f>LOOKUP(D474,'f-travail'!A:A,'f-travail'!E:E)</f>
        <v>#N/A</v>
      </c>
      <c r="W474" s="670" t="e">
        <f>VLOOKUP(V474,جرقمإستدلالي,'f-travail'!$AD$4+1,FALSE)</f>
        <v>#N/A</v>
      </c>
      <c r="X474" s="671" t="e">
        <f t="shared" si="194"/>
        <v>#N/A</v>
      </c>
      <c r="Y474" s="671">
        <f>IF(G474="مدير ولائي",(HLOOKUP(I474,جدروظعليا,'f-travail'!$AT$3+1,FALSE)-3200),0)</f>
        <v>0</v>
      </c>
      <c r="Z474" s="672" t="str">
        <f t="shared" si="205"/>
        <v/>
      </c>
      <c r="AA474" s="671">
        <f t="shared" si="206"/>
        <v>0</v>
      </c>
      <c r="AB474" s="677" t="b">
        <f t="shared" si="195"/>
        <v>0</v>
      </c>
      <c r="AC474" s="678">
        <f t="shared" si="207"/>
        <v>0</v>
      </c>
      <c r="AD474" s="673"/>
      <c r="AE474" s="678">
        <f t="shared" si="196"/>
        <v>0</v>
      </c>
      <c r="AF474" s="678" t="e">
        <f t="shared" si="197"/>
        <v>#N/A</v>
      </c>
      <c r="AG474" s="678" t="e">
        <f t="shared" si="198"/>
        <v>#N/A</v>
      </c>
      <c r="AH474" s="673">
        <f t="shared" si="208"/>
        <v>0</v>
      </c>
      <c r="AI474" s="674" t="e">
        <f>IF(G474="مدير ولائي",(11000*35%),LOOKUP(D474,'f-travail'!A:A,'f-travail'!I:I))</f>
        <v>#N/A</v>
      </c>
      <c r="AJ474" s="673" t="e">
        <f>IF(G474="مدير ولائي",((W474+X474)*45)*80%,IF(V474&lt;8,0,IF(F474="إليزي",(LOOKUP(D474,'f-travail'!A:A,'f-travail'!O:O))*(AF474+AG474),LOOKUP(D474,'f-travail'!A:A,'f-travail'!P:P)*(AF474+AG474))))</f>
        <v>#N/A</v>
      </c>
      <c r="AK474" s="673" t="e">
        <f>IF(G474="مدير ولائي",0,LOOKUP(D474,'f-travail'!A:A,'f-travail'!Q:Q))</f>
        <v>#N/A</v>
      </c>
      <c r="AL474" s="673" t="e">
        <f>IF(G474="مدير ولائي",0,LOOKUP(D474,'f-travail'!A:A,'f-travail'!R:R)*(AF474+AG474))</f>
        <v>#N/A</v>
      </c>
      <c r="AM474" s="673" t="e">
        <f>IF(G474="مدير ولائي",0,LOOKUP(D474,'f-travail'!A:A,'f-travail'!S:S)*(AF474+AG474))</f>
        <v>#N/A</v>
      </c>
      <c r="AN474" s="673" t="e">
        <f>IF(G474="مدير ولائي",0,LOOKUP(D474,'f-travail'!A:A,'f-travail'!T:T)*(AF474+AG474))</f>
        <v>#N/A</v>
      </c>
      <c r="AO474" s="673" t="e">
        <f>IF(G474="مدير ولائي",0,LOOKUP(D474,'f-travail'!A:A,'f-travail'!U:U)*(AF474+AG474))</f>
        <v>#N/A</v>
      </c>
      <c r="AP474" s="673" t="e">
        <f>IF(G474="مدير ولائي",0,LOOKUP(D474,'f-travail'!A:A,'f-travail'!V:V)*(AF474+AG474))</f>
        <v>#N/A</v>
      </c>
      <c r="AQ474" s="673" t="e">
        <f>IF(G474="مدير ولائي",0,LOOKUP(D474,'f-travail'!A:A,'f-travail'!W:W)*(AF474+AG474))</f>
        <v>#N/A</v>
      </c>
      <c r="AR474" s="673">
        <f t="shared" si="209"/>
        <v>0</v>
      </c>
      <c r="AS474" s="673" t="e">
        <f>IF(G474="مدير ولائي",0,LOOKUP(D474,'f-travail'!A:A,'f-travail'!X:X)*(AF474+AG474))</f>
        <v>#N/A</v>
      </c>
      <c r="AT474" s="673" t="e">
        <f>IF(G474="مدير ولائي",0,LOOKUP(D474,'f-travail'!Y:Y,'f-travail'!R:R)*(AF474+AG474))</f>
        <v>#N/A</v>
      </c>
      <c r="AU474" s="673">
        <f t="shared" si="199"/>
        <v>0</v>
      </c>
      <c r="AV474" s="673">
        <f t="shared" si="200"/>
        <v>0</v>
      </c>
      <c r="AW474" s="673">
        <f t="shared" si="201"/>
        <v>0</v>
      </c>
      <c r="AY474" s="640" t="e">
        <f t="shared" si="210"/>
        <v>#N/A</v>
      </c>
      <c r="AZ474" s="673" t="e">
        <f t="shared" si="202"/>
        <v>#N/A</v>
      </c>
      <c r="BA474" s="639" t="e">
        <f t="shared" si="203"/>
        <v>#N/A</v>
      </c>
      <c r="BG474" s="639">
        <f t="shared" si="211"/>
        <v>0</v>
      </c>
      <c r="BH474" s="683">
        <f t="shared" si="212"/>
        <v>0</v>
      </c>
      <c r="BI474" s="683">
        <f t="shared" si="213"/>
        <v>0</v>
      </c>
      <c r="BJ474" s="641" t="e">
        <f t="shared" si="214"/>
        <v>#N/A</v>
      </c>
      <c r="BK474" s="641" t="e">
        <f t="shared" si="215"/>
        <v>#N/A</v>
      </c>
      <c r="BL474" s="641" t="e">
        <f t="shared" si="216"/>
        <v>#N/A</v>
      </c>
      <c r="BM474" s="684" t="e">
        <f t="shared" si="217"/>
        <v>#N/A</v>
      </c>
      <c r="BO474" s="682" t="e">
        <f>CONCATENATE(Z474," ",LOOKUP(D474,'f-travail'!A:A,'f-travail'!F:F))</f>
        <v>#N/A</v>
      </c>
      <c r="BP474" s="669" t="e">
        <f t="shared" si="204"/>
        <v>#N/A</v>
      </c>
    </row>
    <row r="475" spans="1:68">
      <c r="A475" s="636">
        <f t="shared" si="218"/>
        <v>474</v>
      </c>
      <c r="B475" s="637"/>
      <c r="C475" s="637"/>
      <c r="D475" s="652"/>
      <c r="E475" s="679" t="e">
        <f>LOOKUP(D475,'f-travail'!A:A,'f-travail'!B:B)</f>
        <v>#N/A</v>
      </c>
      <c r="F475" s="650"/>
      <c r="G475" s="650"/>
      <c r="H475" s="653"/>
      <c r="I475" s="653"/>
      <c r="J475" s="654"/>
      <c r="K475" s="650"/>
      <c r="L475" s="650"/>
      <c r="M475" s="650">
        <v>0</v>
      </c>
      <c r="N475" s="654"/>
      <c r="O475" s="654"/>
      <c r="P475" s="654"/>
      <c r="Q475" s="654"/>
      <c r="R475" s="676"/>
      <c r="S475" s="654"/>
      <c r="T475" s="675"/>
      <c r="U475" s="675"/>
      <c r="V475" s="670" t="e">
        <f>LOOKUP(D475,'f-travail'!A:A,'f-travail'!E:E)</f>
        <v>#N/A</v>
      </c>
      <c r="W475" s="670" t="e">
        <f>VLOOKUP(V475,جرقمإستدلالي,'f-travail'!$AD$4+1,FALSE)</f>
        <v>#N/A</v>
      </c>
      <c r="X475" s="671" t="e">
        <f t="shared" si="194"/>
        <v>#N/A</v>
      </c>
      <c r="Y475" s="671">
        <f>IF(G475="مدير ولائي",(HLOOKUP(I475,جدروظعليا,'f-travail'!$AT$3+1,FALSE)-3200),0)</f>
        <v>0</v>
      </c>
      <c r="Z475" s="672" t="str">
        <f t="shared" si="205"/>
        <v/>
      </c>
      <c r="AA475" s="671">
        <f t="shared" si="206"/>
        <v>0</v>
      </c>
      <c r="AB475" s="677" t="b">
        <f t="shared" si="195"/>
        <v>0</v>
      </c>
      <c r="AC475" s="678">
        <f t="shared" si="207"/>
        <v>0</v>
      </c>
      <c r="AD475" s="673"/>
      <c r="AE475" s="678">
        <f t="shared" si="196"/>
        <v>0</v>
      </c>
      <c r="AF475" s="678" t="e">
        <f t="shared" si="197"/>
        <v>#N/A</v>
      </c>
      <c r="AG475" s="678" t="e">
        <f t="shared" si="198"/>
        <v>#N/A</v>
      </c>
      <c r="AH475" s="673">
        <f t="shared" si="208"/>
        <v>0</v>
      </c>
      <c r="AI475" s="674" t="e">
        <f>IF(G475="مدير ولائي",(11000*35%),LOOKUP(D475,'f-travail'!A:A,'f-travail'!I:I))</f>
        <v>#N/A</v>
      </c>
      <c r="AJ475" s="673" t="e">
        <f>IF(G475="مدير ولائي",((W475+X475)*45)*80%,IF(V475&lt;8,0,IF(F475="إليزي",(LOOKUP(D475,'f-travail'!A:A,'f-travail'!O:O))*(AF475+AG475),LOOKUP(D475,'f-travail'!A:A,'f-travail'!P:P)*(AF475+AG475))))</f>
        <v>#N/A</v>
      </c>
      <c r="AK475" s="673" t="e">
        <f>IF(G475="مدير ولائي",0,LOOKUP(D475,'f-travail'!A:A,'f-travail'!Q:Q))</f>
        <v>#N/A</v>
      </c>
      <c r="AL475" s="673" t="e">
        <f>IF(G475="مدير ولائي",0,LOOKUP(D475,'f-travail'!A:A,'f-travail'!R:R)*(AF475+AG475))</f>
        <v>#N/A</v>
      </c>
      <c r="AM475" s="673" t="e">
        <f>IF(G475="مدير ولائي",0,LOOKUP(D475,'f-travail'!A:A,'f-travail'!S:S)*(AF475+AG475))</f>
        <v>#N/A</v>
      </c>
      <c r="AN475" s="673" t="e">
        <f>IF(G475="مدير ولائي",0,LOOKUP(D475,'f-travail'!A:A,'f-travail'!T:T)*(AF475+AG475))</f>
        <v>#N/A</v>
      </c>
      <c r="AO475" s="673" t="e">
        <f>IF(G475="مدير ولائي",0,LOOKUP(D475,'f-travail'!A:A,'f-travail'!U:U)*(AF475+AG475))</f>
        <v>#N/A</v>
      </c>
      <c r="AP475" s="673" t="e">
        <f>IF(G475="مدير ولائي",0,LOOKUP(D475,'f-travail'!A:A,'f-travail'!V:V)*(AF475+AG475))</f>
        <v>#N/A</v>
      </c>
      <c r="AQ475" s="673" t="e">
        <f>IF(G475="مدير ولائي",0,LOOKUP(D475,'f-travail'!A:A,'f-travail'!W:W)*(AF475+AG475))</f>
        <v>#N/A</v>
      </c>
      <c r="AR475" s="673">
        <f t="shared" si="209"/>
        <v>0</v>
      </c>
      <c r="AS475" s="673" t="e">
        <f>IF(G475="مدير ولائي",0,LOOKUP(D475,'f-travail'!A:A,'f-travail'!X:X)*(AF475+AG475))</f>
        <v>#N/A</v>
      </c>
      <c r="AT475" s="673" t="e">
        <f>IF(G475="مدير ولائي",0,LOOKUP(D475,'f-travail'!Y:Y,'f-travail'!R:R)*(AF475+AG475))</f>
        <v>#N/A</v>
      </c>
      <c r="AU475" s="673">
        <f t="shared" si="199"/>
        <v>0</v>
      </c>
      <c r="AV475" s="673">
        <f t="shared" si="200"/>
        <v>0</v>
      </c>
      <c r="AW475" s="673">
        <f t="shared" si="201"/>
        <v>0</v>
      </c>
      <c r="AY475" s="640" t="e">
        <f t="shared" si="210"/>
        <v>#N/A</v>
      </c>
      <c r="AZ475" s="673" t="e">
        <f t="shared" si="202"/>
        <v>#N/A</v>
      </c>
      <c r="BA475" s="639" t="e">
        <f t="shared" si="203"/>
        <v>#N/A</v>
      </c>
      <c r="BG475" s="639">
        <f t="shared" si="211"/>
        <v>0</v>
      </c>
      <c r="BH475" s="683">
        <f t="shared" si="212"/>
        <v>0</v>
      </c>
      <c r="BI475" s="683">
        <f t="shared" si="213"/>
        <v>0</v>
      </c>
      <c r="BJ475" s="641" t="e">
        <f t="shared" si="214"/>
        <v>#N/A</v>
      </c>
      <c r="BK475" s="641" t="e">
        <f t="shared" si="215"/>
        <v>#N/A</v>
      </c>
      <c r="BL475" s="641" t="e">
        <f t="shared" si="216"/>
        <v>#N/A</v>
      </c>
      <c r="BM475" s="684" t="e">
        <f t="shared" si="217"/>
        <v>#N/A</v>
      </c>
      <c r="BO475" s="682" t="e">
        <f>CONCATENATE(Z475," ",LOOKUP(D475,'f-travail'!A:A,'f-travail'!F:F))</f>
        <v>#N/A</v>
      </c>
      <c r="BP475" s="669" t="e">
        <f t="shared" si="204"/>
        <v>#N/A</v>
      </c>
    </row>
    <row r="476" spans="1:68">
      <c r="A476" s="636">
        <f t="shared" si="218"/>
        <v>475</v>
      </c>
      <c r="B476" s="637"/>
      <c r="C476" s="637"/>
      <c r="D476" s="652"/>
      <c r="E476" s="679" t="e">
        <f>LOOKUP(D476,'f-travail'!A:A,'f-travail'!B:B)</f>
        <v>#N/A</v>
      </c>
      <c r="F476" s="650"/>
      <c r="G476" s="650"/>
      <c r="H476" s="653"/>
      <c r="I476" s="653"/>
      <c r="J476" s="654"/>
      <c r="K476" s="650"/>
      <c r="L476" s="650"/>
      <c r="M476" s="650">
        <v>0</v>
      </c>
      <c r="N476" s="654"/>
      <c r="O476" s="654"/>
      <c r="P476" s="654"/>
      <c r="Q476" s="654"/>
      <c r="R476" s="676"/>
      <c r="S476" s="654"/>
      <c r="T476" s="675"/>
      <c r="U476" s="675"/>
      <c r="V476" s="670" t="e">
        <f>LOOKUP(D476,'f-travail'!A:A,'f-travail'!E:E)</f>
        <v>#N/A</v>
      </c>
      <c r="W476" s="670" t="e">
        <f>VLOOKUP(V476,جرقمإستدلالي,'f-travail'!$AD$4+1,FALSE)</f>
        <v>#N/A</v>
      </c>
      <c r="X476" s="671" t="e">
        <f t="shared" si="194"/>
        <v>#N/A</v>
      </c>
      <c r="Y476" s="671">
        <f>IF(G476="مدير ولائي",(HLOOKUP(I476,جدروظعليا,'f-travail'!$AT$3+1,FALSE)-3200),0)</f>
        <v>0</v>
      </c>
      <c r="Z476" s="672" t="str">
        <f t="shared" si="205"/>
        <v/>
      </c>
      <c r="AA476" s="671">
        <f t="shared" si="206"/>
        <v>0</v>
      </c>
      <c r="AB476" s="677" t="b">
        <f t="shared" si="195"/>
        <v>0</v>
      </c>
      <c r="AC476" s="678">
        <f t="shared" si="207"/>
        <v>0</v>
      </c>
      <c r="AD476" s="673"/>
      <c r="AE476" s="678">
        <f t="shared" si="196"/>
        <v>0</v>
      </c>
      <c r="AF476" s="678" t="e">
        <f t="shared" si="197"/>
        <v>#N/A</v>
      </c>
      <c r="AG476" s="678" t="e">
        <f t="shared" si="198"/>
        <v>#N/A</v>
      </c>
      <c r="AH476" s="673">
        <f t="shared" si="208"/>
        <v>0</v>
      </c>
      <c r="AI476" s="674" t="e">
        <f>IF(G476="مدير ولائي",(11000*35%),LOOKUP(D476,'f-travail'!A:A,'f-travail'!I:I))</f>
        <v>#N/A</v>
      </c>
      <c r="AJ476" s="673" t="e">
        <f>IF(G476="مدير ولائي",((W476+X476)*45)*80%,IF(V476&lt;8,0,IF(F476="إليزي",(LOOKUP(D476,'f-travail'!A:A,'f-travail'!O:O))*(AF476+AG476),LOOKUP(D476,'f-travail'!A:A,'f-travail'!P:P)*(AF476+AG476))))</f>
        <v>#N/A</v>
      </c>
      <c r="AK476" s="673" t="e">
        <f>IF(G476="مدير ولائي",0,LOOKUP(D476,'f-travail'!A:A,'f-travail'!Q:Q))</f>
        <v>#N/A</v>
      </c>
      <c r="AL476" s="673" t="e">
        <f>IF(G476="مدير ولائي",0,LOOKUP(D476,'f-travail'!A:A,'f-travail'!R:R)*(AF476+AG476))</f>
        <v>#N/A</v>
      </c>
      <c r="AM476" s="673" t="e">
        <f>IF(G476="مدير ولائي",0,LOOKUP(D476,'f-travail'!A:A,'f-travail'!S:S)*(AF476+AG476))</f>
        <v>#N/A</v>
      </c>
      <c r="AN476" s="673" t="e">
        <f>IF(G476="مدير ولائي",0,LOOKUP(D476,'f-travail'!A:A,'f-travail'!T:T)*(AF476+AG476))</f>
        <v>#N/A</v>
      </c>
      <c r="AO476" s="673" t="e">
        <f>IF(G476="مدير ولائي",0,LOOKUP(D476,'f-travail'!A:A,'f-travail'!U:U)*(AF476+AG476))</f>
        <v>#N/A</v>
      </c>
      <c r="AP476" s="673" t="e">
        <f>IF(G476="مدير ولائي",0,LOOKUP(D476,'f-travail'!A:A,'f-travail'!V:V)*(AF476+AG476))</f>
        <v>#N/A</v>
      </c>
      <c r="AQ476" s="673" t="e">
        <f>IF(G476="مدير ولائي",0,LOOKUP(D476,'f-travail'!A:A,'f-travail'!W:W)*(AF476+AG476))</f>
        <v>#N/A</v>
      </c>
      <c r="AR476" s="673">
        <f t="shared" si="209"/>
        <v>0</v>
      </c>
      <c r="AS476" s="673" t="e">
        <f>IF(G476="مدير ولائي",0,LOOKUP(D476,'f-travail'!A:A,'f-travail'!X:X)*(AF476+AG476))</f>
        <v>#N/A</v>
      </c>
      <c r="AT476" s="673" t="e">
        <f>IF(G476="مدير ولائي",0,LOOKUP(D476,'f-travail'!Y:Y,'f-travail'!R:R)*(AF476+AG476))</f>
        <v>#N/A</v>
      </c>
      <c r="AU476" s="673">
        <f t="shared" si="199"/>
        <v>0</v>
      </c>
      <c r="AV476" s="673">
        <f t="shared" si="200"/>
        <v>0</v>
      </c>
      <c r="AW476" s="673">
        <f t="shared" si="201"/>
        <v>0</v>
      </c>
      <c r="AY476" s="640" t="e">
        <f t="shared" si="210"/>
        <v>#N/A</v>
      </c>
      <c r="AZ476" s="673" t="e">
        <f t="shared" si="202"/>
        <v>#N/A</v>
      </c>
      <c r="BA476" s="639" t="e">
        <f t="shared" si="203"/>
        <v>#N/A</v>
      </c>
      <c r="BG476" s="639">
        <f t="shared" si="211"/>
        <v>0</v>
      </c>
      <c r="BH476" s="683">
        <f t="shared" si="212"/>
        <v>0</v>
      </c>
      <c r="BI476" s="683">
        <f t="shared" si="213"/>
        <v>0</v>
      </c>
      <c r="BJ476" s="641" t="e">
        <f t="shared" si="214"/>
        <v>#N/A</v>
      </c>
      <c r="BK476" s="641" t="e">
        <f t="shared" si="215"/>
        <v>#N/A</v>
      </c>
      <c r="BL476" s="641" t="e">
        <f t="shared" si="216"/>
        <v>#N/A</v>
      </c>
      <c r="BM476" s="684" t="e">
        <f t="shared" si="217"/>
        <v>#N/A</v>
      </c>
      <c r="BO476" s="682" t="e">
        <f>CONCATENATE(Z476," ",LOOKUP(D476,'f-travail'!A:A,'f-travail'!F:F))</f>
        <v>#N/A</v>
      </c>
      <c r="BP476" s="669" t="e">
        <f t="shared" si="204"/>
        <v>#N/A</v>
      </c>
    </row>
    <row r="477" spans="1:68">
      <c r="A477" s="636">
        <f t="shared" si="218"/>
        <v>476</v>
      </c>
      <c r="B477" s="637"/>
      <c r="C477" s="637"/>
      <c r="D477" s="652"/>
      <c r="E477" s="679" t="e">
        <f>LOOKUP(D477,'f-travail'!A:A,'f-travail'!B:B)</f>
        <v>#N/A</v>
      </c>
      <c r="F477" s="650"/>
      <c r="G477" s="650"/>
      <c r="H477" s="653"/>
      <c r="I477" s="653"/>
      <c r="J477" s="654"/>
      <c r="K477" s="650"/>
      <c r="L477" s="650"/>
      <c r="M477" s="650">
        <v>0</v>
      </c>
      <c r="N477" s="654"/>
      <c r="O477" s="654"/>
      <c r="P477" s="654"/>
      <c r="Q477" s="654"/>
      <c r="R477" s="676"/>
      <c r="S477" s="654"/>
      <c r="T477" s="675"/>
      <c r="U477" s="675"/>
      <c r="V477" s="670" t="e">
        <f>LOOKUP(D477,'f-travail'!A:A,'f-travail'!E:E)</f>
        <v>#N/A</v>
      </c>
      <c r="W477" s="670" t="e">
        <f>VLOOKUP(V477,جرقمإستدلالي,'f-travail'!$AD$4+1,FALSE)</f>
        <v>#N/A</v>
      </c>
      <c r="X477" s="671" t="e">
        <f t="shared" si="194"/>
        <v>#N/A</v>
      </c>
      <c r="Y477" s="671">
        <f>IF(G477="مدير ولائي",(HLOOKUP(I477,جدروظعليا,'f-travail'!$AT$3+1,FALSE)-3200),0)</f>
        <v>0</v>
      </c>
      <c r="Z477" s="672" t="str">
        <f t="shared" si="205"/>
        <v/>
      </c>
      <c r="AA477" s="671">
        <f t="shared" si="206"/>
        <v>0</v>
      </c>
      <c r="AB477" s="677" t="b">
        <f t="shared" si="195"/>
        <v>0</v>
      </c>
      <c r="AC477" s="678">
        <f t="shared" si="207"/>
        <v>0</v>
      </c>
      <c r="AD477" s="673"/>
      <c r="AE477" s="678">
        <f t="shared" si="196"/>
        <v>0</v>
      </c>
      <c r="AF477" s="678" t="e">
        <f t="shared" si="197"/>
        <v>#N/A</v>
      </c>
      <c r="AG477" s="678" t="e">
        <f t="shared" si="198"/>
        <v>#N/A</v>
      </c>
      <c r="AH477" s="673">
        <f t="shared" si="208"/>
        <v>0</v>
      </c>
      <c r="AI477" s="674" t="e">
        <f>IF(G477="مدير ولائي",(11000*35%),LOOKUP(D477,'f-travail'!A:A,'f-travail'!I:I))</f>
        <v>#N/A</v>
      </c>
      <c r="AJ477" s="673" t="e">
        <f>IF(G477="مدير ولائي",((W477+X477)*45)*80%,IF(V477&lt;8,0,IF(F477="إليزي",(LOOKUP(D477,'f-travail'!A:A,'f-travail'!O:O))*(AF477+AG477),LOOKUP(D477,'f-travail'!A:A,'f-travail'!P:P)*(AF477+AG477))))</f>
        <v>#N/A</v>
      </c>
      <c r="AK477" s="673" t="e">
        <f>IF(G477="مدير ولائي",0,LOOKUP(D477,'f-travail'!A:A,'f-travail'!Q:Q))</f>
        <v>#N/A</v>
      </c>
      <c r="AL477" s="673" t="e">
        <f>IF(G477="مدير ولائي",0,LOOKUP(D477,'f-travail'!A:A,'f-travail'!R:R)*(AF477+AG477))</f>
        <v>#N/A</v>
      </c>
      <c r="AM477" s="673" t="e">
        <f>IF(G477="مدير ولائي",0,LOOKUP(D477,'f-travail'!A:A,'f-travail'!S:S)*(AF477+AG477))</f>
        <v>#N/A</v>
      </c>
      <c r="AN477" s="673" t="e">
        <f>IF(G477="مدير ولائي",0,LOOKUP(D477,'f-travail'!A:A,'f-travail'!T:T)*(AF477+AG477))</f>
        <v>#N/A</v>
      </c>
      <c r="AO477" s="673" t="e">
        <f>IF(G477="مدير ولائي",0,LOOKUP(D477,'f-travail'!A:A,'f-travail'!U:U)*(AF477+AG477))</f>
        <v>#N/A</v>
      </c>
      <c r="AP477" s="673" t="e">
        <f>IF(G477="مدير ولائي",0,LOOKUP(D477,'f-travail'!A:A,'f-travail'!V:V)*(AF477+AG477))</f>
        <v>#N/A</v>
      </c>
      <c r="AQ477" s="673" t="e">
        <f>IF(G477="مدير ولائي",0,LOOKUP(D477,'f-travail'!A:A,'f-travail'!W:W)*(AF477+AG477))</f>
        <v>#N/A</v>
      </c>
      <c r="AR477" s="673">
        <f t="shared" si="209"/>
        <v>0</v>
      </c>
      <c r="AS477" s="673" t="e">
        <f>IF(G477="مدير ولائي",0,LOOKUP(D477,'f-travail'!A:A,'f-travail'!X:X)*(AF477+AG477))</f>
        <v>#N/A</v>
      </c>
      <c r="AT477" s="673" t="e">
        <f>IF(G477="مدير ولائي",0,LOOKUP(D477,'f-travail'!Y:Y,'f-travail'!R:R)*(AF477+AG477))</f>
        <v>#N/A</v>
      </c>
      <c r="AU477" s="673">
        <f t="shared" si="199"/>
        <v>0</v>
      </c>
      <c r="AV477" s="673">
        <f t="shared" si="200"/>
        <v>0</v>
      </c>
      <c r="AW477" s="673">
        <f t="shared" si="201"/>
        <v>0</v>
      </c>
      <c r="AY477" s="640" t="e">
        <f t="shared" si="210"/>
        <v>#N/A</v>
      </c>
      <c r="AZ477" s="673" t="e">
        <f t="shared" si="202"/>
        <v>#N/A</v>
      </c>
      <c r="BA477" s="639" t="e">
        <f t="shared" si="203"/>
        <v>#N/A</v>
      </c>
      <c r="BG477" s="639">
        <f t="shared" si="211"/>
        <v>0</v>
      </c>
      <c r="BH477" s="683">
        <f t="shared" si="212"/>
        <v>0</v>
      </c>
      <c r="BI477" s="683">
        <f t="shared" si="213"/>
        <v>0</v>
      </c>
      <c r="BJ477" s="641" t="e">
        <f t="shared" si="214"/>
        <v>#N/A</v>
      </c>
      <c r="BK477" s="641" t="e">
        <f t="shared" si="215"/>
        <v>#N/A</v>
      </c>
      <c r="BL477" s="641" t="e">
        <f t="shared" si="216"/>
        <v>#N/A</v>
      </c>
      <c r="BM477" s="684" t="e">
        <f t="shared" si="217"/>
        <v>#N/A</v>
      </c>
      <c r="BO477" s="682" t="e">
        <f>CONCATENATE(Z477," ",LOOKUP(D477,'f-travail'!A:A,'f-travail'!F:F))</f>
        <v>#N/A</v>
      </c>
      <c r="BP477" s="669" t="e">
        <f t="shared" si="204"/>
        <v>#N/A</v>
      </c>
    </row>
    <row r="478" spans="1:68">
      <c r="A478" s="636">
        <f t="shared" si="218"/>
        <v>477</v>
      </c>
      <c r="B478" s="637"/>
      <c r="C478" s="637"/>
      <c r="D478" s="652"/>
      <c r="E478" s="679" t="e">
        <f>LOOKUP(D478,'f-travail'!A:A,'f-travail'!B:B)</f>
        <v>#N/A</v>
      </c>
      <c r="F478" s="650"/>
      <c r="G478" s="650"/>
      <c r="H478" s="653"/>
      <c r="I478" s="653"/>
      <c r="J478" s="654"/>
      <c r="K478" s="650"/>
      <c r="L478" s="650"/>
      <c r="M478" s="650">
        <v>0</v>
      </c>
      <c r="N478" s="654"/>
      <c r="O478" s="654"/>
      <c r="P478" s="654"/>
      <c r="Q478" s="654"/>
      <c r="R478" s="676"/>
      <c r="S478" s="654"/>
      <c r="T478" s="675"/>
      <c r="U478" s="675"/>
      <c r="V478" s="670" t="e">
        <f>LOOKUP(D478,'f-travail'!A:A,'f-travail'!E:E)</f>
        <v>#N/A</v>
      </c>
      <c r="W478" s="670" t="e">
        <f>VLOOKUP(V478,جرقمإستدلالي,'f-travail'!$AD$4+1,FALSE)</f>
        <v>#N/A</v>
      </c>
      <c r="X478" s="671" t="e">
        <f t="shared" si="194"/>
        <v>#N/A</v>
      </c>
      <c r="Y478" s="671">
        <f>IF(G478="مدير ولائي",(HLOOKUP(I478,جدروظعليا,'f-travail'!$AT$3+1,FALSE)-3200),0)</f>
        <v>0</v>
      </c>
      <c r="Z478" s="672" t="str">
        <f t="shared" si="205"/>
        <v/>
      </c>
      <c r="AA478" s="671">
        <f t="shared" si="206"/>
        <v>0</v>
      </c>
      <c r="AB478" s="677" t="b">
        <f t="shared" si="195"/>
        <v>0</v>
      </c>
      <c r="AC478" s="678">
        <f t="shared" si="207"/>
        <v>0</v>
      </c>
      <c r="AD478" s="673"/>
      <c r="AE478" s="678">
        <f t="shared" si="196"/>
        <v>0</v>
      </c>
      <c r="AF478" s="678" t="e">
        <f t="shared" si="197"/>
        <v>#N/A</v>
      </c>
      <c r="AG478" s="678" t="e">
        <f t="shared" si="198"/>
        <v>#N/A</v>
      </c>
      <c r="AH478" s="673">
        <f t="shared" si="208"/>
        <v>0</v>
      </c>
      <c r="AI478" s="674" t="e">
        <f>IF(G478="مدير ولائي",(11000*35%),LOOKUP(D478,'f-travail'!A:A,'f-travail'!I:I))</f>
        <v>#N/A</v>
      </c>
      <c r="AJ478" s="673" t="e">
        <f>IF(G478="مدير ولائي",((W478+X478)*45)*80%,IF(V478&lt;8,0,IF(F478="إليزي",(LOOKUP(D478,'f-travail'!A:A,'f-travail'!O:O))*(AF478+AG478),LOOKUP(D478,'f-travail'!A:A,'f-travail'!P:P)*(AF478+AG478))))</f>
        <v>#N/A</v>
      </c>
      <c r="AK478" s="673" t="e">
        <f>IF(G478="مدير ولائي",0,LOOKUP(D478,'f-travail'!A:A,'f-travail'!Q:Q))</f>
        <v>#N/A</v>
      </c>
      <c r="AL478" s="673" t="e">
        <f>IF(G478="مدير ولائي",0,LOOKUP(D478,'f-travail'!A:A,'f-travail'!R:R)*(AF478+AG478))</f>
        <v>#N/A</v>
      </c>
      <c r="AM478" s="673" t="e">
        <f>IF(G478="مدير ولائي",0,LOOKUP(D478,'f-travail'!A:A,'f-travail'!S:S)*(AF478+AG478))</f>
        <v>#N/A</v>
      </c>
      <c r="AN478" s="673" t="e">
        <f>IF(G478="مدير ولائي",0,LOOKUP(D478,'f-travail'!A:A,'f-travail'!T:T)*(AF478+AG478))</f>
        <v>#N/A</v>
      </c>
      <c r="AO478" s="673" t="e">
        <f>IF(G478="مدير ولائي",0,LOOKUP(D478,'f-travail'!A:A,'f-travail'!U:U)*(AF478+AG478))</f>
        <v>#N/A</v>
      </c>
      <c r="AP478" s="673" t="e">
        <f>IF(G478="مدير ولائي",0,LOOKUP(D478,'f-travail'!A:A,'f-travail'!V:V)*(AF478+AG478))</f>
        <v>#N/A</v>
      </c>
      <c r="AQ478" s="673" t="e">
        <f>IF(G478="مدير ولائي",0,LOOKUP(D478,'f-travail'!A:A,'f-travail'!W:W)*(AF478+AG478))</f>
        <v>#N/A</v>
      </c>
      <c r="AR478" s="673">
        <f t="shared" si="209"/>
        <v>0</v>
      </c>
      <c r="AS478" s="673" t="e">
        <f>IF(G478="مدير ولائي",0,LOOKUP(D478,'f-travail'!A:A,'f-travail'!X:X)*(AF478+AG478))</f>
        <v>#N/A</v>
      </c>
      <c r="AT478" s="673" t="e">
        <f>IF(G478="مدير ولائي",0,LOOKUP(D478,'f-travail'!Y:Y,'f-travail'!R:R)*(AF478+AG478))</f>
        <v>#N/A</v>
      </c>
      <c r="AU478" s="673">
        <f t="shared" si="199"/>
        <v>0</v>
      </c>
      <c r="AV478" s="673">
        <f t="shared" si="200"/>
        <v>0</v>
      </c>
      <c r="AW478" s="673">
        <f t="shared" si="201"/>
        <v>0</v>
      </c>
      <c r="AY478" s="640" t="e">
        <f t="shared" si="210"/>
        <v>#N/A</v>
      </c>
      <c r="AZ478" s="673" t="e">
        <f t="shared" si="202"/>
        <v>#N/A</v>
      </c>
      <c r="BA478" s="639" t="e">
        <f t="shared" si="203"/>
        <v>#N/A</v>
      </c>
      <c r="BG478" s="639">
        <f t="shared" si="211"/>
        <v>0</v>
      </c>
      <c r="BH478" s="683">
        <f t="shared" si="212"/>
        <v>0</v>
      </c>
      <c r="BI478" s="683">
        <f t="shared" si="213"/>
        <v>0</v>
      </c>
      <c r="BJ478" s="641" t="e">
        <f t="shared" si="214"/>
        <v>#N/A</v>
      </c>
      <c r="BK478" s="641" t="e">
        <f t="shared" si="215"/>
        <v>#N/A</v>
      </c>
      <c r="BL478" s="641" t="e">
        <f t="shared" si="216"/>
        <v>#N/A</v>
      </c>
      <c r="BM478" s="684" t="e">
        <f t="shared" si="217"/>
        <v>#N/A</v>
      </c>
      <c r="BO478" s="682" t="e">
        <f>CONCATENATE(Z478," ",LOOKUP(D478,'f-travail'!A:A,'f-travail'!F:F))</f>
        <v>#N/A</v>
      </c>
      <c r="BP478" s="669" t="e">
        <f t="shared" si="204"/>
        <v>#N/A</v>
      </c>
    </row>
    <row r="479" spans="1:68">
      <c r="A479" s="636">
        <f t="shared" si="218"/>
        <v>478</v>
      </c>
      <c r="B479" s="637"/>
      <c r="C479" s="637"/>
      <c r="D479" s="652"/>
      <c r="E479" s="679" t="e">
        <f>LOOKUP(D479,'f-travail'!A:A,'f-travail'!B:B)</f>
        <v>#N/A</v>
      </c>
      <c r="F479" s="650"/>
      <c r="G479" s="650"/>
      <c r="H479" s="653"/>
      <c r="I479" s="653"/>
      <c r="J479" s="654"/>
      <c r="K479" s="650"/>
      <c r="L479" s="650"/>
      <c r="M479" s="650">
        <v>0</v>
      </c>
      <c r="N479" s="654"/>
      <c r="O479" s="654"/>
      <c r="P479" s="654"/>
      <c r="Q479" s="654"/>
      <c r="R479" s="676"/>
      <c r="S479" s="654"/>
      <c r="T479" s="675"/>
      <c r="U479" s="675"/>
      <c r="V479" s="670" t="e">
        <f>LOOKUP(D479,'f-travail'!A:A,'f-travail'!E:E)</f>
        <v>#N/A</v>
      </c>
      <c r="W479" s="670" t="e">
        <f>VLOOKUP(V479,جرقمإستدلالي,'f-travail'!$AD$4+1,FALSE)</f>
        <v>#N/A</v>
      </c>
      <c r="X479" s="671" t="e">
        <f t="shared" si="194"/>
        <v>#N/A</v>
      </c>
      <c r="Y479" s="671">
        <f>IF(G479="مدير ولائي",(HLOOKUP(I479,جدروظعليا,'f-travail'!$AT$3+1,FALSE)-3200),0)</f>
        <v>0</v>
      </c>
      <c r="Z479" s="672" t="str">
        <f t="shared" si="205"/>
        <v/>
      </c>
      <c r="AA479" s="671">
        <f t="shared" si="206"/>
        <v>0</v>
      </c>
      <c r="AB479" s="677" t="b">
        <f t="shared" si="195"/>
        <v>0</v>
      </c>
      <c r="AC479" s="678">
        <f t="shared" si="207"/>
        <v>0</v>
      </c>
      <c r="AD479" s="673"/>
      <c r="AE479" s="678">
        <f t="shared" si="196"/>
        <v>0</v>
      </c>
      <c r="AF479" s="678" t="e">
        <f t="shared" si="197"/>
        <v>#N/A</v>
      </c>
      <c r="AG479" s="678" t="e">
        <f t="shared" si="198"/>
        <v>#N/A</v>
      </c>
      <c r="AH479" s="673">
        <f t="shared" si="208"/>
        <v>0</v>
      </c>
      <c r="AI479" s="674" t="e">
        <f>IF(G479="مدير ولائي",(11000*35%),LOOKUP(D479,'f-travail'!A:A,'f-travail'!I:I))</f>
        <v>#N/A</v>
      </c>
      <c r="AJ479" s="673" t="e">
        <f>IF(G479="مدير ولائي",((W479+X479)*45)*80%,IF(V479&lt;8,0,IF(F479="إليزي",(LOOKUP(D479,'f-travail'!A:A,'f-travail'!O:O))*(AF479+AG479),LOOKUP(D479,'f-travail'!A:A,'f-travail'!P:P)*(AF479+AG479))))</f>
        <v>#N/A</v>
      </c>
      <c r="AK479" s="673" t="e">
        <f>IF(G479="مدير ولائي",0,LOOKUP(D479,'f-travail'!A:A,'f-travail'!Q:Q))</f>
        <v>#N/A</v>
      </c>
      <c r="AL479" s="673" t="e">
        <f>IF(G479="مدير ولائي",0,LOOKUP(D479,'f-travail'!A:A,'f-travail'!R:R)*(AF479+AG479))</f>
        <v>#N/A</v>
      </c>
      <c r="AM479" s="673" t="e">
        <f>IF(G479="مدير ولائي",0,LOOKUP(D479,'f-travail'!A:A,'f-travail'!S:S)*(AF479+AG479))</f>
        <v>#N/A</v>
      </c>
      <c r="AN479" s="673" t="e">
        <f>IF(G479="مدير ولائي",0,LOOKUP(D479,'f-travail'!A:A,'f-travail'!T:T)*(AF479+AG479))</f>
        <v>#N/A</v>
      </c>
      <c r="AO479" s="673" t="e">
        <f>IF(G479="مدير ولائي",0,LOOKUP(D479,'f-travail'!A:A,'f-travail'!U:U)*(AF479+AG479))</f>
        <v>#N/A</v>
      </c>
      <c r="AP479" s="673" t="e">
        <f>IF(G479="مدير ولائي",0,LOOKUP(D479,'f-travail'!A:A,'f-travail'!V:V)*(AF479+AG479))</f>
        <v>#N/A</v>
      </c>
      <c r="AQ479" s="673" t="e">
        <f>IF(G479="مدير ولائي",0,LOOKUP(D479,'f-travail'!A:A,'f-travail'!W:W)*(AF479+AG479))</f>
        <v>#N/A</v>
      </c>
      <c r="AR479" s="673">
        <f t="shared" si="209"/>
        <v>0</v>
      </c>
      <c r="AS479" s="673" t="e">
        <f>IF(G479="مدير ولائي",0,LOOKUP(D479,'f-travail'!A:A,'f-travail'!X:X)*(AF479+AG479))</f>
        <v>#N/A</v>
      </c>
      <c r="AT479" s="673" t="e">
        <f>IF(G479="مدير ولائي",0,LOOKUP(D479,'f-travail'!Y:Y,'f-travail'!R:R)*(AF479+AG479))</f>
        <v>#N/A</v>
      </c>
      <c r="AU479" s="673">
        <f t="shared" si="199"/>
        <v>0</v>
      </c>
      <c r="AV479" s="673">
        <f t="shared" si="200"/>
        <v>0</v>
      </c>
      <c r="AW479" s="673">
        <f t="shared" si="201"/>
        <v>0</v>
      </c>
      <c r="AY479" s="640" t="e">
        <f t="shared" si="210"/>
        <v>#N/A</v>
      </c>
      <c r="AZ479" s="673" t="e">
        <f t="shared" si="202"/>
        <v>#N/A</v>
      </c>
      <c r="BA479" s="639" t="e">
        <f t="shared" si="203"/>
        <v>#N/A</v>
      </c>
      <c r="BG479" s="639">
        <f t="shared" si="211"/>
        <v>0</v>
      </c>
      <c r="BH479" s="683">
        <f t="shared" si="212"/>
        <v>0</v>
      </c>
      <c r="BI479" s="683">
        <f t="shared" si="213"/>
        <v>0</v>
      </c>
      <c r="BJ479" s="641" t="e">
        <f t="shared" si="214"/>
        <v>#N/A</v>
      </c>
      <c r="BK479" s="641" t="e">
        <f t="shared" si="215"/>
        <v>#N/A</v>
      </c>
      <c r="BL479" s="641" t="e">
        <f t="shared" si="216"/>
        <v>#N/A</v>
      </c>
      <c r="BM479" s="684" t="e">
        <f t="shared" si="217"/>
        <v>#N/A</v>
      </c>
      <c r="BO479" s="682" t="e">
        <f>CONCATENATE(Z479," ",LOOKUP(D479,'f-travail'!A:A,'f-travail'!F:F))</f>
        <v>#N/A</v>
      </c>
      <c r="BP479" s="669" t="e">
        <f t="shared" si="204"/>
        <v>#N/A</v>
      </c>
    </row>
    <row r="480" spans="1:68">
      <c r="A480" s="636">
        <f t="shared" si="218"/>
        <v>479</v>
      </c>
      <c r="B480" s="637"/>
      <c r="C480" s="637"/>
      <c r="D480" s="652"/>
      <c r="E480" s="679" t="e">
        <f>LOOKUP(D480,'f-travail'!A:A,'f-travail'!B:B)</f>
        <v>#N/A</v>
      </c>
      <c r="F480" s="650"/>
      <c r="G480" s="650"/>
      <c r="H480" s="653"/>
      <c r="I480" s="653"/>
      <c r="J480" s="654"/>
      <c r="K480" s="650"/>
      <c r="L480" s="650"/>
      <c r="M480" s="650">
        <v>0</v>
      </c>
      <c r="N480" s="654"/>
      <c r="O480" s="654"/>
      <c r="P480" s="654"/>
      <c r="Q480" s="654"/>
      <c r="R480" s="676"/>
      <c r="S480" s="654"/>
      <c r="T480" s="675"/>
      <c r="U480" s="675"/>
      <c r="V480" s="670" t="e">
        <f>LOOKUP(D480,'f-travail'!A:A,'f-travail'!E:E)</f>
        <v>#N/A</v>
      </c>
      <c r="W480" s="670" t="e">
        <f>VLOOKUP(V480,جرقمإستدلالي,'f-travail'!$AD$4+1,FALSE)</f>
        <v>#N/A</v>
      </c>
      <c r="X480" s="671" t="e">
        <f t="shared" si="194"/>
        <v>#N/A</v>
      </c>
      <c r="Y480" s="671">
        <f>IF(G480="مدير ولائي",(HLOOKUP(I480,جدروظعليا,'f-travail'!$AT$3+1,FALSE)-3200),0)</f>
        <v>0</v>
      </c>
      <c r="Z480" s="672" t="str">
        <f t="shared" si="205"/>
        <v/>
      </c>
      <c r="AA480" s="671">
        <f t="shared" si="206"/>
        <v>0</v>
      </c>
      <c r="AB480" s="677" t="b">
        <f t="shared" si="195"/>
        <v>0</v>
      </c>
      <c r="AC480" s="678">
        <f t="shared" si="207"/>
        <v>0</v>
      </c>
      <c r="AD480" s="673"/>
      <c r="AE480" s="678">
        <f t="shared" si="196"/>
        <v>0</v>
      </c>
      <c r="AF480" s="678" t="e">
        <f t="shared" si="197"/>
        <v>#N/A</v>
      </c>
      <c r="AG480" s="678" t="e">
        <f t="shared" si="198"/>
        <v>#N/A</v>
      </c>
      <c r="AH480" s="673">
        <f t="shared" si="208"/>
        <v>0</v>
      </c>
      <c r="AI480" s="674" t="e">
        <f>IF(G480="مدير ولائي",(11000*35%),LOOKUP(D480,'f-travail'!A:A,'f-travail'!I:I))</f>
        <v>#N/A</v>
      </c>
      <c r="AJ480" s="673" t="e">
        <f>IF(G480="مدير ولائي",((W480+X480)*45)*80%,IF(V480&lt;8,0,IF(F480="إليزي",(LOOKUP(D480,'f-travail'!A:A,'f-travail'!O:O))*(AF480+AG480),LOOKUP(D480,'f-travail'!A:A,'f-travail'!P:P)*(AF480+AG480))))</f>
        <v>#N/A</v>
      </c>
      <c r="AK480" s="673" t="e">
        <f>IF(G480="مدير ولائي",0,LOOKUP(D480,'f-travail'!A:A,'f-travail'!Q:Q))</f>
        <v>#N/A</v>
      </c>
      <c r="AL480" s="673" t="e">
        <f>IF(G480="مدير ولائي",0,LOOKUP(D480,'f-travail'!A:A,'f-travail'!R:R)*(AF480+AG480))</f>
        <v>#N/A</v>
      </c>
      <c r="AM480" s="673" t="e">
        <f>IF(G480="مدير ولائي",0,LOOKUP(D480,'f-travail'!A:A,'f-travail'!S:S)*(AF480+AG480))</f>
        <v>#N/A</v>
      </c>
      <c r="AN480" s="673" t="e">
        <f>IF(G480="مدير ولائي",0,LOOKUP(D480,'f-travail'!A:A,'f-travail'!T:T)*(AF480+AG480))</f>
        <v>#N/A</v>
      </c>
      <c r="AO480" s="673" t="e">
        <f>IF(G480="مدير ولائي",0,LOOKUP(D480,'f-travail'!A:A,'f-travail'!U:U)*(AF480+AG480))</f>
        <v>#N/A</v>
      </c>
      <c r="AP480" s="673" t="e">
        <f>IF(G480="مدير ولائي",0,LOOKUP(D480,'f-travail'!A:A,'f-travail'!V:V)*(AF480+AG480))</f>
        <v>#N/A</v>
      </c>
      <c r="AQ480" s="673" t="e">
        <f>IF(G480="مدير ولائي",0,LOOKUP(D480,'f-travail'!A:A,'f-travail'!W:W)*(AF480+AG480))</f>
        <v>#N/A</v>
      </c>
      <c r="AR480" s="673">
        <f t="shared" si="209"/>
        <v>0</v>
      </c>
      <c r="AS480" s="673" t="e">
        <f>IF(G480="مدير ولائي",0,LOOKUP(D480,'f-travail'!A:A,'f-travail'!X:X)*(AF480+AG480))</f>
        <v>#N/A</v>
      </c>
      <c r="AT480" s="673" t="e">
        <f>IF(G480="مدير ولائي",0,LOOKUP(D480,'f-travail'!Y:Y,'f-travail'!R:R)*(AF480+AG480))</f>
        <v>#N/A</v>
      </c>
      <c r="AU480" s="673">
        <f t="shared" si="199"/>
        <v>0</v>
      </c>
      <c r="AV480" s="673">
        <f t="shared" si="200"/>
        <v>0</v>
      </c>
      <c r="AW480" s="673">
        <f t="shared" si="201"/>
        <v>0</v>
      </c>
      <c r="AY480" s="640" t="e">
        <f t="shared" si="210"/>
        <v>#N/A</v>
      </c>
      <c r="AZ480" s="673" t="e">
        <f t="shared" si="202"/>
        <v>#N/A</v>
      </c>
      <c r="BA480" s="639" t="e">
        <f t="shared" si="203"/>
        <v>#N/A</v>
      </c>
      <c r="BG480" s="639">
        <f t="shared" si="211"/>
        <v>0</v>
      </c>
      <c r="BH480" s="683">
        <f t="shared" si="212"/>
        <v>0</v>
      </c>
      <c r="BI480" s="683">
        <f t="shared" si="213"/>
        <v>0</v>
      </c>
      <c r="BJ480" s="641" t="e">
        <f t="shared" si="214"/>
        <v>#N/A</v>
      </c>
      <c r="BK480" s="641" t="e">
        <f t="shared" si="215"/>
        <v>#N/A</v>
      </c>
      <c r="BL480" s="641" t="e">
        <f t="shared" si="216"/>
        <v>#N/A</v>
      </c>
      <c r="BM480" s="684" t="e">
        <f t="shared" si="217"/>
        <v>#N/A</v>
      </c>
      <c r="BO480" s="682" t="e">
        <f>CONCATENATE(Z480," ",LOOKUP(D480,'f-travail'!A:A,'f-travail'!F:F))</f>
        <v>#N/A</v>
      </c>
      <c r="BP480" s="669" t="e">
        <f t="shared" si="204"/>
        <v>#N/A</v>
      </c>
    </row>
    <row r="481" spans="1:68">
      <c r="A481" s="636">
        <f t="shared" si="218"/>
        <v>480</v>
      </c>
      <c r="B481" s="637"/>
      <c r="C481" s="637"/>
      <c r="D481" s="652"/>
      <c r="E481" s="679" t="e">
        <f>LOOKUP(D481,'f-travail'!A:A,'f-travail'!B:B)</f>
        <v>#N/A</v>
      </c>
      <c r="F481" s="650"/>
      <c r="G481" s="650"/>
      <c r="H481" s="653"/>
      <c r="I481" s="653"/>
      <c r="J481" s="654"/>
      <c r="K481" s="650"/>
      <c r="L481" s="650"/>
      <c r="M481" s="650">
        <v>0</v>
      </c>
      <c r="N481" s="654"/>
      <c r="O481" s="654"/>
      <c r="P481" s="654"/>
      <c r="Q481" s="654"/>
      <c r="R481" s="676"/>
      <c r="S481" s="654"/>
      <c r="T481" s="675"/>
      <c r="U481" s="675"/>
      <c r="V481" s="670" t="e">
        <f>LOOKUP(D481,'f-travail'!A:A,'f-travail'!E:E)</f>
        <v>#N/A</v>
      </c>
      <c r="W481" s="670" t="e">
        <f>VLOOKUP(V481,جرقمإستدلالي,'f-travail'!$AD$4+1,FALSE)</f>
        <v>#N/A</v>
      </c>
      <c r="X481" s="671" t="e">
        <f t="shared" si="194"/>
        <v>#N/A</v>
      </c>
      <c r="Y481" s="671">
        <f>IF(G481="مدير ولائي",(HLOOKUP(I481,جدروظعليا,'f-travail'!$AT$3+1,FALSE)-3200),0)</f>
        <v>0</v>
      </c>
      <c r="Z481" s="672" t="str">
        <f t="shared" si="205"/>
        <v/>
      </c>
      <c r="AA481" s="671">
        <f t="shared" si="206"/>
        <v>0</v>
      </c>
      <c r="AB481" s="677" t="b">
        <f t="shared" si="195"/>
        <v>0</v>
      </c>
      <c r="AC481" s="678">
        <f t="shared" si="207"/>
        <v>0</v>
      </c>
      <c r="AD481" s="673"/>
      <c r="AE481" s="678">
        <f t="shared" si="196"/>
        <v>0</v>
      </c>
      <c r="AF481" s="678" t="e">
        <f t="shared" si="197"/>
        <v>#N/A</v>
      </c>
      <c r="AG481" s="678" t="e">
        <f t="shared" si="198"/>
        <v>#N/A</v>
      </c>
      <c r="AH481" s="673">
        <f t="shared" si="208"/>
        <v>0</v>
      </c>
      <c r="AI481" s="674" t="e">
        <f>IF(G481="مدير ولائي",(11000*35%),LOOKUP(D481,'f-travail'!A:A,'f-travail'!I:I))</f>
        <v>#N/A</v>
      </c>
      <c r="AJ481" s="673" t="e">
        <f>IF(G481="مدير ولائي",((W481+X481)*45)*80%,IF(V481&lt;8,0,IF(F481="إليزي",(LOOKUP(D481,'f-travail'!A:A,'f-travail'!O:O))*(AF481+AG481),LOOKUP(D481,'f-travail'!A:A,'f-travail'!P:P)*(AF481+AG481))))</f>
        <v>#N/A</v>
      </c>
      <c r="AK481" s="673" t="e">
        <f>IF(G481="مدير ولائي",0,LOOKUP(D481,'f-travail'!A:A,'f-travail'!Q:Q))</f>
        <v>#N/A</v>
      </c>
      <c r="AL481" s="673" t="e">
        <f>IF(G481="مدير ولائي",0,LOOKUP(D481,'f-travail'!A:A,'f-travail'!R:R)*(AF481+AG481))</f>
        <v>#N/A</v>
      </c>
      <c r="AM481" s="673" t="e">
        <f>IF(G481="مدير ولائي",0,LOOKUP(D481,'f-travail'!A:A,'f-travail'!S:S)*(AF481+AG481))</f>
        <v>#N/A</v>
      </c>
      <c r="AN481" s="673" t="e">
        <f>IF(G481="مدير ولائي",0,LOOKUP(D481,'f-travail'!A:A,'f-travail'!T:T)*(AF481+AG481))</f>
        <v>#N/A</v>
      </c>
      <c r="AO481" s="673" t="e">
        <f>IF(G481="مدير ولائي",0,LOOKUP(D481,'f-travail'!A:A,'f-travail'!U:U)*(AF481+AG481))</f>
        <v>#N/A</v>
      </c>
      <c r="AP481" s="673" t="e">
        <f>IF(G481="مدير ولائي",0,LOOKUP(D481,'f-travail'!A:A,'f-travail'!V:V)*(AF481+AG481))</f>
        <v>#N/A</v>
      </c>
      <c r="AQ481" s="673" t="e">
        <f>IF(G481="مدير ولائي",0,LOOKUP(D481,'f-travail'!A:A,'f-travail'!W:W)*(AF481+AG481))</f>
        <v>#N/A</v>
      </c>
      <c r="AR481" s="673">
        <f t="shared" si="209"/>
        <v>0</v>
      </c>
      <c r="AS481" s="673" t="e">
        <f>IF(G481="مدير ولائي",0,LOOKUP(D481,'f-travail'!A:A,'f-travail'!X:X)*(AF481+AG481))</f>
        <v>#N/A</v>
      </c>
      <c r="AT481" s="673" t="e">
        <f>IF(G481="مدير ولائي",0,LOOKUP(D481,'f-travail'!Y:Y,'f-travail'!R:R)*(AF481+AG481))</f>
        <v>#N/A</v>
      </c>
      <c r="AU481" s="673">
        <f t="shared" si="199"/>
        <v>0</v>
      </c>
      <c r="AV481" s="673">
        <f t="shared" si="200"/>
        <v>0</v>
      </c>
      <c r="AW481" s="673">
        <f t="shared" si="201"/>
        <v>0</v>
      </c>
      <c r="AY481" s="640" t="e">
        <f t="shared" si="210"/>
        <v>#N/A</v>
      </c>
      <c r="AZ481" s="673" t="e">
        <f t="shared" si="202"/>
        <v>#N/A</v>
      </c>
      <c r="BA481" s="639" t="e">
        <f t="shared" si="203"/>
        <v>#N/A</v>
      </c>
      <c r="BG481" s="639">
        <f t="shared" si="211"/>
        <v>0</v>
      </c>
      <c r="BH481" s="683">
        <f t="shared" si="212"/>
        <v>0</v>
      </c>
      <c r="BI481" s="683">
        <f t="shared" si="213"/>
        <v>0</v>
      </c>
      <c r="BJ481" s="641" t="e">
        <f t="shared" si="214"/>
        <v>#N/A</v>
      </c>
      <c r="BK481" s="641" t="e">
        <f t="shared" si="215"/>
        <v>#N/A</v>
      </c>
      <c r="BL481" s="641" t="e">
        <f t="shared" si="216"/>
        <v>#N/A</v>
      </c>
      <c r="BM481" s="684" t="e">
        <f t="shared" si="217"/>
        <v>#N/A</v>
      </c>
      <c r="BO481" s="682" t="e">
        <f>CONCATENATE(Z481," ",LOOKUP(D481,'f-travail'!A:A,'f-travail'!F:F))</f>
        <v>#N/A</v>
      </c>
      <c r="BP481" s="669" t="e">
        <f t="shared" si="204"/>
        <v>#N/A</v>
      </c>
    </row>
    <row r="482" spans="1:68">
      <c r="A482" s="636">
        <f t="shared" si="218"/>
        <v>481</v>
      </c>
      <c r="B482" s="637"/>
      <c r="C482" s="637"/>
      <c r="D482" s="652"/>
      <c r="E482" s="679" t="e">
        <f>LOOKUP(D482,'f-travail'!A:A,'f-travail'!B:B)</f>
        <v>#N/A</v>
      </c>
      <c r="F482" s="650"/>
      <c r="G482" s="650"/>
      <c r="H482" s="653"/>
      <c r="I482" s="653"/>
      <c r="J482" s="654"/>
      <c r="K482" s="650"/>
      <c r="L482" s="650"/>
      <c r="M482" s="650">
        <v>0</v>
      </c>
      <c r="N482" s="654"/>
      <c r="O482" s="654"/>
      <c r="P482" s="654"/>
      <c r="Q482" s="654"/>
      <c r="R482" s="676"/>
      <c r="S482" s="654"/>
      <c r="T482" s="675"/>
      <c r="U482" s="675"/>
      <c r="V482" s="670" t="e">
        <f>LOOKUP(D482,'f-travail'!A:A,'f-travail'!E:E)</f>
        <v>#N/A</v>
      </c>
      <c r="W482" s="670" t="e">
        <f>VLOOKUP(V482,جرقمإستدلالي,'f-travail'!$AD$4+1,FALSE)</f>
        <v>#N/A</v>
      </c>
      <c r="X482" s="671" t="e">
        <f t="shared" si="194"/>
        <v>#N/A</v>
      </c>
      <c r="Y482" s="671">
        <f>IF(G482="مدير ولائي",(HLOOKUP(I482,جدروظعليا,'f-travail'!$AT$3+1,FALSE)-3200),0)</f>
        <v>0</v>
      </c>
      <c r="Z482" s="672" t="str">
        <f t="shared" si="205"/>
        <v/>
      </c>
      <c r="AA482" s="671">
        <f t="shared" si="206"/>
        <v>0</v>
      </c>
      <c r="AB482" s="677" t="b">
        <f t="shared" si="195"/>
        <v>0</v>
      </c>
      <c r="AC482" s="678">
        <f t="shared" si="207"/>
        <v>0</v>
      </c>
      <c r="AD482" s="673"/>
      <c r="AE482" s="678">
        <f t="shared" si="196"/>
        <v>0</v>
      </c>
      <c r="AF482" s="678" t="e">
        <f t="shared" si="197"/>
        <v>#N/A</v>
      </c>
      <c r="AG482" s="678" t="e">
        <f t="shared" si="198"/>
        <v>#N/A</v>
      </c>
      <c r="AH482" s="673">
        <f t="shared" si="208"/>
        <v>0</v>
      </c>
      <c r="AI482" s="674" t="e">
        <f>IF(G482="مدير ولائي",(11000*35%),LOOKUP(D482,'f-travail'!A:A,'f-travail'!I:I))</f>
        <v>#N/A</v>
      </c>
      <c r="AJ482" s="673" t="e">
        <f>IF(G482="مدير ولائي",((W482+X482)*45)*80%,IF(V482&lt;8,0,IF(F482="إليزي",(LOOKUP(D482,'f-travail'!A:A,'f-travail'!O:O))*(AF482+AG482),LOOKUP(D482,'f-travail'!A:A,'f-travail'!P:P)*(AF482+AG482))))</f>
        <v>#N/A</v>
      </c>
      <c r="AK482" s="673" t="e">
        <f>IF(G482="مدير ولائي",0,LOOKUP(D482,'f-travail'!A:A,'f-travail'!Q:Q))</f>
        <v>#N/A</v>
      </c>
      <c r="AL482" s="673" t="e">
        <f>IF(G482="مدير ولائي",0,LOOKUP(D482,'f-travail'!A:A,'f-travail'!R:R)*(AF482+AG482))</f>
        <v>#N/A</v>
      </c>
      <c r="AM482" s="673" t="e">
        <f>IF(G482="مدير ولائي",0,LOOKUP(D482,'f-travail'!A:A,'f-travail'!S:S)*(AF482+AG482))</f>
        <v>#N/A</v>
      </c>
      <c r="AN482" s="673" t="e">
        <f>IF(G482="مدير ولائي",0,LOOKUP(D482,'f-travail'!A:A,'f-travail'!T:T)*(AF482+AG482))</f>
        <v>#N/A</v>
      </c>
      <c r="AO482" s="673" t="e">
        <f>IF(G482="مدير ولائي",0,LOOKUP(D482,'f-travail'!A:A,'f-travail'!U:U)*(AF482+AG482))</f>
        <v>#N/A</v>
      </c>
      <c r="AP482" s="673" t="e">
        <f>IF(G482="مدير ولائي",0,LOOKUP(D482,'f-travail'!A:A,'f-travail'!V:V)*(AF482+AG482))</f>
        <v>#N/A</v>
      </c>
      <c r="AQ482" s="673" t="e">
        <f>IF(G482="مدير ولائي",0,LOOKUP(D482,'f-travail'!A:A,'f-travail'!W:W)*(AF482+AG482))</f>
        <v>#N/A</v>
      </c>
      <c r="AR482" s="673">
        <f t="shared" si="209"/>
        <v>0</v>
      </c>
      <c r="AS482" s="673" t="e">
        <f>IF(G482="مدير ولائي",0,LOOKUP(D482,'f-travail'!A:A,'f-travail'!X:X)*(AF482+AG482))</f>
        <v>#N/A</v>
      </c>
      <c r="AT482" s="673" t="e">
        <f>IF(G482="مدير ولائي",0,LOOKUP(D482,'f-travail'!Y:Y,'f-travail'!R:R)*(AF482+AG482))</f>
        <v>#N/A</v>
      </c>
      <c r="AU482" s="673">
        <f t="shared" si="199"/>
        <v>0</v>
      </c>
      <c r="AV482" s="673">
        <f t="shared" si="200"/>
        <v>0</v>
      </c>
      <c r="AW482" s="673">
        <f t="shared" si="201"/>
        <v>0</v>
      </c>
      <c r="AY482" s="640" t="e">
        <f t="shared" si="210"/>
        <v>#N/A</v>
      </c>
      <c r="AZ482" s="673" t="e">
        <f t="shared" si="202"/>
        <v>#N/A</v>
      </c>
      <c r="BA482" s="639" t="e">
        <f t="shared" si="203"/>
        <v>#N/A</v>
      </c>
      <c r="BG482" s="639">
        <f t="shared" si="211"/>
        <v>0</v>
      </c>
      <c r="BH482" s="683">
        <f t="shared" si="212"/>
        <v>0</v>
      </c>
      <c r="BI482" s="683">
        <f t="shared" si="213"/>
        <v>0</v>
      </c>
      <c r="BJ482" s="641" t="e">
        <f t="shared" si="214"/>
        <v>#N/A</v>
      </c>
      <c r="BK482" s="641" t="e">
        <f t="shared" si="215"/>
        <v>#N/A</v>
      </c>
      <c r="BL482" s="641" t="e">
        <f t="shared" si="216"/>
        <v>#N/A</v>
      </c>
      <c r="BM482" s="684" t="e">
        <f t="shared" si="217"/>
        <v>#N/A</v>
      </c>
      <c r="BO482" s="682" t="e">
        <f>CONCATENATE(Z482," ",LOOKUP(D482,'f-travail'!A:A,'f-travail'!F:F))</f>
        <v>#N/A</v>
      </c>
      <c r="BP482" s="669" t="e">
        <f t="shared" si="204"/>
        <v>#N/A</v>
      </c>
    </row>
    <row r="483" spans="1:68">
      <c r="A483" s="636">
        <f t="shared" si="218"/>
        <v>482</v>
      </c>
      <c r="B483" s="637"/>
      <c r="C483" s="637"/>
      <c r="D483" s="652"/>
      <c r="E483" s="679" t="e">
        <f>LOOKUP(D483,'f-travail'!A:A,'f-travail'!B:B)</f>
        <v>#N/A</v>
      </c>
      <c r="F483" s="650"/>
      <c r="G483" s="650"/>
      <c r="H483" s="653"/>
      <c r="I483" s="653"/>
      <c r="J483" s="654"/>
      <c r="K483" s="650"/>
      <c r="L483" s="650"/>
      <c r="M483" s="650">
        <v>0</v>
      </c>
      <c r="N483" s="654"/>
      <c r="O483" s="654"/>
      <c r="P483" s="654"/>
      <c r="Q483" s="654"/>
      <c r="R483" s="676"/>
      <c r="S483" s="654"/>
      <c r="T483" s="675"/>
      <c r="U483" s="675"/>
      <c r="V483" s="670" t="e">
        <f>LOOKUP(D483,'f-travail'!A:A,'f-travail'!E:E)</f>
        <v>#N/A</v>
      </c>
      <c r="W483" s="670" t="e">
        <f>VLOOKUP(V483,جرقمإستدلالي,'f-travail'!$AD$4+1,FALSE)</f>
        <v>#N/A</v>
      </c>
      <c r="X483" s="671" t="e">
        <f t="shared" si="194"/>
        <v>#N/A</v>
      </c>
      <c r="Y483" s="671">
        <f>IF(G483="مدير ولائي",(HLOOKUP(I483,جدروظعليا,'f-travail'!$AT$3+1,FALSE)-3200),0)</f>
        <v>0</v>
      </c>
      <c r="Z483" s="672" t="str">
        <f t="shared" si="205"/>
        <v/>
      </c>
      <c r="AA483" s="671">
        <f t="shared" si="206"/>
        <v>0</v>
      </c>
      <c r="AB483" s="677" t="b">
        <f t="shared" si="195"/>
        <v>0</v>
      </c>
      <c r="AC483" s="678">
        <f t="shared" si="207"/>
        <v>0</v>
      </c>
      <c r="AD483" s="673"/>
      <c r="AE483" s="678">
        <f t="shared" si="196"/>
        <v>0</v>
      </c>
      <c r="AF483" s="678" t="e">
        <f t="shared" si="197"/>
        <v>#N/A</v>
      </c>
      <c r="AG483" s="678" t="e">
        <f t="shared" si="198"/>
        <v>#N/A</v>
      </c>
      <c r="AH483" s="673">
        <f t="shared" si="208"/>
        <v>0</v>
      </c>
      <c r="AI483" s="674" t="e">
        <f>IF(G483="مدير ولائي",(11000*35%),LOOKUP(D483,'f-travail'!A:A,'f-travail'!I:I))</f>
        <v>#N/A</v>
      </c>
      <c r="AJ483" s="673" t="e">
        <f>IF(G483="مدير ولائي",((W483+X483)*45)*80%,IF(V483&lt;8,0,IF(F483="إليزي",(LOOKUP(D483,'f-travail'!A:A,'f-travail'!O:O))*(AF483+AG483),LOOKUP(D483,'f-travail'!A:A,'f-travail'!P:P)*(AF483+AG483))))</f>
        <v>#N/A</v>
      </c>
      <c r="AK483" s="673" t="e">
        <f>IF(G483="مدير ولائي",0,LOOKUP(D483,'f-travail'!A:A,'f-travail'!Q:Q))</f>
        <v>#N/A</v>
      </c>
      <c r="AL483" s="673" t="e">
        <f>IF(G483="مدير ولائي",0,LOOKUP(D483,'f-travail'!A:A,'f-travail'!R:R)*(AF483+AG483))</f>
        <v>#N/A</v>
      </c>
      <c r="AM483" s="673" t="e">
        <f>IF(G483="مدير ولائي",0,LOOKUP(D483,'f-travail'!A:A,'f-travail'!S:S)*(AF483+AG483))</f>
        <v>#N/A</v>
      </c>
      <c r="AN483" s="673" t="e">
        <f>IF(G483="مدير ولائي",0,LOOKUP(D483,'f-travail'!A:A,'f-travail'!T:T)*(AF483+AG483))</f>
        <v>#N/A</v>
      </c>
      <c r="AO483" s="673" t="e">
        <f>IF(G483="مدير ولائي",0,LOOKUP(D483,'f-travail'!A:A,'f-travail'!U:U)*(AF483+AG483))</f>
        <v>#N/A</v>
      </c>
      <c r="AP483" s="673" t="e">
        <f>IF(G483="مدير ولائي",0,LOOKUP(D483,'f-travail'!A:A,'f-travail'!V:V)*(AF483+AG483))</f>
        <v>#N/A</v>
      </c>
      <c r="AQ483" s="673" t="e">
        <f>IF(G483="مدير ولائي",0,LOOKUP(D483,'f-travail'!A:A,'f-travail'!W:W)*(AF483+AG483))</f>
        <v>#N/A</v>
      </c>
      <c r="AR483" s="673">
        <f t="shared" si="209"/>
        <v>0</v>
      </c>
      <c r="AS483" s="673" t="e">
        <f>IF(G483="مدير ولائي",0,LOOKUP(D483,'f-travail'!A:A,'f-travail'!X:X)*(AF483+AG483))</f>
        <v>#N/A</v>
      </c>
      <c r="AT483" s="673" t="e">
        <f>IF(G483="مدير ولائي",0,LOOKUP(D483,'f-travail'!Y:Y,'f-travail'!R:R)*(AF483+AG483))</f>
        <v>#N/A</v>
      </c>
      <c r="AU483" s="673">
        <f t="shared" si="199"/>
        <v>0</v>
      </c>
      <c r="AV483" s="673">
        <f t="shared" si="200"/>
        <v>0</v>
      </c>
      <c r="AW483" s="673">
        <f t="shared" si="201"/>
        <v>0</v>
      </c>
      <c r="AY483" s="640" t="e">
        <f t="shared" si="210"/>
        <v>#N/A</v>
      </c>
      <c r="AZ483" s="673" t="e">
        <f t="shared" si="202"/>
        <v>#N/A</v>
      </c>
      <c r="BA483" s="639" t="e">
        <f t="shared" si="203"/>
        <v>#N/A</v>
      </c>
      <c r="BG483" s="639">
        <f t="shared" si="211"/>
        <v>0</v>
      </c>
      <c r="BH483" s="683">
        <f t="shared" si="212"/>
        <v>0</v>
      </c>
      <c r="BI483" s="683">
        <f t="shared" si="213"/>
        <v>0</v>
      </c>
      <c r="BJ483" s="641" t="e">
        <f t="shared" si="214"/>
        <v>#N/A</v>
      </c>
      <c r="BK483" s="641" t="e">
        <f t="shared" si="215"/>
        <v>#N/A</v>
      </c>
      <c r="BL483" s="641" t="e">
        <f t="shared" si="216"/>
        <v>#N/A</v>
      </c>
      <c r="BM483" s="684" t="e">
        <f t="shared" si="217"/>
        <v>#N/A</v>
      </c>
      <c r="BO483" s="682" t="e">
        <f>CONCATENATE(Z483," ",LOOKUP(D483,'f-travail'!A:A,'f-travail'!F:F))</f>
        <v>#N/A</v>
      </c>
      <c r="BP483" s="669" t="e">
        <f t="shared" si="204"/>
        <v>#N/A</v>
      </c>
    </row>
    <row r="484" spans="1:68">
      <c r="A484" s="636">
        <f t="shared" si="218"/>
        <v>483</v>
      </c>
      <c r="B484" s="637"/>
      <c r="C484" s="637"/>
      <c r="D484" s="652"/>
      <c r="E484" s="679" t="e">
        <f>LOOKUP(D484,'f-travail'!A:A,'f-travail'!B:B)</f>
        <v>#N/A</v>
      </c>
      <c r="F484" s="650"/>
      <c r="G484" s="650"/>
      <c r="H484" s="653"/>
      <c r="I484" s="653"/>
      <c r="J484" s="654"/>
      <c r="K484" s="650"/>
      <c r="L484" s="650"/>
      <c r="M484" s="650">
        <v>0</v>
      </c>
      <c r="N484" s="654"/>
      <c r="O484" s="654"/>
      <c r="P484" s="654"/>
      <c r="Q484" s="654"/>
      <c r="R484" s="676"/>
      <c r="S484" s="654"/>
      <c r="T484" s="675"/>
      <c r="U484" s="675"/>
      <c r="V484" s="670" t="e">
        <f>LOOKUP(D484,'f-travail'!A:A,'f-travail'!E:E)</f>
        <v>#N/A</v>
      </c>
      <c r="W484" s="670" t="e">
        <f>VLOOKUP(V484,جرقمإستدلالي,'f-travail'!$AD$4+1,FALSE)</f>
        <v>#N/A</v>
      </c>
      <c r="X484" s="671" t="e">
        <f t="shared" si="194"/>
        <v>#N/A</v>
      </c>
      <c r="Y484" s="671">
        <f>IF(G484="مدير ولائي",(HLOOKUP(I484,جدروظعليا,'f-travail'!$AT$3+1,FALSE)-3200),0)</f>
        <v>0</v>
      </c>
      <c r="Z484" s="672" t="str">
        <f t="shared" si="205"/>
        <v/>
      </c>
      <c r="AA484" s="671">
        <f t="shared" si="206"/>
        <v>0</v>
      </c>
      <c r="AB484" s="677" t="b">
        <f t="shared" si="195"/>
        <v>0</v>
      </c>
      <c r="AC484" s="678">
        <f t="shared" si="207"/>
        <v>0</v>
      </c>
      <c r="AD484" s="673"/>
      <c r="AE484" s="678">
        <f t="shared" si="196"/>
        <v>0</v>
      </c>
      <c r="AF484" s="678" t="e">
        <f t="shared" si="197"/>
        <v>#N/A</v>
      </c>
      <c r="AG484" s="678" t="e">
        <f t="shared" si="198"/>
        <v>#N/A</v>
      </c>
      <c r="AH484" s="673">
        <f t="shared" si="208"/>
        <v>0</v>
      </c>
      <c r="AI484" s="674" t="e">
        <f>IF(G484="مدير ولائي",(11000*35%),LOOKUP(D484,'f-travail'!A:A,'f-travail'!I:I))</f>
        <v>#N/A</v>
      </c>
      <c r="AJ484" s="673" t="e">
        <f>IF(G484="مدير ولائي",((W484+X484)*45)*80%,IF(V484&lt;8,0,IF(F484="إليزي",(LOOKUP(D484,'f-travail'!A:A,'f-travail'!O:O))*(AF484+AG484),LOOKUP(D484,'f-travail'!A:A,'f-travail'!P:P)*(AF484+AG484))))</f>
        <v>#N/A</v>
      </c>
      <c r="AK484" s="673" t="e">
        <f>IF(G484="مدير ولائي",0,LOOKUP(D484,'f-travail'!A:A,'f-travail'!Q:Q))</f>
        <v>#N/A</v>
      </c>
      <c r="AL484" s="673" t="e">
        <f>IF(G484="مدير ولائي",0,LOOKUP(D484,'f-travail'!A:A,'f-travail'!R:R)*(AF484+AG484))</f>
        <v>#N/A</v>
      </c>
      <c r="AM484" s="673" t="e">
        <f>IF(G484="مدير ولائي",0,LOOKUP(D484,'f-travail'!A:A,'f-travail'!S:S)*(AF484+AG484))</f>
        <v>#N/A</v>
      </c>
      <c r="AN484" s="673" t="e">
        <f>IF(G484="مدير ولائي",0,LOOKUP(D484,'f-travail'!A:A,'f-travail'!T:T)*(AF484+AG484))</f>
        <v>#N/A</v>
      </c>
      <c r="AO484" s="673" t="e">
        <f>IF(G484="مدير ولائي",0,LOOKUP(D484,'f-travail'!A:A,'f-travail'!U:U)*(AF484+AG484))</f>
        <v>#N/A</v>
      </c>
      <c r="AP484" s="673" t="e">
        <f>IF(G484="مدير ولائي",0,LOOKUP(D484,'f-travail'!A:A,'f-travail'!V:V)*(AF484+AG484))</f>
        <v>#N/A</v>
      </c>
      <c r="AQ484" s="673" t="e">
        <f>IF(G484="مدير ولائي",0,LOOKUP(D484,'f-travail'!A:A,'f-travail'!W:W)*(AF484+AG484))</f>
        <v>#N/A</v>
      </c>
      <c r="AR484" s="673">
        <f t="shared" si="209"/>
        <v>0</v>
      </c>
      <c r="AS484" s="673" t="e">
        <f>IF(G484="مدير ولائي",0,LOOKUP(D484,'f-travail'!A:A,'f-travail'!X:X)*(AF484+AG484))</f>
        <v>#N/A</v>
      </c>
      <c r="AT484" s="673" t="e">
        <f>IF(G484="مدير ولائي",0,LOOKUP(D484,'f-travail'!Y:Y,'f-travail'!R:R)*(AF484+AG484))</f>
        <v>#N/A</v>
      </c>
      <c r="AU484" s="673">
        <f t="shared" si="199"/>
        <v>0</v>
      </c>
      <c r="AV484" s="673">
        <f t="shared" si="200"/>
        <v>0</v>
      </c>
      <c r="AW484" s="673">
        <f t="shared" si="201"/>
        <v>0</v>
      </c>
      <c r="AY484" s="640" t="e">
        <f t="shared" si="210"/>
        <v>#N/A</v>
      </c>
      <c r="AZ484" s="673" t="e">
        <f t="shared" si="202"/>
        <v>#N/A</v>
      </c>
      <c r="BA484" s="639" t="e">
        <f t="shared" si="203"/>
        <v>#N/A</v>
      </c>
      <c r="BG484" s="639">
        <f t="shared" si="211"/>
        <v>0</v>
      </c>
      <c r="BH484" s="683">
        <f t="shared" si="212"/>
        <v>0</v>
      </c>
      <c r="BI484" s="683">
        <f t="shared" si="213"/>
        <v>0</v>
      </c>
      <c r="BJ484" s="641" t="e">
        <f t="shared" si="214"/>
        <v>#N/A</v>
      </c>
      <c r="BK484" s="641" t="e">
        <f t="shared" si="215"/>
        <v>#N/A</v>
      </c>
      <c r="BL484" s="641" t="e">
        <f t="shared" si="216"/>
        <v>#N/A</v>
      </c>
      <c r="BM484" s="684" t="e">
        <f t="shared" si="217"/>
        <v>#N/A</v>
      </c>
      <c r="BO484" s="682" t="e">
        <f>CONCATENATE(Z484," ",LOOKUP(D484,'f-travail'!A:A,'f-travail'!F:F))</f>
        <v>#N/A</v>
      </c>
      <c r="BP484" s="669" t="e">
        <f t="shared" si="204"/>
        <v>#N/A</v>
      </c>
    </row>
    <row r="485" spans="1:68">
      <c r="A485" s="636">
        <f t="shared" si="218"/>
        <v>484</v>
      </c>
      <c r="B485" s="637"/>
      <c r="C485" s="637"/>
      <c r="D485" s="652"/>
      <c r="E485" s="679" t="e">
        <f>LOOKUP(D485,'f-travail'!A:A,'f-travail'!B:B)</f>
        <v>#N/A</v>
      </c>
      <c r="F485" s="650"/>
      <c r="G485" s="650"/>
      <c r="H485" s="653"/>
      <c r="I485" s="653"/>
      <c r="J485" s="654"/>
      <c r="K485" s="650"/>
      <c r="L485" s="650"/>
      <c r="M485" s="650">
        <v>0</v>
      </c>
      <c r="N485" s="654"/>
      <c r="O485" s="654"/>
      <c r="P485" s="654"/>
      <c r="Q485" s="654"/>
      <c r="R485" s="676"/>
      <c r="S485" s="654"/>
      <c r="T485" s="675"/>
      <c r="U485" s="675"/>
      <c r="V485" s="670" t="e">
        <f>LOOKUP(D485,'f-travail'!A:A,'f-travail'!E:E)</f>
        <v>#N/A</v>
      </c>
      <c r="W485" s="670" t="e">
        <f>VLOOKUP(V485,جرقمإستدلالي,'f-travail'!$AD$4+1,FALSE)</f>
        <v>#N/A</v>
      </c>
      <c r="X485" s="671" t="e">
        <f t="shared" si="194"/>
        <v>#N/A</v>
      </c>
      <c r="Y485" s="671">
        <f>IF(G485="مدير ولائي",(HLOOKUP(I485,جدروظعليا,'f-travail'!$AT$3+1,FALSE)-3200),0)</f>
        <v>0</v>
      </c>
      <c r="Z485" s="672" t="str">
        <f t="shared" si="205"/>
        <v/>
      </c>
      <c r="AA485" s="671">
        <f t="shared" si="206"/>
        <v>0</v>
      </c>
      <c r="AB485" s="677" t="b">
        <f t="shared" si="195"/>
        <v>0</v>
      </c>
      <c r="AC485" s="678">
        <f t="shared" si="207"/>
        <v>0</v>
      </c>
      <c r="AD485" s="673"/>
      <c r="AE485" s="678">
        <f t="shared" si="196"/>
        <v>0</v>
      </c>
      <c r="AF485" s="678" t="e">
        <f t="shared" si="197"/>
        <v>#N/A</v>
      </c>
      <c r="AG485" s="678" t="e">
        <f t="shared" si="198"/>
        <v>#N/A</v>
      </c>
      <c r="AH485" s="673">
        <f t="shared" si="208"/>
        <v>0</v>
      </c>
      <c r="AI485" s="674" t="e">
        <f>IF(G485="مدير ولائي",(11000*35%),LOOKUP(D485,'f-travail'!A:A,'f-travail'!I:I))</f>
        <v>#N/A</v>
      </c>
      <c r="AJ485" s="673" t="e">
        <f>IF(G485="مدير ولائي",((W485+X485)*45)*80%,IF(V485&lt;8,0,IF(F485="إليزي",(LOOKUP(D485,'f-travail'!A:A,'f-travail'!O:O))*(AF485+AG485),LOOKUP(D485,'f-travail'!A:A,'f-travail'!P:P)*(AF485+AG485))))</f>
        <v>#N/A</v>
      </c>
      <c r="AK485" s="673" t="e">
        <f>IF(G485="مدير ولائي",0,LOOKUP(D485,'f-travail'!A:A,'f-travail'!Q:Q))</f>
        <v>#N/A</v>
      </c>
      <c r="AL485" s="673" t="e">
        <f>IF(G485="مدير ولائي",0,LOOKUP(D485,'f-travail'!A:A,'f-travail'!R:R)*(AF485+AG485))</f>
        <v>#N/A</v>
      </c>
      <c r="AM485" s="673" t="e">
        <f>IF(G485="مدير ولائي",0,LOOKUP(D485,'f-travail'!A:A,'f-travail'!S:S)*(AF485+AG485))</f>
        <v>#N/A</v>
      </c>
      <c r="AN485" s="673" t="e">
        <f>IF(G485="مدير ولائي",0,LOOKUP(D485,'f-travail'!A:A,'f-travail'!T:T)*(AF485+AG485))</f>
        <v>#N/A</v>
      </c>
      <c r="AO485" s="673" t="e">
        <f>IF(G485="مدير ولائي",0,LOOKUP(D485,'f-travail'!A:A,'f-travail'!U:U)*(AF485+AG485))</f>
        <v>#N/A</v>
      </c>
      <c r="AP485" s="673" t="e">
        <f>IF(G485="مدير ولائي",0,LOOKUP(D485,'f-travail'!A:A,'f-travail'!V:V)*(AF485+AG485))</f>
        <v>#N/A</v>
      </c>
      <c r="AQ485" s="673" t="e">
        <f>IF(G485="مدير ولائي",0,LOOKUP(D485,'f-travail'!A:A,'f-travail'!W:W)*(AF485+AG485))</f>
        <v>#N/A</v>
      </c>
      <c r="AR485" s="673">
        <f t="shared" si="209"/>
        <v>0</v>
      </c>
      <c r="AS485" s="673" t="e">
        <f>IF(G485="مدير ولائي",0,LOOKUP(D485,'f-travail'!A:A,'f-travail'!X:X)*(AF485+AG485))</f>
        <v>#N/A</v>
      </c>
      <c r="AT485" s="673" t="e">
        <f>IF(G485="مدير ولائي",0,LOOKUP(D485,'f-travail'!Y:Y,'f-travail'!R:R)*(AF485+AG485))</f>
        <v>#N/A</v>
      </c>
      <c r="AU485" s="673">
        <f t="shared" si="199"/>
        <v>0</v>
      </c>
      <c r="AV485" s="673">
        <f t="shared" si="200"/>
        <v>0</v>
      </c>
      <c r="AW485" s="673">
        <f t="shared" si="201"/>
        <v>0</v>
      </c>
      <c r="AY485" s="640" t="e">
        <f t="shared" si="210"/>
        <v>#N/A</v>
      </c>
      <c r="AZ485" s="673" t="e">
        <f t="shared" si="202"/>
        <v>#N/A</v>
      </c>
      <c r="BA485" s="639" t="e">
        <f t="shared" si="203"/>
        <v>#N/A</v>
      </c>
      <c r="BG485" s="639">
        <f t="shared" si="211"/>
        <v>0</v>
      </c>
      <c r="BH485" s="683">
        <f t="shared" si="212"/>
        <v>0</v>
      </c>
      <c r="BI485" s="683">
        <f t="shared" si="213"/>
        <v>0</v>
      </c>
      <c r="BJ485" s="641" t="e">
        <f t="shared" si="214"/>
        <v>#N/A</v>
      </c>
      <c r="BK485" s="641" t="e">
        <f t="shared" si="215"/>
        <v>#N/A</v>
      </c>
      <c r="BL485" s="641" t="e">
        <f t="shared" si="216"/>
        <v>#N/A</v>
      </c>
      <c r="BM485" s="684" t="e">
        <f t="shared" si="217"/>
        <v>#N/A</v>
      </c>
      <c r="BO485" s="682" t="e">
        <f>CONCATENATE(Z485," ",LOOKUP(D485,'f-travail'!A:A,'f-travail'!F:F))</f>
        <v>#N/A</v>
      </c>
      <c r="BP485" s="669" t="e">
        <f t="shared" si="204"/>
        <v>#N/A</v>
      </c>
    </row>
    <row r="486" spans="1:68">
      <c r="A486" s="636">
        <f t="shared" si="218"/>
        <v>485</v>
      </c>
      <c r="B486" s="637"/>
      <c r="C486" s="637"/>
      <c r="D486" s="652"/>
      <c r="E486" s="679" t="e">
        <f>LOOKUP(D486,'f-travail'!A:A,'f-travail'!B:B)</f>
        <v>#N/A</v>
      </c>
      <c r="F486" s="650"/>
      <c r="G486" s="650"/>
      <c r="H486" s="653"/>
      <c r="I486" s="653"/>
      <c r="J486" s="654"/>
      <c r="K486" s="650"/>
      <c r="L486" s="650"/>
      <c r="M486" s="650">
        <v>0</v>
      </c>
      <c r="N486" s="654"/>
      <c r="O486" s="654"/>
      <c r="P486" s="654"/>
      <c r="Q486" s="654"/>
      <c r="R486" s="676"/>
      <c r="S486" s="654"/>
      <c r="T486" s="675"/>
      <c r="U486" s="675"/>
      <c r="V486" s="670" t="e">
        <f>LOOKUP(D486,'f-travail'!A:A,'f-travail'!E:E)</f>
        <v>#N/A</v>
      </c>
      <c r="W486" s="670" t="e">
        <f>VLOOKUP(V486,جرقمإستدلالي,'f-travail'!$AD$4+1,FALSE)</f>
        <v>#N/A</v>
      </c>
      <c r="X486" s="671" t="e">
        <f t="shared" si="194"/>
        <v>#N/A</v>
      </c>
      <c r="Y486" s="671">
        <f>IF(G486="مدير ولائي",(HLOOKUP(I486,جدروظعليا,'f-travail'!$AT$3+1,FALSE)-3200),0)</f>
        <v>0</v>
      </c>
      <c r="Z486" s="672" t="str">
        <f t="shared" si="205"/>
        <v/>
      </c>
      <c r="AA486" s="671">
        <f t="shared" si="206"/>
        <v>0</v>
      </c>
      <c r="AB486" s="677" t="b">
        <f t="shared" si="195"/>
        <v>0</v>
      </c>
      <c r="AC486" s="678">
        <f t="shared" si="207"/>
        <v>0</v>
      </c>
      <c r="AD486" s="673"/>
      <c r="AE486" s="678">
        <f t="shared" si="196"/>
        <v>0</v>
      </c>
      <c r="AF486" s="678" t="e">
        <f t="shared" si="197"/>
        <v>#N/A</v>
      </c>
      <c r="AG486" s="678" t="e">
        <f t="shared" si="198"/>
        <v>#N/A</v>
      </c>
      <c r="AH486" s="673">
        <f t="shared" si="208"/>
        <v>0</v>
      </c>
      <c r="AI486" s="674" t="e">
        <f>IF(G486="مدير ولائي",(11000*35%),LOOKUP(D486,'f-travail'!A:A,'f-travail'!I:I))</f>
        <v>#N/A</v>
      </c>
      <c r="AJ486" s="673" t="e">
        <f>IF(G486="مدير ولائي",((W486+X486)*45)*80%,IF(V486&lt;8,0,IF(F486="إليزي",(LOOKUP(D486,'f-travail'!A:A,'f-travail'!O:O))*(AF486+AG486),LOOKUP(D486,'f-travail'!A:A,'f-travail'!P:P)*(AF486+AG486))))</f>
        <v>#N/A</v>
      </c>
      <c r="AK486" s="673" t="e">
        <f>IF(G486="مدير ولائي",0,LOOKUP(D486,'f-travail'!A:A,'f-travail'!Q:Q))</f>
        <v>#N/A</v>
      </c>
      <c r="AL486" s="673" t="e">
        <f>IF(G486="مدير ولائي",0,LOOKUP(D486,'f-travail'!A:A,'f-travail'!R:R)*(AF486+AG486))</f>
        <v>#N/A</v>
      </c>
      <c r="AM486" s="673" t="e">
        <f>IF(G486="مدير ولائي",0,LOOKUP(D486,'f-travail'!A:A,'f-travail'!S:S)*(AF486+AG486))</f>
        <v>#N/A</v>
      </c>
      <c r="AN486" s="673" t="e">
        <f>IF(G486="مدير ولائي",0,LOOKUP(D486,'f-travail'!A:A,'f-travail'!T:T)*(AF486+AG486))</f>
        <v>#N/A</v>
      </c>
      <c r="AO486" s="673" t="e">
        <f>IF(G486="مدير ولائي",0,LOOKUP(D486,'f-travail'!A:A,'f-travail'!U:U)*(AF486+AG486))</f>
        <v>#N/A</v>
      </c>
      <c r="AP486" s="673" t="e">
        <f>IF(G486="مدير ولائي",0,LOOKUP(D486,'f-travail'!A:A,'f-travail'!V:V)*(AF486+AG486))</f>
        <v>#N/A</v>
      </c>
      <c r="AQ486" s="673" t="e">
        <f>IF(G486="مدير ولائي",0,LOOKUP(D486,'f-travail'!A:A,'f-travail'!W:W)*(AF486+AG486))</f>
        <v>#N/A</v>
      </c>
      <c r="AR486" s="673">
        <f t="shared" si="209"/>
        <v>0</v>
      </c>
      <c r="AS486" s="673" t="e">
        <f>IF(G486="مدير ولائي",0,LOOKUP(D486,'f-travail'!A:A,'f-travail'!X:X)*(AF486+AG486))</f>
        <v>#N/A</v>
      </c>
      <c r="AT486" s="673" t="e">
        <f>IF(G486="مدير ولائي",0,LOOKUP(D486,'f-travail'!Y:Y,'f-travail'!R:R)*(AF486+AG486))</f>
        <v>#N/A</v>
      </c>
      <c r="AU486" s="673">
        <f t="shared" si="199"/>
        <v>0</v>
      </c>
      <c r="AV486" s="673">
        <f t="shared" si="200"/>
        <v>0</v>
      </c>
      <c r="AW486" s="673">
        <f t="shared" si="201"/>
        <v>0</v>
      </c>
      <c r="AY486" s="640" t="e">
        <f t="shared" si="210"/>
        <v>#N/A</v>
      </c>
      <c r="AZ486" s="673" t="e">
        <f t="shared" si="202"/>
        <v>#N/A</v>
      </c>
      <c r="BA486" s="639" t="e">
        <f t="shared" si="203"/>
        <v>#N/A</v>
      </c>
      <c r="BG486" s="639">
        <f t="shared" si="211"/>
        <v>0</v>
      </c>
      <c r="BH486" s="683">
        <f t="shared" si="212"/>
        <v>0</v>
      </c>
      <c r="BI486" s="683">
        <f t="shared" si="213"/>
        <v>0</v>
      </c>
      <c r="BJ486" s="641" t="e">
        <f t="shared" si="214"/>
        <v>#N/A</v>
      </c>
      <c r="BK486" s="641" t="e">
        <f t="shared" si="215"/>
        <v>#N/A</v>
      </c>
      <c r="BL486" s="641" t="e">
        <f t="shared" si="216"/>
        <v>#N/A</v>
      </c>
      <c r="BM486" s="684" t="e">
        <f t="shared" si="217"/>
        <v>#N/A</v>
      </c>
      <c r="BO486" s="682" t="e">
        <f>CONCATENATE(Z486," ",LOOKUP(D486,'f-travail'!A:A,'f-travail'!F:F))</f>
        <v>#N/A</v>
      </c>
      <c r="BP486" s="669" t="e">
        <f t="shared" si="204"/>
        <v>#N/A</v>
      </c>
    </row>
    <row r="487" spans="1:68">
      <c r="A487" s="636">
        <f t="shared" si="218"/>
        <v>486</v>
      </c>
      <c r="B487" s="637"/>
      <c r="C487" s="637"/>
      <c r="D487" s="652"/>
      <c r="E487" s="679" t="e">
        <f>LOOKUP(D487,'f-travail'!A:A,'f-travail'!B:B)</f>
        <v>#N/A</v>
      </c>
      <c r="F487" s="650"/>
      <c r="G487" s="650"/>
      <c r="H487" s="653"/>
      <c r="I487" s="653"/>
      <c r="J487" s="654"/>
      <c r="K487" s="650"/>
      <c r="L487" s="650"/>
      <c r="M487" s="650">
        <v>0</v>
      </c>
      <c r="N487" s="654"/>
      <c r="O487" s="654"/>
      <c r="P487" s="654"/>
      <c r="Q487" s="654"/>
      <c r="R487" s="676"/>
      <c r="S487" s="654"/>
      <c r="T487" s="675"/>
      <c r="U487" s="675"/>
      <c r="V487" s="670" t="e">
        <f>LOOKUP(D487,'f-travail'!A:A,'f-travail'!E:E)</f>
        <v>#N/A</v>
      </c>
      <c r="W487" s="670" t="e">
        <f>VLOOKUP(V487,جرقمإستدلالي,'f-travail'!$AD$4+1,FALSE)</f>
        <v>#N/A</v>
      </c>
      <c r="X487" s="671" t="e">
        <f t="shared" si="194"/>
        <v>#N/A</v>
      </c>
      <c r="Y487" s="671">
        <f>IF(G487="مدير ولائي",(HLOOKUP(I487,جدروظعليا,'f-travail'!$AT$3+1,FALSE)-3200),0)</f>
        <v>0</v>
      </c>
      <c r="Z487" s="672" t="str">
        <f t="shared" si="205"/>
        <v/>
      </c>
      <c r="AA487" s="671">
        <f t="shared" si="206"/>
        <v>0</v>
      </c>
      <c r="AB487" s="677" t="b">
        <f t="shared" si="195"/>
        <v>0</v>
      </c>
      <c r="AC487" s="678">
        <f t="shared" si="207"/>
        <v>0</v>
      </c>
      <c r="AD487" s="673"/>
      <c r="AE487" s="678">
        <f t="shared" si="196"/>
        <v>0</v>
      </c>
      <c r="AF487" s="678" t="e">
        <f t="shared" si="197"/>
        <v>#N/A</v>
      </c>
      <c r="AG487" s="678" t="e">
        <f t="shared" si="198"/>
        <v>#N/A</v>
      </c>
      <c r="AH487" s="673">
        <f t="shared" si="208"/>
        <v>0</v>
      </c>
      <c r="AI487" s="674" t="e">
        <f>IF(G487="مدير ولائي",(11000*35%),LOOKUP(D487,'f-travail'!A:A,'f-travail'!I:I))</f>
        <v>#N/A</v>
      </c>
      <c r="AJ487" s="673" t="e">
        <f>IF(G487="مدير ولائي",((W487+X487)*45)*80%,IF(V487&lt;8,0,IF(F487="إليزي",(LOOKUP(D487,'f-travail'!A:A,'f-travail'!O:O))*(AF487+AG487),LOOKUP(D487,'f-travail'!A:A,'f-travail'!P:P)*(AF487+AG487))))</f>
        <v>#N/A</v>
      </c>
      <c r="AK487" s="673" t="e">
        <f>IF(G487="مدير ولائي",0,LOOKUP(D487,'f-travail'!A:A,'f-travail'!Q:Q))</f>
        <v>#N/A</v>
      </c>
      <c r="AL487" s="673" t="e">
        <f>IF(G487="مدير ولائي",0,LOOKUP(D487,'f-travail'!A:A,'f-travail'!R:R)*(AF487+AG487))</f>
        <v>#N/A</v>
      </c>
      <c r="AM487" s="673" t="e">
        <f>IF(G487="مدير ولائي",0,LOOKUP(D487,'f-travail'!A:A,'f-travail'!S:S)*(AF487+AG487))</f>
        <v>#N/A</v>
      </c>
      <c r="AN487" s="673" t="e">
        <f>IF(G487="مدير ولائي",0,LOOKUP(D487,'f-travail'!A:A,'f-travail'!T:T)*(AF487+AG487))</f>
        <v>#N/A</v>
      </c>
      <c r="AO487" s="673" t="e">
        <f>IF(G487="مدير ولائي",0,LOOKUP(D487,'f-travail'!A:A,'f-travail'!U:U)*(AF487+AG487))</f>
        <v>#N/A</v>
      </c>
      <c r="AP487" s="673" t="e">
        <f>IF(G487="مدير ولائي",0,LOOKUP(D487,'f-travail'!A:A,'f-travail'!V:V)*(AF487+AG487))</f>
        <v>#N/A</v>
      </c>
      <c r="AQ487" s="673" t="e">
        <f>IF(G487="مدير ولائي",0,LOOKUP(D487,'f-travail'!A:A,'f-travail'!W:W)*(AF487+AG487))</f>
        <v>#N/A</v>
      </c>
      <c r="AR487" s="673">
        <f t="shared" si="209"/>
        <v>0</v>
      </c>
      <c r="AS487" s="673" t="e">
        <f>IF(G487="مدير ولائي",0,LOOKUP(D487,'f-travail'!A:A,'f-travail'!X:X)*(AF487+AG487))</f>
        <v>#N/A</v>
      </c>
      <c r="AT487" s="673" t="e">
        <f>IF(G487="مدير ولائي",0,LOOKUP(D487,'f-travail'!Y:Y,'f-travail'!R:R)*(AF487+AG487))</f>
        <v>#N/A</v>
      </c>
      <c r="AU487" s="673">
        <f t="shared" si="199"/>
        <v>0</v>
      </c>
      <c r="AV487" s="673">
        <f t="shared" si="200"/>
        <v>0</v>
      </c>
      <c r="AW487" s="673">
        <f t="shared" si="201"/>
        <v>0</v>
      </c>
      <c r="AY487" s="640" t="e">
        <f t="shared" si="210"/>
        <v>#N/A</v>
      </c>
      <c r="AZ487" s="673" t="e">
        <f t="shared" si="202"/>
        <v>#N/A</v>
      </c>
      <c r="BA487" s="639" t="e">
        <f t="shared" si="203"/>
        <v>#N/A</v>
      </c>
      <c r="BG487" s="639">
        <f t="shared" si="211"/>
        <v>0</v>
      </c>
      <c r="BH487" s="683">
        <f t="shared" si="212"/>
        <v>0</v>
      </c>
      <c r="BI487" s="683">
        <f t="shared" si="213"/>
        <v>0</v>
      </c>
      <c r="BJ487" s="641" t="e">
        <f t="shared" si="214"/>
        <v>#N/A</v>
      </c>
      <c r="BK487" s="641" t="e">
        <f t="shared" si="215"/>
        <v>#N/A</v>
      </c>
      <c r="BL487" s="641" t="e">
        <f t="shared" si="216"/>
        <v>#N/A</v>
      </c>
      <c r="BM487" s="684" t="e">
        <f t="shared" si="217"/>
        <v>#N/A</v>
      </c>
      <c r="BO487" s="682" t="e">
        <f>CONCATENATE(Z487," ",LOOKUP(D487,'f-travail'!A:A,'f-travail'!F:F))</f>
        <v>#N/A</v>
      </c>
      <c r="BP487" s="669" t="e">
        <f t="shared" si="204"/>
        <v>#N/A</v>
      </c>
    </row>
    <row r="488" spans="1:68">
      <c r="A488" s="636">
        <f t="shared" si="218"/>
        <v>487</v>
      </c>
      <c r="B488" s="637"/>
      <c r="C488" s="637"/>
      <c r="D488" s="652"/>
      <c r="E488" s="679" t="e">
        <f>LOOKUP(D488,'f-travail'!A:A,'f-travail'!B:B)</f>
        <v>#N/A</v>
      </c>
      <c r="F488" s="650"/>
      <c r="G488" s="650"/>
      <c r="H488" s="653"/>
      <c r="I488" s="653"/>
      <c r="J488" s="654"/>
      <c r="K488" s="650"/>
      <c r="L488" s="650"/>
      <c r="M488" s="650">
        <v>0</v>
      </c>
      <c r="N488" s="654"/>
      <c r="O488" s="654"/>
      <c r="P488" s="654"/>
      <c r="Q488" s="654"/>
      <c r="R488" s="676"/>
      <c r="S488" s="654"/>
      <c r="T488" s="675"/>
      <c r="U488" s="675"/>
      <c r="V488" s="670" t="e">
        <f>LOOKUP(D488,'f-travail'!A:A,'f-travail'!E:E)</f>
        <v>#N/A</v>
      </c>
      <c r="W488" s="670" t="e">
        <f>VLOOKUP(V488,جرقمإستدلالي,'f-travail'!$AD$4+1,FALSE)</f>
        <v>#N/A</v>
      </c>
      <c r="X488" s="671" t="e">
        <f t="shared" si="194"/>
        <v>#N/A</v>
      </c>
      <c r="Y488" s="671">
        <f>IF(G488="مدير ولائي",(HLOOKUP(I488,جدروظعليا,'f-travail'!$AT$3+1,FALSE)-3200),0)</f>
        <v>0</v>
      </c>
      <c r="Z488" s="672" t="str">
        <f t="shared" si="205"/>
        <v/>
      </c>
      <c r="AA488" s="671">
        <f t="shared" si="206"/>
        <v>0</v>
      </c>
      <c r="AB488" s="677" t="b">
        <f t="shared" si="195"/>
        <v>0</v>
      </c>
      <c r="AC488" s="678">
        <f t="shared" si="207"/>
        <v>0</v>
      </c>
      <c r="AD488" s="673"/>
      <c r="AE488" s="678">
        <f t="shared" si="196"/>
        <v>0</v>
      </c>
      <c r="AF488" s="678" t="e">
        <f t="shared" si="197"/>
        <v>#N/A</v>
      </c>
      <c r="AG488" s="678" t="e">
        <f t="shared" si="198"/>
        <v>#N/A</v>
      </c>
      <c r="AH488" s="673">
        <f t="shared" si="208"/>
        <v>0</v>
      </c>
      <c r="AI488" s="674" t="e">
        <f>IF(G488="مدير ولائي",(11000*35%),LOOKUP(D488,'f-travail'!A:A,'f-travail'!I:I))</f>
        <v>#N/A</v>
      </c>
      <c r="AJ488" s="673" t="e">
        <f>IF(G488="مدير ولائي",((W488+X488)*45)*80%,IF(V488&lt;8,0,IF(F488="إليزي",(LOOKUP(D488,'f-travail'!A:A,'f-travail'!O:O))*(AF488+AG488),LOOKUP(D488,'f-travail'!A:A,'f-travail'!P:P)*(AF488+AG488))))</f>
        <v>#N/A</v>
      </c>
      <c r="AK488" s="673" t="e">
        <f>IF(G488="مدير ولائي",0,LOOKUP(D488,'f-travail'!A:A,'f-travail'!Q:Q))</f>
        <v>#N/A</v>
      </c>
      <c r="AL488" s="673" t="e">
        <f>IF(G488="مدير ولائي",0,LOOKUP(D488,'f-travail'!A:A,'f-travail'!R:R)*(AF488+AG488))</f>
        <v>#N/A</v>
      </c>
      <c r="AM488" s="673" t="e">
        <f>IF(G488="مدير ولائي",0,LOOKUP(D488,'f-travail'!A:A,'f-travail'!S:S)*(AF488+AG488))</f>
        <v>#N/A</v>
      </c>
      <c r="AN488" s="673" t="e">
        <f>IF(G488="مدير ولائي",0,LOOKUP(D488,'f-travail'!A:A,'f-travail'!T:T)*(AF488+AG488))</f>
        <v>#N/A</v>
      </c>
      <c r="AO488" s="673" t="e">
        <f>IF(G488="مدير ولائي",0,LOOKUP(D488,'f-travail'!A:A,'f-travail'!U:U)*(AF488+AG488))</f>
        <v>#N/A</v>
      </c>
      <c r="AP488" s="673" t="e">
        <f>IF(G488="مدير ولائي",0,LOOKUP(D488,'f-travail'!A:A,'f-travail'!V:V)*(AF488+AG488))</f>
        <v>#N/A</v>
      </c>
      <c r="AQ488" s="673" t="e">
        <f>IF(G488="مدير ولائي",0,LOOKUP(D488,'f-travail'!A:A,'f-travail'!W:W)*(AF488+AG488))</f>
        <v>#N/A</v>
      </c>
      <c r="AR488" s="673">
        <f t="shared" si="209"/>
        <v>0</v>
      </c>
      <c r="AS488" s="673" t="e">
        <f>IF(G488="مدير ولائي",0,LOOKUP(D488,'f-travail'!A:A,'f-travail'!X:X)*(AF488+AG488))</f>
        <v>#N/A</v>
      </c>
      <c r="AT488" s="673" t="e">
        <f>IF(G488="مدير ولائي",0,LOOKUP(D488,'f-travail'!Y:Y,'f-travail'!R:R)*(AF488+AG488))</f>
        <v>#N/A</v>
      </c>
      <c r="AU488" s="673">
        <f t="shared" si="199"/>
        <v>0</v>
      </c>
      <c r="AV488" s="673">
        <f t="shared" si="200"/>
        <v>0</v>
      </c>
      <c r="AW488" s="673">
        <f t="shared" si="201"/>
        <v>0</v>
      </c>
      <c r="AY488" s="640" t="e">
        <f t="shared" si="210"/>
        <v>#N/A</v>
      </c>
      <c r="AZ488" s="673" t="e">
        <f t="shared" si="202"/>
        <v>#N/A</v>
      </c>
      <c r="BA488" s="639" t="e">
        <f t="shared" si="203"/>
        <v>#N/A</v>
      </c>
      <c r="BG488" s="639">
        <f t="shared" si="211"/>
        <v>0</v>
      </c>
      <c r="BH488" s="683">
        <f t="shared" si="212"/>
        <v>0</v>
      </c>
      <c r="BI488" s="683">
        <f t="shared" si="213"/>
        <v>0</v>
      </c>
      <c r="BJ488" s="641" t="e">
        <f t="shared" si="214"/>
        <v>#N/A</v>
      </c>
      <c r="BK488" s="641" t="e">
        <f t="shared" si="215"/>
        <v>#N/A</v>
      </c>
      <c r="BL488" s="641" t="e">
        <f t="shared" si="216"/>
        <v>#N/A</v>
      </c>
      <c r="BM488" s="684" t="e">
        <f t="shared" si="217"/>
        <v>#N/A</v>
      </c>
      <c r="BO488" s="682" t="e">
        <f>CONCATENATE(Z488," ",LOOKUP(D488,'f-travail'!A:A,'f-travail'!F:F))</f>
        <v>#N/A</v>
      </c>
      <c r="BP488" s="669" t="e">
        <f t="shared" si="204"/>
        <v>#N/A</v>
      </c>
    </row>
    <row r="489" spans="1:68">
      <c r="A489" s="636">
        <f t="shared" si="218"/>
        <v>488</v>
      </c>
      <c r="B489" s="637"/>
      <c r="C489" s="637"/>
      <c r="D489" s="652"/>
      <c r="E489" s="679" t="e">
        <f>LOOKUP(D489,'f-travail'!A:A,'f-travail'!B:B)</f>
        <v>#N/A</v>
      </c>
      <c r="F489" s="650"/>
      <c r="G489" s="650"/>
      <c r="H489" s="653"/>
      <c r="I489" s="653"/>
      <c r="J489" s="654"/>
      <c r="K489" s="650"/>
      <c r="L489" s="650"/>
      <c r="M489" s="650">
        <v>0</v>
      </c>
      <c r="N489" s="654"/>
      <c r="O489" s="654"/>
      <c r="P489" s="654"/>
      <c r="Q489" s="654"/>
      <c r="R489" s="676"/>
      <c r="S489" s="654"/>
      <c r="T489" s="675"/>
      <c r="U489" s="675"/>
      <c r="V489" s="670" t="e">
        <f>LOOKUP(D489,'f-travail'!A:A,'f-travail'!E:E)</f>
        <v>#N/A</v>
      </c>
      <c r="W489" s="670" t="e">
        <f>VLOOKUP(V489,جرقمإستدلالي,'f-travail'!$AD$4+1,FALSE)</f>
        <v>#N/A</v>
      </c>
      <c r="X489" s="671" t="e">
        <f t="shared" si="194"/>
        <v>#N/A</v>
      </c>
      <c r="Y489" s="671">
        <f>IF(G489="مدير ولائي",(HLOOKUP(I489,جدروظعليا,'f-travail'!$AT$3+1,FALSE)-3200),0)</f>
        <v>0</v>
      </c>
      <c r="Z489" s="672" t="str">
        <f t="shared" si="205"/>
        <v/>
      </c>
      <c r="AA489" s="671">
        <f t="shared" si="206"/>
        <v>0</v>
      </c>
      <c r="AB489" s="677" t="b">
        <f t="shared" si="195"/>
        <v>0</v>
      </c>
      <c r="AC489" s="678">
        <f t="shared" si="207"/>
        <v>0</v>
      </c>
      <c r="AD489" s="673"/>
      <c r="AE489" s="678">
        <f t="shared" si="196"/>
        <v>0</v>
      </c>
      <c r="AF489" s="678" t="e">
        <f t="shared" si="197"/>
        <v>#N/A</v>
      </c>
      <c r="AG489" s="678" t="e">
        <f t="shared" si="198"/>
        <v>#N/A</v>
      </c>
      <c r="AH489" s="673">
        <f t="shared" si="208"/>
        <v>0</v>
      </c>
      <c r="AI489" s="674" t="e">
        <f>IF(G489="مدير ولائي",(11000*35%),LOOKUP(D489,'f-travail'!A:A,'f-travail'!I:I))</f>
        <v>#N/A</v>
      </c>
      <c r="AJ489" s="673" t="e">
        <f>IF(G489="مدير ولائي",((W489+X489)*45)*80%,IF(V489&lt;8,0,IF(F489="إليزي",(LOOKUP(D489,'f-travail'!A:A,'f-travail'!O:O))*(AF489+AG489),LOOKUP(D489,'f-travail'!A:A,'f-travail'!P:P)*(AF489+AG489))))</f>
        <v>#N/A</v>
      </c>
      <c r="AK489" s="673" t="e">
        <f>IF(G489="مدير ولائي",0,LOOKUP(D489,'f-travail'!A:A,'f-travail'!Q:Q))</f>
        <v>#N/A</v>
      </c>
      <c r="AL489" s="673" t="e">
        <f>IF(G489="مدير ولائي",0,LOOKUP(D489,'f-travail'!A:A,'f-travail'!R:R)*(AF489+AG489))</f>
        <v>#N/A</v>
      </c>
      <c r="AM489" s="673" t="e">
        <f>IF(G489="مدير ولائي",0,LOOKUP(D489,'f-travail'!A:A,'f-travail'!S:S)*(AF489+AG489))</f>
        <v>#N/A</v>
      </c>
      <c r="AN489" s="673" t="e">
        <f>IF(G489="مدير ولائي",0,LOOKUP(D489,'f-travail'!A:A,'f-travail'!T:T)*(AF489+AG489))</f>
        <v>#N/A</v>
      </c>
      <c r="AO489" s="673" t="e">
        <f>IF(G489="مدير ولائي",0,LOOKUP(D489,'f-travail'!A:A,'f-travail'!U:U)*(AF489+AG489))</f>
        <v>#N/A</v>
      </c>
      <c r="AP489" s="673" t="e">
        <f>IF(G489="مدير ولائي",0,LOOKUP(D489,'f-travail'!A:A,'f-travail'!V:V)*(AF489+AG489))</f>
        <v>#N/A</v>
      </c>
      <c r="AQ489" s="673" t="e">
        <f>IF(G489="مدير ولائي",0,LOOKUP(D489,'f-travail'!A:A,'f-travail'!W:W)*(AF489+AG489))</f>
        <v>#N/A</v>
      </c>
      <c r="AR489" s="673">
        <f t="shared" si="209"/>
        <v>0</v>
      </c>
      <c r="AS489" s="673" t="e">
        <f>IF(G489="مدير ولائي",0,LOOKUP(D489,'f-travail'!A:A,'f-travail'!X:X)*(AF489+AG489))</f>
        <v>#N/A</v>
      </c>
      <c r="AT489" s="673" t="e">
        <f>IF(G489="مدير ولائي",0,LOOKUP(D489,'f-travail'!Y:Y,'f-travail'!R:R)*(AF489+AG489))</f>
        <v>#N/A</v>
      </c>
      <c r="AU489" s="673">
        <f t="shared" si="199"/>
        <v>0</v>
      </c>
      <c r="AV489" s="673">
        <f t="shared" si="200"/>
        <v>0</v>
      </c>
      <c r="AW489" s="673">
        <f t="shared" si="201"/>
        <v>0</v>
      </c>
      <c r="AY489" s="640" t="e">
        <f t="shared" si="210"/>
        <v>#N/A</v>
      </c>
      <c r="AZ489" s="673" t="e">
        <f t="shared" si="202"/>
        <v>#N/A</v>
      </c>
      <c r="BA489" s="639" t="e">
        <f t="shared" si="203"/>
        <v>#N/A</v>
      </c>
      <c r="BG489" s="639">
        <f t="shared" si="211"/>
        <v>0</v>
      </c>
      <c r="BH489" s="683">
        <f t="shared" si="212"/>
        <v>0</v>
      </c>
      <c r="BI489" s="683">
        <f t="shared" si="213"/>
        <v>0</v>
      </c>
      <c r="BJ489" s="641" t="e">
        <f t="shared" si="214"/>
        <v>#N/A</v>
      </c>
      <c r="BK489" s="641" t="e">
        <f t="shared" si="215"/>
        <v>#N/A</v>
      </c>
      <c r="BL489" s="641" t="e">
        <f t="shared" si="216"/>
        <v>#N/A</v>
      </c>
      <c r="BM489" s="684" t="e">
        <f t="shared" si="217"/>
        <v>#N/A</v>
      </c>
      <c r="BO489" s="682" t="e">
        <f>CONCATENATE(Z489," ",LOOKUP(D489,'f-travail'!A:A,'f-travail'!F:F))</f>
        <v>#N/A</v>
      </c>
      <c r="BP489" s="669" t="e">
        <f t="shared" si="204"/>
        <v>#N/A</v>
      </c>
    </row>
    <row r="490" spans="1:68">
      <c r="A490" s="636">
        <f t="shared" si="218"/>
        <v>489</v>
      </c>
      <c r="B490" s="637"/>
      <c r="C490" s="637"/>
      <c r="D490" s="652"/>
      <c r="E490" s="679" t="e">
        <f>LOOKUP(D490,'f-travail'!A:A,'f-travail'!B:B)</f>
        <v>#N/A</v>
      </c>
      <c r="F490" s="650"/>
      <c r="G490" s="650"/>
      <c r="H490" s="653"/>
      <c r="I490" s="653"/>
      <c r="J490" s="654"/>
      <c r="K490" s="650"/>
      <c r="L490" s="650"/>
      <c r="M490" s="650">
        <v>0</v>
      </c>
      <c r="N490" s="654"/>
      <c r="O490" s="654"/>
      <c r="P490" s="654"/>
      <c r="Q490" s="654"/>
      <c r="R490" s="676"/>
      <c r="S490" s="654"/>
      <c r="T490" s="675"/>
      <c r="U490" s="675"/>
      <c r="V490" s="670" t="e">
        <f>LOOKUP(D490,'f-travail'!A:A,'f-travail'!E:E)</f>
        <v>#N/A</v>
      </c>
      <c r="W490" s="670" t="e">
        <f>VLOOKUP(V490,جرقمإستدلالي,'f-travail'!$AD$4+1,FALSE)</f>
        <v>#N/A</v>
      </c>
      <c r="X490" s="671" t="e">
        <f t="shared" si="194"/>
        <v>#N/A</v>
      </c>
      <c r="Y490" s="671">
        <f>IF(G490="مدير ولائي",(HLOOKUP(I490,جدروظعليا,'f-travail'!$AT$3+1,FALSE)-3200),0)</f>
        <v>0</v>
      </c>
      <c r="Z490" s="672" t="str">
        <f t="shared" si="205"/>
        <v/>
      </c>
      <c r="AA490" s="671">
        <f t="shared" si="206"/>
        <v>0</v>
      </c>
      <c r="AB490" s="677" t="b">
        <f t="shared" si="195"/>
        <v>0</v>
      </c>
      <c r="AC490" s="678">
        <f t="shared" si="207"/>
        <v>0</v>
      </c>
      <c r="AD490" s="673"/>
      <c r="AE490" s="678">
        <f t="shared" si="196"/>
        <v>0</v>
      </c>
      <c r="AF490" s="678" t="e">
        <f t="shared" si="197"/>
        <v>#N/A</v>
      </c>
      <c r="AG490" s="678" t="e">
        <f t="shared" si="198"/>
        <v>#N/A</v>
      </c>
      <c r="AH490" s="673">
        <f t="shared" si="208"/>
        <v>0</v>
      </c>
      <c r="AI490" s="674" t="e">
        <f>IF(G490="مدير ولائي",(11000*35%),LOOKUP(D490,'f-travail'!A:A,'f-travail'!I:I))</f>
        <v>#N/A</v>
      </c>
      <c r="AJ490" s="673" t="e">
        <f>IF(G490="مدير ولائي",((W490+X490)*45)*80%,IF(V490&lt;8,0,IF(F490="إليزي",(LOOKUP(D490,'f-travail'!A:A,'f-travail'!O:O))*(AF490+AG490),LOOKUP(D490,'f-travail'!A:A,'f-travail'!P:P)*(AF490+AG490))))</f>
        <v>#N/A</v>
      </c>
      <c r="AK490" s="673" t="e">
        <f>IF(G490="مدير ولائي",0,LOOKUP(D490,'f-travail'!A:A,'f-travail'!Q:Q))</f>
        <v>#N/A</v>
      </c>
      <c r="AL490" s="673" t="e">
        <f>IF(G490="مدير ولائي",0,LOOKUP(D490,'f-travail'!A:A,'f-travail'!R:R)*(AF490+AG490))</f>
        <v>#N/A</v>
      </c>
      <c r="AM490" s="673" t="e">
        <f>IF(G490="مدير ولائي",0,LOOKUP(D490,'f-travail'!A:A,'f-travail'!S:S)*(AF490+AG490))</f>
        <v>#N/A</v>
      </c>
      <c r="AN490" s="673" t="e">
        <f>IF(G490="مدير ولائي",0,LOOKUP(D490,'f-travail'!A:A,'f-travail'!T:T)*(AF490+AG490))</f>
        <v>#N/A</v>
      </c>
      <c r="AO490" s="673" t="e">
        <f>IF(G490="مدير ولائي",0,LOOKUP(D490,'f-travail'!A:A,'f-travail'!U:U)*(AF490+AG490))</f>
        <v>#N/A</v>
      </c>
      <c r="AP490" s="673" t="e">
        <f>IF(G490="مدير ولائي",0,LOOKUP(D490,'f-travail'!A:A,'f-travail'!V:V)*(AF490+AG490))</f>
        <v>#N/A</v>
      </c>
      <c r="AQ490" s="673" t="e">
        <f>IF(G490="مدير ولائي",0,LOOKUP(D490,'f-travail'!A:A,'f-travail'!W:W)*(AF490+AG490))</f>
        <v>#N/A</v>
      </c>
      <c r="AR490" s="673">
        <f t="shared" si="209"/>
        <v>0</v>
      </c>
      <c r="AS490" s="673" t="e">
        <f>IF(G490="مدير ولائي",0,LOOKUP(D490,'f-travail'!A:A,'f-travail'!X:X)*(AF490+AG490))</f>
        <v>#N/A</v>
      </c>
      <c r="AT490" s="673" t="e">
        <f>IF(G490="مدير ولائي",0,LOOKUP(D490,'f-travail'!Y:Y,'f-travail'!R:R)*(AF490+AG490))</f>
        <v>#N/A</v>
      </c>
      <c r="AU490" s="673">
        <f t="shared" si="199"/>
        <v>0</v>
      </c>
      <c r="AV490" s="673">
        <f t="shared" si="200"/>
        <v>0</v>
      </c>
      <c r="AW490" s="673">
        <f t="shared" si="201"/>
        <v>0</v>
      </c>
      <c r="AY490" s="640" t="e">
        <f t="shared" si="210"/>
        <v>#N/A</v>
      </c>
      <c r="AZ490" s="673" t="e">
        <f t="shared" si="202"/>
        <v>#N/A</v>
      </c>
      <c r="BA490" s="639" t="e">
        <f t="shared" si="203"/>
        <v>#N/A</v>
      </c>
      <c r="BG490" s="639">
        <f t="shared" si="211"/>
        <v>0</v>
      </c>
      <c r="BH490" s="683">
        <f t="shared" si="212"/>
        <v>0</v>
      </c>
      <c r="BI490" s="683">
        <f t="shared" si="213"/>
        <v>0</v>
      </c>
      <c r="BJ490" s="641" t="e">
        <f t="shared" si="214"/>
        <v>#N/A</v>
      </c>
      <c r="BK490" s="641" t="e">
        <f t="shared" si="215"/>
        <v>#N/A</v>
      </c>
      <c r="BL490" s="641" t="e">
        <f t="shared" si="216"/>
        <v>#N/A</v>
      </c>
      <c r="BM490" s="684" t="e">
        <f t="shared" si="217"/>
        <v>#N/A</v>
      </c>
      <c r="BO490" s="682" t="e">
        <f>CONCATENATE(Z490," ",LOOKUP(D490,'f-travail'!A:A,'f-travail'!F:F))</f>
        <v>#N/A</v>
      </c>
      <c r="BP490" s="669" t="e">
        <f t="shared" si="204"/>
        <v>#N/A</v>
      </c>
    </row>
    <row r="491" spans="1:68">
      <c r="A491" s="636">
        <f t="shared" si="218"/>
        <v>490</v>
      </c>
      <c r="B491" s="637"/>
      <c r="C491" s="637"/>
      <c r="D491" s="652"/>
      <c r="E491" s="679" t="e">
        <f>LOOKUP(D491,'f-travail'!A:A,'f-travail'!B:B)</f>
        <v>#N/A</v>
      </c>
      <c r="F491" s="650"/>
      <c r="G491" s="650"/>
      <c r="H491" s="653"/>
      <c r="I491" s="653"/>
      <c r="J491" s="654"/>
      <c r="K491" s="650"/>
      <c r="L491" s="650"/>
      <c r="M491" s="650">
        <v>0</v>
      </c>
      <c r="N491" s="654"/>
      <c r="O491" s="654"/>
      <c r="P491" s="654"/>
      <c r="Q491" s="654"/>
      <c r="R491" s="676"/>
      <c r="S491" s="654"/>
      <c r="T491" s="675"/>
      <c r="U491" s="675"/>
      <c r="V491" s="670" t="e">
        <f>LOOKUP(D491,'f-travail'!A:A,'f-travail'!E:E)</f>
        <v>#N/A</v>
      </c>
      <c r="W491" s="670" t="e">
        <f>VLOOKUP(V491,جرقمإستدلالي,'f-travail'!$AD$4+1,FALSE)</f>
        <v>#N/A</v>
      </c>
      <c r="X491" s="671" t="e">
        <f t="shared" si="194"/>
        <v>#N/A</v>
      </c>
      <c r="Y491" s="671">
        <f>IF(G491="مدير ولائي",(HLOOKUP(I491,جدروظعليا,'f-travail'!$AT$3+1,FALSE)-3200),0)</f>
        <v>0</v>
      </c>
      <c r="Z491" s="672" t="str">
        <f t="shared" si="205"/>
        <v/>
      </c>
      <c r="AA491" s="671">
        <f t="shared" si="206"/>
        <v>0</v>
      </c>
      <c r="AB491" s="677" t="b">
        <f t="shared" si="195"/>
        <v>0</v>
      </c>
      <c r="AC491" s="678">
        <f t="shared" si="207"/>
        <v>0</v>
      </c>
      <c r="AD491" s="673"/>
      <c r="AE491" s="678">
        <f t="shared" si="196"/>
        <v>0</v>
      </c>
      <c r="AF491" s="678" t="e">
        <f t="shared" si="197"/>
        <v>#N/A</v>
      </c>
      <c r="AG491" s="678" t="e">
        <f t="shared" si="198"/>
        <v>#N/A</v>
      </c>
      <c r="AH491" s="673">
        <f t="shared" si="208"/>
        <v>0</v>
      </c>
      <c r="AI491" s="674" t="e">
        <f>IF(G491="مدير ولائي",(11000*35%),LOOKUP(D491,'f-travail'!A:A,'f-travail'!I:I))</f>
        <v>#N/A</v>
      </c>
      <c r="AJ491" s="673" t="e">
        <f>IF(G491="مدير ولائي",((W491+X491)*45)*80%,IF(V491&lt;8,0,IF(F491="إليزي",(LOOKUP(D491,'f-travail'!A:A,'f-travail'!O:O))*(AF491+AG491),LOOKUP(D491,'f-travail'!A:A,'f-travail'!P:P)*(AF491+AG491))))</f>
        <v>#N/A</v>
      </c>
      <c r="AK491" s="673" t="e">
        <f>IF(G491="مدير ولائي",0,LOOKUP(D491,'f-travail'!A:A,'f-travail'!Q:Q))</f>
        <v>#N/A</v>
      </c>
      <c r="AL491" s="673" t="e">
        <f>IF(G491="مدير ولائي",0,LOOKUP(D491,'f-travail'!A:A,'f-travail'!R:R)*(AF491+AG491))</f>
        <v>#N/A</v>
      </c>
      <c r="AM491" s="673" t="e">
        <f>IF(G491="مدير ولائي",0,LOOKUP(D491,'f-travail'!A:A,'f-travail'!S:S)*(AF491+AG491))</f>
        <v>#N/A</v>
      </c>
      <c r="AN491" s="673" t="e">
        <f>IF(G491="مدير ولائي",0,LOOKUP(D491,'f-travail'!A:A,'f-travail'!T:T)*(AF491+AG491))</f>
        <v>#N/A</v>
      </c>
      <c r="AO491" s="673" t="e">
        <f>IF(G491="مدير ولائي",0,LOOKUP(D491,'f-travail'!A:A,'f-travail'!U:U)*(AF491+AG491))</f>
        <v>#N/A</v>
      </c>
      <c r="AP491" s="673" t="e">
        <f>IF(G491="مدير ولائي",0,LOOKUP(D491,'f-travail'!A:A,'f-travail'!V:V)*(AF491+AG491))</f>
        <v>#N/A</v>
      </c>
      <c r="AQ491" s="673" t="e">
        <f>IF(G491="مدير ولائي",0,LOOKUP(D491,'f-travail'!A:A,'f-travail'!W:W)*(AF491+AG491))</f>
        <v>#N/A</v>
      </c>
      <c r="AR491" s="673">
        <f t="shared" si="209"/>
        <v>0</v>
      </c>
      <c r="AS491" s="673" t="e">
        <f>IF(G491="مدير ولائي",0,LOOKUP(D491,'f-travail'!A:A,'f-travail'!X:X)*(AF491+AG491))</f>
        <v>#N/A</v>
      </c>
      <c r="AT491" s="673" t="e">
        <f>IF(G491="مدير ولائي",0,LOOKUP(D491,'f-travail'!Y:Y,'f-travail'!R:R)*(AF491+AG491))</f>
        <v>#N/A</v>
      </c>
      <c r="AU491" s="673">
        <f t="shared" si="199"/>
        <v>0</v>
      </c>
      <c r="AV491" s="673">
        <f t="shared" si="200"/>
        <v>0</v>
      </c>
      <c r="AW491" s="673">
        <f t="shared" si="201"/>
        <v>0</v>
      </c>
      <c r="AY491" s="640" t="e">
        <f t="shared" si="210"/>
        <v>#N/A</v>
      </c>
      <c r="AZ491" s="673" t="e">
        <f t="shared" si="202"/>
        <v>#N/A</v>
      </c>
      <c r="BA491" s="639" t="e">
        <f t="shared" si="203"/>
        <v>#N/A</v>
      </c>
      <c r="BG491" s="639">
        <f t="shared" si="211"/>
        <v>0</v>
      </c>
      <c r="BH491" s="683">
        <f t="shared" si="212"/>
        <v>0</v>
      </c>
      <c r="BI491" s="683">
        <f t="shared" si="213"/>
        <v>0</v>
      </c>
      <c r="BJ491" s="641" t="e">
        <f t="shared" si="214"/>
        <v>#N/A</v>
      </c>
      <c r="BK491" s="641" t="e">
        <f t="shared" si="215"/>
        <v>#N/A</v>
      </c>
      <c r="BL491" s="641" t="e">
        <f t="shared" si="216"/>
        <v>#N/A</v>
      </c>
      <c r="BM491" s="684" t="e">
        <f t="shared" si="217"/>
        <v>#N/A</v>
      </c>
      <c r="BO491" s="682" t="e">
        <f>CONCATENATE(Z491," ",LOOKUP(D491,'f-travail'!A:A,'f-travail'!F:F))</f>
        <v>#N/A</v>
      </c>
      <c r="BP491" s="669" t="e">
        <f t="shared" si="204"/>
        <v>#N/A</v>
      </c>
    </row>
    <row r="492" spans="1:68">
      <c r="A492" s="636">
        <f t="shared" si="218"/>
        <v>491</v>
      </c>
      <c r="B492" s="637"/>
      <c r="C492" s="637"/>
      <c r="D492" s="652"/>
      <c r="E492" s="679" t="e">
        <f>LOOKUP(D492,'f-travail'!A:A,'f-travail'!B:B)</f>
        <v>#N/A</v>
      </c>
      <c r="F492" s="650"/>
      <c r="G492" s="650"/>
      <c r="H492" s="653"/>
      <c r="I492" s="653"/>
      <c r="J492" s="654"/>
      <c r="K492" s="650"/>
      <c r="L492" s="650"/>
      <c r="M492" s="650">
        <v>0</v>
      </c>
      <c r="N492" s="654"/>
      <c r="O492" s="654"/>
      <c r="P492" s="654"/>
      <c r="Q492" s="654"/>
      <c r="R492" s="676"/>
      <c r="S492" s="654"/>
      <c r="T492" s="675"/>
      <c r="U492" s="675"/>
      <c r="V492" s="670" t="e">
        <f>LOOKUP(D492,'f-travail'!A:A,'f-travail'!E:E)</f>
        <v>#N/A</v>
      </c>
      <c r="W492" s="670" t="e">
        <f>VLOOKUP(V492,جرقمإستدلالي,'f-travail'!$AD$4+1,FALSE)</f>
        <v>#N/A</v>
      </c>
      <c r="X492" s="671" t="e">
        <f t="shared" si="194"/>
        <v>#N/A</v>
      </c>
      <c r="Y492" s="671">
        <f>IF(G492="مدير ولائي",(HLOOKUP(I492,جدروظعليا,'f-travail'!$AT$3+1,FALSE)-3200),0)</f>
        <v>0</v>
      </c>
      <c r="Z492" s="672" t="str">
        <f t="shared" si="205"/>
        <v/>
      </c>
      <c r="AA492" s="671">
        <f t="shared" si="206"/>
        <v>0</v>
      </c>
      <c r="AB492" s="677" t="b">
        <f t="shared" si="195"/>
        <v>0</v>
      </c>
      <c r="AC492" s="678">
        <f t="shared" si="207"/>
        <v>0</v>
      </c>
      <c r="AD492" s="673"/>
      <c r="AE492" s="678">
        <f t="shared" si="196"/>
        <v>0</v>
      </c>
      <c r="AF492" s="678" t="e">
        <f t="shared" si="197"/>
        <v>#N/A</v>
      </c>
      <c r="AG492" s="678" t="e">
        <f t="shared" si="198"/>
        <v>#N/A</v>
      </c>
      <c r="AH492" s="673">
        <f t="shared" si="208"/>
        <v>0</v>
      </c>
      <c r="AI492" s="674" t="e">
        <f>IF(G492="مدير ولائي",(11000*35%),LOOKUP(D492,'f-travail'!A:A,'f-travail'!I:I))</f>
        <v>#N/A</v>
      </c>
      <c r="AJ492" s="673" t="e">
        <f>IF(G492="مدير ولائي",((W492+X492)*45)*80%,IF(V492&lt;8,0,IF(F492="إليزي",(LOOKUP(D492,'f-travail'!A:A,'f-travail'!O:O))*(AF492+AG492),LOOKUP(D492,'f-travail'!A:A,'f-travail'!P:P)*(AF492+AG492))))</f>
        <v>#N/A</v>
      </c>
      <c r="AK492" s="673" t="e">
        <f>IF(G492="مدير ولائي",0,LOOKUP(D492,'f-travail'!A:A,'f-travail'!Q:Q))</f>
        <v>#N/A</v>
      </c>
      <c r="AL492" s="673" t="e">
        <f>IF(G492="مدير ولائي",0,LOOKUP(D492,'f-travail'!A:A,'f-travail'!R:R)*(AF492+AG492))</f>
        <v>#N/A</v>
      </c>
      <c r="AM492" s="673" t="e">
        <f>IF(G492="مدير ولائي",0,LOOKUP(D492,'f-travail'!A:A,'f-travail'!S:S)*(AF492+AG492))</f>
        <v>#N/A</v>
      </c>
      <c r="AN492" s="673" t="e">
        <f>IF(G492="مدير ولائي",0,LOOKUP(D492,'f-travail'!A:A,'f-travail'!T:T)*(AF492+AG492))</f>
        <v>#N/A</v>
      </c>
      <c r="AO492" s="673" t="e">
        <f>IF(G492="مدير ولائي",0,LOOKUP(D492,'f-travail'!A:A,'f-travail'!U:U)*(AF492+AG492))</f>
        <v>#N/A</v>
      </c>
      <c r="AP492" s="673" t="e">
        <f>IF(G492="مدير ولائي",0,LOOKUP(D492,'f-travail'!A:A,'f-travail'!V:V)*(AF492+AG492))</f>
        <v>#N/A</v>
      </c>
      <c r="AQ492" s="673" t="e">
        <f>IF(G492="مدير ولائي",0,LOOKUP(D492,'f-travail'!A:A,'f-travail'!W:W)*(AF492+AG492))</f>
        <v>#N/A</v>
      </c>
      <c r="AR492" s="673">
        <f t="shared" si="209"/>
        <v>0</v>
      </c>
      <c r="AS492" s="673" t="e">
        <f>IF(G492="مدير ولائي",0,LOOKUP(D492,'f-travail'!A:A,'f-travail'!X:X)*(AF492+AG492))</f>
        <v>#N/A</v>
      </c>
      <c r="AT492" s="673" t="e">
        <f>IF(G492="مدير ولائي",0,LOOKUP(D492,'f-travail'!Y:Y,'f-travail'!R:R)*(AF492+AG492))</f>
        <v>#N/A</v>
      </c>
      <c r="AU492" s="673">
        <f t="shared" si="199"/>
        <v>0</v>
      </c>
      <c r="AV492" s="673">
        <f t="shared" si="200"/>
        <v>0</v>
      </c>
      <c r="AW492" s="673">
        <f t="shared" si="201"/>
        <v>0</v>
      </c>
      <c r="AY492" s="640" t="e">
        <f t="shared" si="210"/>
        <v>#N/A</v>
      </c>
      <c r="AZ492" s="673" t="e">
        <f t="shared" si="202"/>
        <v>#N/A</v>
      </c>
      <c r="BA492" s="639" t="e">
        <f t="shared" si="203"/>
        <v>#N/A</v>
      </c>
      <c r="BG492" s="639">
        <f t="shared" si="211"/>
        <v>0</v>
      </c>
      <c r="BH492" s="683">
        <f t="shared" si="212"/>
        <v>0</v>
      </c>
      <c r="BI492" s="683">
        <f t="shared" si="213"/>
        <v>0</v>
      </c>
      <c r="BJ492" s="641" t="e">
        <f t="shared" si="214"/>
        <v>#N/A</v>
      </c>
      <c r="BK492" s="641" t="e">
        <f t="shared" si="215"/>
        <v>#N/A</v>
      </c>
      <c r="BL492" s="641" t="e">
        <f t="shared" si="216"/>
        <v>#N/A</v>
      </c>
      <c r="BM492" s="684" t="e">
        <f t="shared" si="217"/>
        <v>#N/A</v>
      </c>
      <c r="BO492" s="682" t="e">
        <f>CONCATENATE(Z492," ",LOOKUP(D492,'f-travail'!A:A,'f-travail'!F:F))</f>
        <v>#N/A</v>
      </c>
      <c r="BP492" s="669" t="e">
        <f t="shared" si="204"/>
        <v>#N/A</v>
      </c>
    </row>
    <row r="493" spans="1:68">
      <c r="A493" s="636">
        <f t="shared" si="218"/>
        <v>492</v>
      </c>
      <c r="B493" s="637"/>
      <c r="C493" s="637"/>
      <c r="D493" s="652"/>
      <c r="E493" s="679" t="e">
        <f>LOOKUP(D493,'f-travail'!A:A,'f-travail'!B:B)</f>
        <v>#N/A</v>
      </c>
      <c r="F493" s="650"/>
      <c r="G493" s="650"/>
      <c r="H493" s="653"/>
      <c r="I493" s="653"/>
      <c r="J493" s="654"/>
      <c r="K493" s="650"/>
      <c r="L493" s="650"/>
      <c r="M493" s="650">
        <v>0</v>
      </c>
      <c r="N493" s="654"/>
      <c r="O493" s="654"/>
      <c r="P493" s="654"/>
      <c r="Q493" s="654"/>
      <c r="R493" s="676"/>
      <c r="S493" s="654"/>
      <c r="T493" s="675"/>
      <c r="U493" s="675"/>
      <c r="V493" s="670" t="e">
        <f>LOOKUP(D493,'f-travail'!A:A,'f-travail'!E:E)</f>
        <v>#N/A</v>
      </c>
      <c r="W493" s="670" t="e">
        <f>VLOOKUP(V493,جرقمإستدلالي,'f-travail'!$AD$4+1,FALSE)</f>
        <v>#N/A</v>
      </c>
      <c r="X493" s="671" t="e">
        <f t="shared" si="194"/>
        <v>#N/A</v>
      </c>
      <c r="Y493" s="671">
        <f>IF(G493="مدير ولائي",(HLOOKUP(I493,جدروظعليا,'f-travail'!$AT$3+1,FALSE)-3200),0)</f>
        <v>0</v>
      </c>
      <c r="Z493" s="672" t="str">
        <f t="shared" si="205"/>
        <v/>
      </c>
      <c r="AA493" s="671">
        <f t="shared" si="206"/>
        <v>0</v>
      </c>
      <c r="AB493" s="677" t="b">
        <f t="shared" si="195"/>
        <v>0</v>
      </c>
      <c r="AC493" s="678">
        <f t="shared" si="207"/>
        <v>0</v>
      </c>
      <c r="AD493" s="673"/>
      <c r="AE493" s="678">
        <f t="shared" si="196"/>
        <v>0</v>
      </c>
      <c r="AF493" s="678" t="e">
        <f t="shared" si="197"/>
        <v>#N/A</v>
      </c>
      <c r="AG493" s="678" t="e">
        <f t="shared" si="198"/>
        <v>#N/A</v>
      </c>
      <c r="AH493" s="673">
        <f t="shared" si="208"/>
        <v>0</v>
      </c>
      <c r="AI493" s="674" t="e">
        <f>IF(G493="مدير ولائي",(11000*35%),LOOKUP(D493,'f-travail'!A:A,'f-travail'!I:I))</f>
        <v>#N/A</v>
      </c>
      <c r="AJ493" s="673" t="e">
        <f>IF(G493="مدير ولائي",((W493+X493)*45)*80%,IF(V493&lt;8,0,IF(F493="إليزي",(LOOKUP(D493,'f-travail'!A:A,'f-travail'!O:O))*(AF493+AG493),LOOKUP(D493,'f-travail'!A:A,'f-travail'!P:P)*(AF493+AG493))))</f>
        <v>#N/A</v>
      </c>
      <c r="AK493" s="673" t="e">
        <f>IF(G493="مدير ولائي",0,LOOKUP(D493,'f-travail'!A:A,'f-travail'!Q:Q))</f>
        <v>#N/A</v>
      </c>
      <c r="AL493" s="673" t="e">
        <f>IF(G493="مدير ولائي",0,LOOKUP(D493,'f-travail'!A:A,'f-travail'!R:R)*(AF493+AG493))</f>
        <v>#N/A</v>
      </c>
      <c r="AM493" s="673" t="e">
        <f>IF(G493="مدير ولائي",0,LOOKUP(D493,'f-travail'!A:A,'f-travail'!S:S)*(AF493+AG493))</f>
        <v>#N/A</v>
      </c>
      <c r="AN493" s="673" t="e">
        <f>IF(G493="مدير ولائي",0,LOOKUP(D493,'f-travail'!A:A,'f-travail'!T:T)*(AF493+AG493))</f>
        <v>#N/A</v>
      </c>
      <c r="AO493" s="673" t="e">
        <f>IF(G493="مدير ولائي",0,LOOKUP(D493,'f-travail'!A:A,'f-travail'!U:U)*(AF493+AG493))</f>
        <v>#N/A</v>
      </c>
      <c r="AP493" s="673" t="e">
        <f>IF(G493="مدير ولائي",0,LOOKUP(D493,'f-travail'!A:A,'f-travail'!V:V)*(AF493+AG493))</f>
        <v>#N/A</v>
      </c>
      <c r="AQ493" s="673" t="e">
        <f>IF(G493="مدير ولائي",0,LOOKUP(D493,'f-travail'!A:A,'f-travail'!W:W)*(AF493+AG493))</f>
        <v>#N/A</v>
      </c>
      <c r="AR493" s="673">
        <f t="shared" si="209"/>
        <v>0</v>
      </c>
      <c r="AS493" s="673" t="e">
        <f>IF(G493="مدير ولائي",0,LOOKUP(D493,'f-travail'!A:A,'f-travail'!X:X)*(AF493+AG493))</f>
        <v>#N/A</v>
      </c>
      <c r="AT493" s="673" t="e">
        <f>IF(G493="مدير ولائي",0,LOOKUP(D493,'f-travail'!Y:Y,'f-travail'!R:R)*(AF493+AG493))</f>
        <v>#N/A</v>
      </c>
      <c r="AU493" s="673">
        <f t="shared" si="199"/>
        <v>0</v>
      </c>
      <c r="AV493" s="673">
        <f t="shared" si="200"/>
        <v>0</v>
      </c>
      <c r="AW493" s="673">
        <f t="shared" si="201"/>
        <v>0</v>
      </c>
      <c r="AY493" s="640" t="e">
        <f t="shared" si="210"/>
        <v>#N/A</v>
      </c>
      <c r="AZ493" s="673" t="e">
        <f t="shared" si="202"/>
        <v>#N/A</v>
      </c>
      <c r="BA493" s="639" t="e">
        <f t="shared" si="203"/>
        <v>#N/A</v>
      </c>
      <c r="BG493" s="639">
        <f t="shared" si="211"/>
        <v>0</v>
      </c>
      <c r="BH493" s="683">
        <f t="shared" si="212"/>
        <v>0</v>
      </c>
      <c r="BI493" s="683">
        <f t="shared" si="213"/>
        <v>0</v>
      </c>
      <c r="BJ493" s="641" t="e">
        <f t="shared" si="214"/>
        <v>#N/A</v>
      </c>
      <c r="BK493" s="641" t="e">
        <f t="shared" si="215"/>
        <v>#N/A</v>
      </c>
      <c r="BL493" s="641" t="e">
        <f t="shared" si="216"/>
        <v>#N/A</v>
      </c>
      <c r="BM493" s="684" t="e">
        <f t="shared" si="217"/>
        <v>#N/A</v>
      </c>
      <c r="BO493" s="682" t="e">
        <f>CONCATENATE(Z493," ",LOOKUP(D493,'f-travail'!A:A,'f-travail'!F:F))</f>
        <v>#N/A</v>
      </c>
      <c r="BP493" s="669" t="e">
        <f t="shared" si="204"/>
        <v>#N/A</v>
      </c>
    </row>
    <row r="494" spans="1:68">
      <c r="A494" s="636">
        <f t="shared" si="218"/>
        <v>493</v>
      </c>
      <c r="B494" s="637"/>
      <c r="C494" s="637"/>
      <c r="D494" s="652"/>
      <c r="E494" s="679" t="e">
        <f>LOOKUP(D494,'f-travail'!A:A,'f-travail'!B:B)</f>
        <v>#N/A</v>
      </c>
      <c r="F494" s="650"/>
      <c r="G494" s="650"/>
      <c r="H494" s="653"/>
      <c r="I494" s="653"/>
      <c r="J494" s="654"/>
      <c r="K494" s="650"/>
      <c r="L494" s="650"/>
      <c r="M494" s="650">
        <v>0</v>
      </c>
      <c r="N494" s="654"/>
      <c r="O494" s="654"/>
      <c r="P494" s="654"/>
      <c r="Q494" s="654"/>
      <c r="R494" s="676"/>
      <c r="S494" s="654"/>
      <c r="T494" s="675"/>
      <c r="U494" s="675"/>
      <c r="V494" s="670" t="e">
        <f>LOOKUP(D494,'f-travail'!A:A,'f-travail'!E:E)</f>
        <v>#N/A</v>
      </c>
      <c r="W494" s="670" t="e">
        <f>VLOOKUP(V494,جرقمإستدلالي,'f-travail'!$AD$4+1,FALSE)</f>
        <v>#N/A</v>
      </c>
      <c r="X494" s="671" t="e">
        <f t="shared" si="194"/>
        <v>#N/A</v>
      </c>
      <c r="Y494" s="671">
        <f>IF(G494="مدير ولائي",(HLOOKUP(I494,جدروظعليا,'f-travail'!$AT$3+1,FALSE)-3200),0)</f>
        <v>0</v>
      </c>
      <c r="Z494" s="672" t="str">
        <f t="shared" si="205"/>
        <v/>
      </c>
      <c r="AA494" s="671">
        <f t="shared" si="206"/>
        <v>0</v>
      </c>
      <c r="AB494" s="677" t="b">
        <f t="shared" si="195"/>
        <v>0</v>
      </c>
      <c r="AC494" s="678">
        <f t="shared" si="207"/>
        <v>0</v>
      </c>
      <c r="AD494" s="673"/>
      <c r="AE494" s="678">
        <f t="shared" si="196"/>
        <v>0</v>
      </c>
      <c r="AF494" s="678" t="e">
        <f t="shared" si="197"/>
        <v>#N/A</v>
      </c>
      <c r="AG494" s="678" t="e">
        <f t="shared" si="198"/>
        <v>#N/A</v>
      </c>
      <c r="AH494" s="673">
        <f t="shared" si="208"/>
        <v>0</v>
      </c>
      <c r="AI494" s="674" t="e">
        <f>IF(G494="مدير ولائي",(11000*35%),LOOKUP(D494,'f-travail'!A:A,'f-travail'!I:I))</f>
        <v>#N/A</v>
      </c>
      <c r="AJ494" s="673" t="e">
        <f>IF(G494="مدير ولائي",((W494+X494)*45)*80%,IF(V494&lt;8,0,IF(F494="إليزي",(LOOKUP(D494,'f-travail'!A:A,'f-travail'!O:O))*(AF494+AG494),LOOKUP(D494,'f-travail'!A:A,'f-travail'!P:P)*(AF494+AG494))))</f>
        <v>#N/A</v>
      </c>
      <c r="AK494" s="673" t="e">
        <f>IF(G494="مدير ولائي",0,LOOKUP(D494,'f-travail'!A:A,'f-travail'!Q:Q))</f>
        <v>#N/A</v>
      </c>
      <c r="AL494" s="673" t="e">
        <f>IF(G494="مدير ولائي",0,LOOKUP(D494,'f-travail'!A:A,'f-travail'!R:R)*(AF494+AG494))</f>
        <v>#N/A</v>
      </c>
      <c r="AM494" s="673" t="e">
        <f>IF(G494="مدير ولائي",0,LOOKUP(D494,'f-travail'!A:A,'f-travail'!S:S)*(AF494+AG494))</f>
        <v>#N/A</v>
      </c>
      <c r="AN494" s="673" t="e">
        <f>IF(G494="مدير ولائي",0,LOOKUP(D494,'f-travail'!A:A,'f-travail'!T:T)*(AF494+AG494))</f>
        <v>#N/A</v>
      </c>
      <c r="AO494" s="673" t="e">
        <f>IF(G494="مدير ولائي",0,LOOKUP(D494,'f-travail'!A:A,'f-travail'!U:U)*(AF494+AG494))</f>
        <v>#N/A</v>
      </c>
      <c r="AP494" s="673" t="e">
        <f>IF(G494="مدير ولائي",0,LOOKUP(D494,'f-travail'!A:A,'f-travail'!V:V)*(AF494+AG494))</f>
        <v>#N/A</v>
      </c>
      <c r="AQ494" s="673" t="e">
        <f>IF(G494="مدير ولائي",0,LOOKUP(D494,'f-travail'!A:A,'f-travail'!W:W)*(AF494+AG494))</f>
        <v>#N/A</v>
      </c>
      <c r="AR494" s="673">
        <f t="shared" si="209"/>
        <v>0</v>
      </c>
      <c r="AS494" s="673" t="e">
        <f>IF(G494="مدير ولائي",0,LOOKUP(D494,'f-travail'!A:A,'f-travail'!X:X)*(AF494+AG494))</f>
        <v>#N/A</v>
      </c>
      <c r="AT494" s="673" t="e">
        <f>IF(G494="مدير ولائي",0,LOOKUP(D494,'f-travail'!Y:Y,'f-travail'!R:R)*(AF494+AG494))</f>
        <v>#N/A</v>
      </c>
      <c r="AU494" s="673">
        <f t="shared" si="199"/>
        <v>0</v>
      </c>
      <c r="AV494" s="673">
        <f t="shared" si="200"/>
        <v>0</v>
      </c>
      <c r="AW494" s="673">
        <f t="shared" si="201"/>
        <v>0</v>
      </c>
      <c r="AY494" s="640" t="e">
        <f t="shared" si="210"/>
        <v>#N/A</v>
      </c>
      <c r="AZ494" s="673" t="e">
        <f t="shared" si="202"/>
        <v>#N/A</v>
      </c>
      <c r="BA494" s="639" t="e">
        <f t="shared" si="203"/>
        <v>#N/A</v>
      </c>
      <c r="BG494" s="639">
        <f t="shared" si="211"/>
        <v>0</v>
      </c>
      <c r="BH494" s="683">
        <f t="shared" si="212"/>
        <v>0</v>
      </c>
      <c r="BI494" s="683">
        <f t="shared" si="213"/>
        <v>0</v>
      </c>
      <c r="BJ494" s="641" t="e">
        <f t="shared" si="214"/>
        <v>#N/A</v>
      </c>
      <c r="BK494" s="641" t="e">
        <f t="shared" si="215"/>
        <v>#N/A</v>
      </c>
      <c r="BL494" s="641" t="e">
        <f t="shared" si="216"/>
        <v>#N/A</v>
      </c>
      <c r="BM494" s="684" t="e">
        <f t="shared" si="217"/>
        <v>#N/A</v>
      </c>
      <c r="BO494" s="682" t="e">
        <f>CONCATENATE(Z494," ",LOOKUP(D494,'f-travail'!A:A,'f-travail'!F:F))</f>
        <v>#N/A</v>
      </c>
      <c r="BP494" s="669" t="e">
        <f t="shared" si="204"/>
        <v>#N/A</v>
      </c>
    </row>
    <row r="495" spans="1:68">
      <c r="A495" s="636">
        <f t="shared" si="218"/>
        <v>494</v>
      </c>
      <c r="B495" s="637"/>
      <c r="C495" s="637"/>
      <c r="D495" s="652"/>
      <c r="E495" s="679" t="e">
        <f>LOOKUP(D495,'f-travail'!A:A,'f-travail'!B:B)</f>
        <v>#N/A</v>
      </c>
      <c r="F495" s="650"/>
      <c r="G495" s="650"/>
      <c r="H495" s="653"/>
      <c r="I495" s="653"/>
      <c r="J495" s="654"/>
      <c r="K495" s="650"/>
      <c r="L495" s="650"/>
      <c r="M495" s="650">
        <v>0</v>
      </c>
      <c r="N495" s="654"/>
      <c r="O495" s="654"/>
      <c r="P495" s="654"/>
      <c r="Q495" s="654"/>
      <c r="R495" s="676"/>
      <c r="S495" s="654"/>
      <c r="T495" s="675"/>
      <c r="U495" s="675"/>
      <c r="V495" s="670" t="e">
        <f>LOOKUP(D495,'f-travail'!A:A,'f-travail'!E:E)</f>
        <v>#N/A</v>
      </c>
      <c r="W495" s="670" t="e">
        <f>VLOOKUP(V495,جرقمإستدلالي,'f-travail'!$AD$4+1,FALSE)</f>
        <v>#N/A</v>
      </c>
      <c r="X495" s="671" t="e">
        <f t="shared" si="194"/>
        <v>#N/A</v>
      </c>
      <c r="Y495" s="671">
        <f>IF(G495="مدير ولائي",(HLOOKUP(I495,جدروظعليا,'f-travail'!$AT$3+1,FALSE)-3200),0)</f>
        <v>0</v>
      </c>
      <c r="Z495" s="672" t="str">
        <f t="shared" si="205"/>
        <v/>
      </c>
      <c r="AA495" s="671">
        <f t="shared" si="206"/>
        <v>0</v>
      </c>
      <c r="AB495" s="677" t="b">
        <f t="shared" si="195"/>
        <v>0</v>
      </c>
      <c r="AC495" s="678">
        <f t="shared" si="207"/>
        <v>0</v>
      </c>
      <c r="AD495" s="673"/>
      <c r="AE495" s="678">
        <f t="shared" si="196"/>
        <v>0</v>
      </c>
      <c r="AF495" s="678" t="e">
        <f t="shared" si="197"/>
        <v>#N/A</v>
      </c>
      <c r="AG495" s="678" t="e">
        <f t="shared" si="198"/>
        <v>#N/A</v>
      </c>
      <c r="AH495" s="673">
        <f t="shared" si="208"/>
        <v>0</v>
      </c>
      <c r="AI495" s="674" t="e">
        <f>IF(G495="مدير ولائي",(11000*35%),LOOKUP(D495,'f-travail'!A:A,'f-travail'!I:I))</f>
        <v>#N/A</v>
      </c>
      <c r="AJ495" s="673" t="e">
        <f>IF(G495="مدير ولائي",((W495+X495)*45)*80%,IF(V495&lt;8,0,IF(F495="إليزي",(LOOKUP(D495,'f-travail'!A:A,'f-travail'!O:O))*(AF495+AG495),LOOKUP(D495,'f-travail'!A:A,'f-travail'!P:P)*(AF495+AG495))))</f>
        <v>#N/A</v>
      </c>
      <c r="AK495" s="673" t="e">
        <f>IF(G495="مدير ولائي",0,LOOKUP(D495,'f-travail'!A:A,'f-travail'!Q:Q))</f>
        <v>#N/A</v>
      </c>
      <c r="AL495" s="673" t="e">
        <f>IF(G495="مدير ولائي",0,LOOKUP(D495,'f-travail'!A:A,'f-travail'!R:R)*(AF495+AG495))</f>
        <v>#N/A</v>
      </c>
      <c r="AM495" s="673" t="e">
        <f>IF(G495="مدير ولائي",0,LOOKUP(D495,'f-travail'!A:A,'f-travail'!S:S)*(AF495+AG495))</f>
        <v>#N/A</v>
      </c>
      <c r="AN495" s="673" t="e">
        <f>IF(G495="مدير ولائي",0,LOOKUP(D495,'f-travail'!A:A,'f-travail'!T:T)*(AF495+AG495))</f>
        <v>#N/A</v>
      </c>
      <c r="AO495" s="673" t="e">
        <f>IF(G495="مدير ولائي",0,LOOKUP(D495,'f-travail'!A:A,'f-travail'!U:U)*(AF495+AG495))</f>
        <v>#N/A</v>
      </c>
      <c r="AP495" s="673" t="e">
        <f>IF(G495="مدير ولائي",0,LOOKUP(D495,'f-travail'!A:A,'f-travail'!V:V)*(AF495+AG495))</f>
        <v>#N/A</v>
      </c>
      <c r="AQ495" s="673" t="e">
        <f>IF(G495="مدير ولائي",0,LOOKUP(D495,'f-travail'!A:A,'f-travail'!W:W)*(AF495+AG495))</f>
        <v>#N/A</v>
      </c>
      <c r="AR495" s="673">
        <f t="shared" si="209"/>
        <v>0</v>
      </c>
      <c r="AS495" s="673" t="e">
        <f>IF(G495="مدير ولائي",0,LOOKUP(D495,'f-travail'!A:A,'f-travail'!X:X)*(AF495+AG495))</f>
        <v>#N/A</v>
      </c>
      <c r="AT495" s="673" t="e">
        <f>IF(G495="مدير ولائي",0,LOOKUP(D495,'f-travail'!Y:Y,'f-travail'!R:R)*(AF495+AG495))</f>
        <v>#N/A</v>
      </c>
      <c r="AU495" s="673">
        <f t="shared" si="199"/>
        <v>0</v>
      </c>
      <c r="AV495" s="673">
        <f t="shared" si="200"/>
        <v>0</v>
      </c>
      <c r="AW495" s="673">
        <f t="shared" si="201"/>
        <v>0</v>
      </c>
      <c r="AY495" s="640" t="e">
        <f t="shared" si="210"/>
        <v>#N/A</v>
      </c>
      <c r="AZ495" s="673" t="e">
        <f t="shared" si="202"/>
        <v>#N/A</v>
      </c>
      <c r="BA495" s="639" t="e">
        <f t="shared" si="203"/>
        <v>#N/A</v>
      </c>
      <c r="BG495" s="639">
        <f t="shared" si="211"/>
        <v>0</v>
      </c>
      <c r="BH495" s="683">
        <f t="shared" si="212"/>
        <v>0</v>
      </c>
      <c r="BI495" s="683">
        <f t="shared" si="213"/>
        <v>0</v>
      </c>
      <c r="BJ495" s="641" t="e">
        <f t="shared" si="214"/>
        <v>#N/A</v>
      </c>
      <c r="BK495" s="641" t="e">
        <f t="shared" si="215"/>
        <v>#N/A</v>
      </c>
      <c r="BL495" s="641" t="e">
        <f t="shared" si="216"/>
        <v>#N/A</v>
      </c>
      <c r="BM495" s="684" t="e">
        <f t="shared" si="217"/>
        <v>#N/A</v>
      </c>
      <c r="BO495" s="682" t="e">
        <f>CONCATENATE(Z495," ",LOOKUP(D495,'f-travail'!A:A,'f-travail'!F:F))</f>
        <v>#N/A</v>
      </c>
      <c r="BP495" s="669" t="e">
        <f t="shared" si="204"/>
        <v>#N/A</v>
      </c>
    </row>
    <row r="496" spans="1:68">
      <c r="A496" s="636">
        <f t="shared" si="218"/>
        <v>495</v>
      </c>
      <c r="B496" s="637"/>
      <c r="C496" s="637"/>
      <c r="D496" s="652"/>
      <c r="E496" s="679" t="e">
        <f>LOOKUP(D496,'f-travail'!A:A,'f-travail'!B:B)</f>
        <v>#N/A</v>
      </c>
      <c r="F496" s="650"/>
      <c r="G496" s="650"/>
      <c r="H496" s="653"/>
      <c r="I496" s="653"/>
      <c r="J496" s="654"/>
      <c r="K496" s="650"/>
      <c r="L496" s="650"/>
      <c r="M496" s="650">
        <v>0</v>
      </c>
      <c r="N496" s="654"/>
      <c r="O496" s="654"/>
      <c r="P496" s="654"/>
      <c r="Q496" s="654"/>
      <c r="R496" s="676"/>
      <c r="S496" s="654"/>
      <c r="T496" s="675"/>
      <c r="U496" s="675"/>
      <c r="V496" s="670" t="e">
        <f>LOOKUP(D496,'f-travail'!A:A,'f-travail'!E:E)</f>
        <v>#N/A</v>
      </c>
      <c r="W496" s="670" t="e">
        <f>VLOOKUP(V496,جرقمإستدلالي,'f-travail'!$AD$4+1,FALSE)</f>
        <v>#N/A</v>
      </c>
      <c r="X496" s="671" t="e">
        <f t="shared" si="194"/>
        <v>#N/A</v>
      </c>
      <c r="Y496" s="671">
        <f>IF(G496="مدير ولائي",(HLOOKUP(I496,جدروظعليا,'f-travail'!$AT$3+1,FALSE)-3200),0)</f>
        <v>0</v>
      </c>
      <c r="Z496" s="672" t="str">
        <f t="shared" si="205"/>
        <v/>
      </c>
      <c r="AA496" s="671">
        <f t="shared" si="206"/>
        <v>0</v>
      </c>
      <c r="AB496" s="677" t="b">
        <f t="shared" si="195"/>
        <v>0</v>
      </c>
      <c r="AC496" s="678">
        <f t="shared" si="207"/>
        <v>0</v>
      </c>
      <c r="AD496" s="673"/>
      <c r="AE496" s="678">
        <f t="shared" si="196"/>
        <v>0</v>
      </c>
      <c r="AF496" s="678" t="e">
        <f t="shared" si="197"/>
        <v>#N/A</v>
      </c>
      <c r="AG496" s="678" t="e">
        <f t="shared" si="198"/>
        <v>#N/A</v>
      </c>
      <c r="AH496" s="673">
        <f t="shared" si="208"/>
        <v>0</v>
      </c>
      <c r="AI496" s="674" t="e">
        <f>IF(G496="مدير ولائي",(11000*35%),LOOKUP(D496,'f-travail'!A:A,'f-travail'!I:I))</f>
        <v>#N/A</v>
      </c>
      <c r="AJ496" s="673" t="e">
        <f>IF(G496="مدير ولائي",((W496+X496)*45)*80%,IF(V496&lt;8,0,IF(F496="إليزي",(LOOKUP(D496,'f-travail'!A:A,'f-travail'!O:O))*(AF496+AG496),LOOKUP(D496,'f-travail'!A:A,'f-travail'!P:P)*(AF496+AG496))))</f>
        <v>#N/A</v>
      </c>
      <c r="AK496" s="673" t="e">
        <f>IF(G496="مدير ولائي",0,LOOKUP(D496,'f-travail'!A:A,'f-travail'!Q:Q))</f>
        <v>#N/A</v>
      </c>
      <c r="AL496" s="673" t="e">
        <f>IF(G496="مدير ولائي",0,LOOKUP(D496,'f-travail'!A:A,'f-travail'!R:R)*(AF496+AG496))</f>
        <v>#N/A</v>
      </c>
      <c r="AM496" s="673" t="e">
        <f>IF(G496="مدير ولائي",0,LOOKUP(D496,'f-travail'!A:A,'f-travail'!S:S)*(AF496+AG496))</f>
        <v>#N/A</v>
      </c>
      <c r="AN496" s="673" t="e">
        <f>IF(G496="مدير ولائي",0,LOOKUP(D496,'f-travail'!A:A,'f-travail'!T:T)*(AF496+AG496))</f>
        <v>#N/A</v>
      </c>
      <c r="AO496" s="673" t="e">
        <f>IF(G496="مدير ولائي",0,LOOKUP(D496,'f-travail'!A:A,'f-travail'!U:U)*(AF496+AG496))</f>
        <v>#N/A</v>
      </c>
      <c r="AP496" s="673" t="e">
        <f>IF(G496="مدير ولائي",0,LOOKUP(D496,'f-travail'!A:A,'f-travail'!V:V)*(AF496+AG496))</f>
        <v>#N/A</v>
      </c>
      <c r="AQ496" s="673" t="e">
        <f>IF(G496="مدير ولائي",0,LOOKUP(D496,'f-travail'!A:A,'f-travail'!W:W)*(AF496+AG496))</f>
        <v>#N/A</v>
      </c>
      <c r="AR496" s="673">
        <f t="shared" si="209"/>
        <v>0</v>
      </c>
      <c r="AS496" s="673" t="e">
        <f>IF(G496="مدير ولائي",0,LOOKUP(D496,'f-travail'!A:A,'f-travail'!X:X)*(AF496+AG496))</f>
        <v>#N/A</v>
      </c>
      <c r="AT496" s="673" t="e">
        <f>IF(G496="مدير ولائي",0,LOOKUP(D496,'f-travail'!Y:Y,'f-travail'!R:R)*(AF496+AG496))</f>
        <v>#N/A</v>
      </c>
      <c r="AU496" s="673">
        <f t="shared" si="199"/>
        <v>0</v>
      </c>
      <c r="AV496" s="673">
        <f t="shared" si="200"/>
        <v>0</v>
      </c>
      <c r="AW496" s="673">
        <f t="shared" si="201"/>
        <v>0</v>
      </c>
      <c r="AY496" s="640" t="e">
        <f t="shared" si="210"/>
        <v>#N/A</v>
      </c>
      <c r="AZ496" s="673" t="e">
        <f t="shared" si="202"/>
        <v>#N/A</v>
      </c>
      <c r="BA496" s="639" t="e">
        <f t="shared" si="203"/>
        <v>#N/A</v>
      </c>
      <c r="BG496" s="639">
        <f t="shared" si="211"/>
        <v>0</v>
      </c>
      <c r="BH496" s="683">
        <f t="shared" si="212"/>
        <v>0</v>
      </c>
      <c r="BI496" s="683">
        <f t="shared" si="213"/>
        <v>0</v>
      </c>
      <c r="BJ496" s="641" t="e">
        <f t="shared" si="214"/>
        <v>#N/A</v>
      </c>
      <c r="BK496" s="641" t="e">
        <f t="shared" si="215"/>
        <v>#N/A</v>
      </c>
      <c r="BL496" s="641" t="e">
        <f t="shared" si="216"/>
        <v>#N/A</v>
      </c>
      <c r="BM496" s="684" t="e">
        <f t="shared" si="217"/>
        <v>#N/A</v>
      </c>
      <c r="BO496" s="682" t="e">
        <f>CONCATENATE(Z496," ",LOOKUP(D496,'f-travail'!A:A,'f-travail'!F:F))</f>
        <v>#N/A</v>
      </c>
      <c r="BP496" s="669" t="e">
        <f t="shared" si="204"/>
        <v>#N/A</v>
      </c>
    </row>
    <row r="497" spans="1:68">
      <c r="A497" s="636">
        <f t="shared" si="218"/>
        <v>496</v>
      </c>
      <c r="B497" s="637"/>
      <c r="C497" s="637"/>
      <c r="D497" s="652"/>
      <c r="E497" s="679" t="e">
        <f>LOOKUP(D497,'f-travail'!A:A,'f-travail'!B:B)</f>
        <v>#N/A</v>
      </c>
      <c r="F497" s="650"/>
      <c r="G497" s="650"/>
      <c r="H497" s="653"/>
      <c r="I497" s="653"/>
      <c r="J497" s="654"/>
      <c r="K497" s="650"/>
      <c r="L497" s="650"/>
      <c r="M497" s="650">
        <v>0</v>
      </c>
      <c r="N497" s="654"/>
      <c r="O497" s="654"/>
      <c r="P497" s="654"/>
      <c r="Q497" s="654"/>
      <c r="R497" s="676"/>
      <c r="S497" s="654"/>
      <c r="T497" s="675"/>
      <c r="U497" s="675"/>
      <c r="V497" s="670" t="e">
        <f>LOOKUP(D497,'f-travail'!A:A,'f-travail'!E:E)</f>
        <v>#N/A</v>
      </c>
      <c r="W497" s="670" t="e">
        <f>VLOOKUP(V497,جرقمإستدلالي,'f-travail'!$AD$4+1,FALSE)</f>
        <v>#N/A</v>
      </c>
      <c r="X497" s="671" t="e">
        <f t="shared" si="194"/>
        <v>#N/A</v>
      </c>
      <c r="Y497" s="671">
        <f>IF(G497="مدير ولائي",(HLOOKUP(I497,جدروظعليا,'f-travail'!$AT$3+1,FALSE)-3200),0)</f>
        <v>0</v>
      </c>
      <c r="Z497" s="672" t="str">
        <f t="shared" si="205"/>
        <v/>
      </c>
      <c r="AA497" s="671">
        <f t="shared" si="206"/>
        <v>0</v>
      </c>
      <c r="AB497" s="677" t="b">
        <f t="shared" si="195"/>
        <v>0</v>
      </c>
      <c r="AC497" s="678">
        <f t="shared" si="207"/>
        <v>0</v>
      </c>
      <c r="AD497" s="673"/>
      <c r="AE497" s="678">
        <f t="shared" si="196"/>
        <v>0</v>
      </c>
      <c r="AF497" s="678" t="e">
        <f t="shared" si="197"/>
        <v>#N/A</v>
      </c>
      <c r="AG497" s="678" t="e">
        <f t="shared" si="198"/>
        <v>#N/A</v>
      </c>
      <c r="AH497" s="673">
        <f t="shared" si="208"/>
        <v>0</v>
      </c>
      <c r="AI497" s="674" t="e">
        <f>IF(G497="مدير ولائي",(11000*35%),LOOKUP(D497,'f-travail'!A:A,'f-travail'!I:I))</f>
        <v>#N/A</v>
      </c>
      <c r="AJ497" s="673" t="e">
        <f>IF(G497="مدير ولائي",((W497+X497)*45)*80%,IF(V497&lt;8,0,IF(F497="إليزي",(LOOKUP(D497,'f-travail'!A:A,'f-travail'!O:O))*(AF497+AG497),LOOKUP(D497,'f-travail'!A:A,'f-travail'!P:P)*(AF497+AG497))))</f>
        <v>#N/A</v>
      </c>
      <c r="AK497" s="673" t="e">
        <f>IF(G497="مدير ولائي",0,LOOKUP(D497,'f-travail'!A:A,'f-travail'!Q:Q))</f>
        <v>#N/A</v>
      </c>
      <c r="AL497" s="673" t="e">
        <f>IF(G497="مدير ولائي",0,LOOKUP(D497,'f-travail'!A:A,'f-travail'!R:R)*(AF497+AG497))</f>
        <v>#N/A</v>
      </c>
      <c r="AM497" s="673" t="e">
        <f>IF(G497="مدير ولائي",0,LOOKUP(D497,'f-travail'!A:A,'f-travail'!S:S)*(AF497+AG497))</f>
        <v>#N/A</v>
      </c>
      <c r="AN497" s="673" t="e">
        <f>IF(G497="مدير ولائي",0,LOOKUP(D497,'f-travail'!A:A,'f-travail'!T:T)*(AF497+AG497))</f>
        <v>#N/A</v>
      </c>
      <c r="AO497" s="673" t="e">
        <f>IF(G497="مدير ولائي",0,LOOKUP(D497,'f-travail'!A:A,'f-travail'!U:U)*(AF497+AG497))</f>
        <v>#N/A</v>
      </c>
      <c r="AP497" s="673" t="e">
        <f>IF(G497="مدير ولائي",0,LOOKUP(D497,'f-travail'!A:A,'f-travail'!V:V)*(AF497+AG497))</f>
        <v>#N/A</v>
      </c>
      <c r="AQ497" s="673" t="e">
        <f>IF(G497="مدير ولائي",0,LOOKUP(D497,'f-travail'!A:A,'f-travail'!W:W)*(AF497+AG497))</f>
        <v>#N/A</v>
      </c>
      <c r="AR497" s="673">
        <f t="shared" si="209"/>
        <v>0</v>
      </c>
      <c r="AS497" s="673" t="e">
        <f>IF(G497="مدير ولائي",0,LOOKUP(D497,'f-travail'!A:A,'f-travail'!X:X)*(AF497+AG497))</f>
        <v>#N/A</v>
      </c>
      <c r="AT497" s="673" t="e">
        <f>IF(G497="مدير ولائي",0,LOOKUP(D497,'f-travail'!Y:Y,'f-travail'!R:R)*(AF497+AG497))</f>
        <v>#N/A</v>
      </c>
      <c r="AU497" s="673">
        <f t="shared" si="199"/>
        <v>0</v>
      </c>
      <c r="AV497" s="673">
        <f t="shared" si="200"/>
        <v>0</v>
      </c>
      <c r="AW497" s="673">
        <f t="shared" si="201"/>
        <v>0</v>
      </c>
      <c r="AY497" s="640" t="e">
        <f t="shared" si="210"/>
        <v>#N/A</v>
      </c>
      <c r="AZ497" s="673" t="e">
        <f t="shared" si="202"/>
        <v>#N/A</v>
      </c>
      <c r="BA497" s="639" t="e">
        <f t="shared" si="203"/>
        <v>#N/A</v>
      </c>
      <c r="BG497" s="639">
        <f t="shared" si="211"/>
        <v>0</v>
      </c>
      <c r="BH497" s="683">
        <f t="shared" si="212"/>
        <v>0</v>
      </c>
      <c r="BI497" s="683">
        <f t="shared" si="213"/>
        <v>0</v>
      </c>
      <c r="BJ497" s="641" t="e">
        <f t="shared" si="214"/>
        <v>#N/A</v>
      </c>
      <c r="BK497" s="641" t="e">
        <f t="shared" si="215"/>
        <v>#N/A</v>
      </c>
      <c r="BL497" s="641" t="e">
        <f t="shared" si="216"/>
        <v>#N/A</v>
      </c>
      <c r="BM497" s="684" t="e">
        <f t="shared" si="217"/>
        <v>#N/A</v>
      </c>
      <c r="BO497" s="682" t="e">
        <f>CONCATENATE(Z497," ",LOOKUP(D497,'f-travail'!A:A,'f-travail'!F:F))</f>
        <v>#N/A</v>
      </c>
      <c r="BP497" s="669" t="e">
        <f t="shared" si="204"/>
        <v>#N/A</v>
      </c>
    </row>
    <row r="498" spans="1:68">
      <c r="A498" s="636">
        <f t="shared" si="218"/>
        <v>497</v>
      </c>
      <c r="B498" s="637"/>
      <c r="C498" s="637"/>
      <c r="D498" s="652"/>
      <c r="E498" s="679" t="e">
        <f>LOOKUP(D498,'f-travail'!A:A,'f-travail'!B:B)</f>
        <v>#N/A</v>
      </c>
      <c r="F498" s="650"/>
      <c r="G498" s="650"/>
      <c r="H498" s="653"/>
      <c r="I498" s="653"/>
      <c r="J498" s="654"/>
      <c r="K498" s="650"/>
      <c r="L498" s="650"/>
      <c r="M498" s="650">
        <v>0</v>
      </c>
      <c r="N498" s="654"/>
      <c r="O498" s="654"/>
      <c r="P498" s="654"/>
      <c r="Q498" s="654"/>
      <c r="R498" s="676"/>
      <c r="S498" s="654"/>
      <c r="T498" s="675"/>
      <c r="U498" s="675"/>
      <c r="V498" s="670" t="e">
        <f>LOOKUP(D498,'f-travail'!A:A,'f-travail'!E:E)</f>
        <v>#N/A</v>
      </c>
      <c r="W498" s="670" t="e">
        <f>VLOOKUP(V498,جرقمإستدلالي,'f-travail'!$AD$4+1,FALSE)</f>
        <v>#N/A</v>
      </c>
      <c r="X498" s="671" t="e">
        <f t="shared" si="194"/>
        <v>#N/A</v>
      </c>
      <c r="Y498" s="671">
        <f>IF(G498="مدير ولائي",(HLOOKUP(I498,جدروظعليا,'f-travail'!$AT$3+1,FALSE)-3200),0)</f>
        <v>0</v>
      </c>
      <c r="Z498" s="672" t="str">
        <f t="shared" si="205"/>
        <v/>
      </c>
      <c r="AA498" s="671">
        <f t="shared" si="206"/>
        <v>0</v>
      </c>
      <c r="AB498" s="677" t="b">
        <f t="shared" si="195"/>
        <v>0</v>
      </c>
      <c r="AC498" s="678">
        <f t="shared" si="207"/>
        <v>0</v>
      </c>
      <c r="AD498" s="673"/>
      <c r="AE498" s="678">
        <f t="shared" si="196"/>
        <v>0</v>
      </c>
      <c r="AF498" s="678" t="e">
        <f t="shared" si="197"/>
        <v>#N/A</v>
      </c>
      <c r="AG498" s="678" t="e">
        <f t="shared" si="198"/>
        <v>#N/A</v>
      </c>
      <c r="AH498" s="673">
        <f t="shared" si="208"/>
        <v>0</v>
      </c>
      <c r="AI498" s="674" t="e">
        <f>IF(G498="مدير ولائي",(11000*35%),LOOKUP(D498,'f-travail'!A:A,'f-travail'!I:I))</f>
        <v>#N/A</v>
      </c>
      <c r="AJ498" s="673" t="e">
        <f>IF(G498="مدير ولائي",((W498+X498)*45)*80%,IF(V498&lt;8,0,IF(F498="إليزي",(LOOKUP(D498,'f-travail'!A:A,'f-travail'!O:O))*(AF498+AG498),LOOKUP(D498,'f-travail'!A:A,'f-travail'!P:P)*(AF498+AG498))))</f>
        <v>#N/A</v>
      </c>
      <c r="AK498" s="673" t="e">
        <f>IF(G498="مدير ولائي",0,LOOKUP(D498,'f-travail'!A:A,'f-travail'!Q:Q))</f>
        <v>#N/A</v>
      </c>
      <c r="AL498" s="673" t="e">
        <f>IF(G498="مدير ولائي",0,LOOKUP(D498,'f-travail'!A:A,'f-travail'!R:R)*(AF498+AG498))</f>
        <v>#N/A</v>
      </c>
      <c r="AM498" s="673" t="e">
        <f>IF(G498="مدير ولائي",0,LOOKUP(D498,'f-travail'!A:A,'f-travail'!S:S)*(AF498+AG498))</f>
        <v>#N/A</v>
      </c>
      <c r="AN498" s="673" t="e">
        <f>IF(G498="مدير ولائي",0,LOOKUP(D498,'f-travail'!A:A,'f-travail'!T:T)*(AF498+AG498))</f>
        <v>#N/A</v>
      </c>
      <c r="AO498" s="673" t="e">
        <f>IF(G498="مدير ولائي",0,LOOKUP(D498,'f-travail'!A:A,'f-travail'!U:U)*(AF498+AG498))</f>
        <v>#N/A</v>
      </c>
      <c r="AP498" s="673" t="e">
        <f>IF(G498="مدير ولائي",0,LOOKUP(D498,'f-travail'!A:A,'f-travail'!V:V)*(AF498+AG498))</f>
        <v>#N/A</v>
      </c>
      <c r="AQ498" s="673" t="e">
        <f>IF(G498="مدير ولائي",0,LOOKUP(D498,'f-travail'!A:A,'f-travail'!W:W)*(AF498+AG498))</f>
        <v>#N/A</v>
      </c>
      <c r="AR498" s="673">
        <f t="shared" si="209"/>
        <v>0</v>
      </c>
      <c r="AS498" s="673" t="e">
        <f>IF(G498="مدير ولائي",0,LOOKUP(D498,'f-travail'!A:A,'f-travail'!X:X)*(AF498+AG498))</f>
        <v>#N/A</v>
      </c>
      <c r="AT498" s="673" t="e">
        <f>IF(G498="مدير ولائي",0,LOOKUP(D498,'f-travail'!Y:Y,'f-travail'!R:R)*(AF498+AG498))</f>
        <v>#N/A</v>
      </c>
      <c r="AU498" s="673">
        <f t="shared" si="199"/>
        <v>0</v>
      </c>
      <c r="AV498" s="673">
        <f t="shared" si="200"/>
        <v>0</v>
      </c>
      <c r="AW498" s="673">
        <f t="shared" si="201"/>
        <v>0</v>
      </c>
      <c r="AY498" s="640" t="e">
        <f t="shared" si="210"/>
        <v>#N/A</v>
      </c>
      <c r="AZ498" s="673" t="e">
        <f t="shared" si="202"/>
        <v>#N/A</v>
      </c>
      <c r="BA498" s="639" t="e">
        <f t="shared" si="203"/>
        <v>#N/A</v>
      </c>
      <c r="BG498" s="639">
        <f t="shared" si="211"/>
        <v>0</v>
      </c>
      <c r="BH498" s="683">
        <f t="shared" si="212"/>
        <v>0</v>
      </c>
      <c r="BI498" s="683">
        <f t="shared" si="213"/>
        <v>0</v>
      </c>
      <c r="BJ498" s="641" t="e">
        <f t="shared" si="214"/>
        <v>#N/A</v>
      </c>
      <c r="BK498" s="641" t="e">
        <f t="shared" si="215"/>
        <v>#N/A</v>
      </c>
      <c r="BL498" s="641" t="e">
        <f t="shared" si="216"/>
        <v>#N/A</v>
      </c>
      <c r="BM498" s="684" t="e">
        <f t="shared" si="217"/>
        <v>#N/A</v>
      </c>
      <c r="BO498" s="682" t="e">
        <f>CONCATENATE(Z498," ",LOOKUP(D498,'f-travail'!A:A,'f-travail'!F:F))</f>
        <v>#N/A</v>
      </c>
      <c r="BP498" s="669" t="e">
        <f t="shared" si="204"/>
        <v>#N/A</v>
      </c>
    </row>
    <row r="499" spans="1:68">
      <c r="A499" s="636">
        <f t="shared" si="218"/>
        <v>498</v>
      </c>
      <c r="B499" s="637"/>
      <c r="C499" s="637"/>
      <c r="D499" s="652"/>
      <c r="E499" s="679" t="e">
        <f>LOOKUP(D499,'f-travail'!A:A,'f-travail'!B:B)</f>
        <v>#N/A</v>
      </c>
      <c r="F499" s="650"/>
      <c r="G499" s="650"/>
      <c r="H499" s="653"/>
      <c r="I499" s="653"/>
      <c r="J499" s="654"/>
      <c r="K499" s="650"/>
      <c r="L499" s="650"/>
      <c r="M499" s="650">
        <v>0</v>
      </c>
      <c r="N499" s="654"/>
      <c r="O499" s="654"/>
      <c r="P499" s="654"/>
      <c r="Q499" s="654"/>
      <c r="R499" s="676"/>
      <c r="S499" s="654"/>
      <c r="T499" s="675"/>
      <c r="U499" s="675"/>
      <c r="V499" s="670" t="e">
        <f>LOOKUP(D499,'f-travail'!A:A,'f-travail'!E:E)</f>
        <v>#N/A</v>
      </c>
      <c r="W499" s="670" t="e">
        <f>VLOOKUP(V499,جرقمإستدلالي,'f-travail'!$AD$4+1,FALSE)</f>
        <v>#N/A</v>
      </c>
      <c r="X499" s="671" t="e">
        <f t="shared" si="194"/>
        <v>#N/A</v>
      </c>
      <c r="Y499" s="671">
        <f>IF(G499="مدير ولائي",(HLOOKUP(I499,جدروظعليا,'f-travail'!$AT$3+1,FALSE)-3200),0)</f>
        <v>0</v>
      </c>
      <c r="Z499" s="672" t="str">
        <f t="shared" si="205"/>
        <v/>
      </c>
      <c r="AA499" s="671">
        <f t="shared" si="206"/>
        <v>0</v>
      </c>
      <c r="AB499" s="677" t="b">
        <f t="shared" si="195"/>
        <v>0</v>
      </c>
      <c r="AC499" s="678">
        <f t="shared" si="207"/>
        <v>0</v>
      </c>
      <c r="AD499" s="673"/>
      <c r="AE499" s="678">
        <f t="shared" si="196"/>
        <v>0</v>
      </c>
      <c r="AF499" s="678" t="e">
        <f t="shared" si="197"/>
        <v>#N/A</v>
      </c>
      <c r="AG499" s="678" t="e">
        <f t="shared" si="198"/>
        <v>#N/A</v>
      </c>
      <c r="AH499" s="673">
        <f t="shared" si="208"/>
        <v>0</v>
      </c>
      <c r="AI499" s="674" t="e">
        <f>IF(G499="مدير ولائي",(11000*35%),LOOKUP(D499,'f-travail'!A:A,'f-travail'!I:I))</f>
        <v>#N/A</v>
      </c>
      <c r="AJ499" s="673" t="e">
        <f>IF(G499="مدير ولائي",((W499+X499)*45)*80%,IF(V499&lt;8,0,IF(F499="إليزي",(LOOKUP(D499,'f-travail'!A:A,'f-travail'!O:O))*(AF499+AG499),LOOKUP(D499,'f-travail'!A:A,'f-travail'!P:P)*(AF499+AG499))))</f>
        <v>#N/A</v>
      </c>
      <c r="AK499" s="673" t="e">
        <f>IF(G499="مدير ولائي",0,LOOKUP(D499,'f-travail'!A:A,'f-travail'!Q:Q))</f>
        <v>#N/A</v>
      </c>
      <c r="AL499" s="673" t="e">
        <f>IF(G499="مدير ولائي",0,LOOKUP(D499,'f-travail'!A:A,'f-travail'!R:R)*(AF499+AG499))</f>
        <v>#N/A</v>
      </c>
      <c r="AM499" s="673" t="e">
        <f>IF(G499="مدير ولائي",0,LOOKUP(D499,'f-travail'!A:A,'f-travail'!S:S)*(AF499+AG499))</f>
        <v>#N/A</v>
      </c>
      <c r="AN499" s="673" t="e">
        <f>IF(G499="مدير ولائي",0,LOOKUP(D499,'f-travail'!A:A,'f-travail'!T:T)*(AF499+AG499))</f>
        <v>#N/A</v>
      </c>
      <c r="AO499" s="673" t="e">
        <f>IF(G499="مدير ولائي",0,LOOKUP(D499,'f-travail'!A:A,'f-travail'!U:U)*(AF499+AG499))</f>
        <v>#N/A</v>
      </c>
      <c r="AP499" s="673" t="e">
        <f>IF(G499="مدير ولائي",0,LOOKUP(D499,'f-travail'!A:A,'f-travail'!V:V)*(AF499+AG499))</f>
        <v>#N/A</v>
      </c>
      <c r="AQ499" s="673" t="e">
        <f>IF(G499="مدير ولائي",0,LOOKUP(D499,'f-travail'!A:A,'f-travail'!W:W)*(AF499+AG499))</f>
        <v>#N/A</v>
      </c>
      <c r="AR499" s="673">
        <f t="shared" si="209"/>
        <v>0</v>
      </c>
      <c r="AS499" s="673" t="e">
        <f>IF(G499="مدير ولائي",0,LOOKUP(D499,'f-travail'!A:A,'f-travail'!X:X)*(AF499+AG499))</f>
        <v>#N/A</v>
      </c>
      <c r="AT499" s="673" t="e">
        <f>IF(G499="مدير ولائي",0,LOOKUP(D499,'f-travail'!Y:Y,'f-travail'!R:R)*(AF499+AG499))</f>
        <v>#N/A</v>
      </c>
      <c r="AU499" s="673">
        <f t="shared" si="199"/>
        <v>0</v>
      </c>
      <c r="AV499" s="673">
        <f t="shared" si="200"/>
        <v>0</v>
      </c>
      <c r="AW499" s="673">
        <f t="shared" si="201"/>
        <v>0</v>
      </c>
      <c r="AY499" s="640" t="e">
        <f t="shared" si="210"/>
        <v>#N/A</v>
      </c>
      <c r="AZ499" s="673" t="e">
        <f t="shared" si="202"/>
        <v>#N/A</v>
      </c>
      <c r="BA499" s="639" t="e">
        <f t="shared" si="203"/>
        <v>#N/A</v>
      </c>
      <c r="BG499" s="639">
        <f t="shared" si="211"/>
        <v>0</v>
      </c>
      <c r="BH499" s="683">
        <f t="shared" si="212"/>
        <v>0</v>
      </c>
      <c r="BI499" s="683">
        <f t="shared" si="213"/>
        <v>0</v>
      </c>
      <c r="BJ499" s="641" t="e">
        <f t="shared" si="214"/>
        <v>#N/A</v>
      </c>
      <c r="BK499" s="641" t="e">
        <f t="shared" si="215"/>
        <v>#N/A</v>
      </c>
      <c r="BL499" s="641" t="e">
        <f t="shared" si="216"/>
        <v>#N/A</v>
      </c>
      <c r="BM499" s="684" t="e">
        <f t="shared" si="217"/>
        <v>#N/A</v>
      </c>
      <c r="BO499" s="682" t="e">
        <f>CONCATENATE(Z499," ",LOOKUP(D499,'f-travail'!A:A,'f-travail'!F:F))</f>
        <v>#N/A</v>
      </c>
      <c r="BP499" s="669" t="e">
        <f t="shared" si="204"/>
        <v>#N/A</v>
      </c>
    </row>
  </sheetData>
  <dataValidations xWindow="468" yWindow="701" count="13">
    <dataValidation type="list" allowBlank="1" showInputMessage="1" showErrorMessage="1" error="خطأ .... هذا المنصب لا يتوفر ضمن النصوص التنظيمية للإدارة .... إختر منصب ضمن القائمة الموجودة" prompt="حدد الوظيفة او المنصب العالي للموظف" sqref="G2:G499">
      <formula1>"مدير ولائي,رئيس مصلحة,رئيس مفتشية,محافظ عقاري,رئيس مكتب,رئيس قسم,أمين صندوق,رئيس حضيرة"</formula1>
    </dataValidation>
    <dataValidation type="list" allowBlank="1" showInputMessage="1" showErrorMessage="1" error="خطأ.......هذه الدرجة غير موجودة ...... إختر رقم ضمن القائمة الموجودة" prompt="حدد درجة الموظف في الوظيفة العليا" sqref="I2:I499">
      <formula1>"1,2,3,4,5,6,7,8,9,10,11,12"</formula1>
    </dataValidation>
    <dataValidation type="list" allowBlank="1" showInputMessage="1" showErrorMessage="1" prompt="ضع عدد الأطفال الخاضعين لقانون المنح العائلية." sqref="K2:K499">
      <formula1>"0,1,2,3,4,5,6,7,8,9,10,11,12,13,14,15,16,17,18,19,20"</formula1>
    </dataValidation>
    <dataValidation type="list" allowBlank="1" showInputMessage="1" showErrorMessage="1" error="خطأ ..... لا يجب أن يفوق العدد 3 أطفال طبقا للنصوص التنظيمية المعمول بها" prompt="عدد الأطفال أكبر من 10 سنولت الخاضعين لقانون المنح العائلية." sqref="L2:L499">
      <formula1>"1,2,3"</formula1>
    </dataValidation>
    <dataValidation type="whole" allowBlank="1" showInputMessage="1" showErrorMessage="1" error="خطأ ..... ضع 1 بالنسبة للمستفيد من المنحة ....أو ضع الرقم 2 بالنسبة للغير مستفيد منها." prompt="منحة السكن :&#10;- ضع الرقم 1 بالنسبة للمستفيد من المنحة.&#10;- ضع الرقم 0 بالنسبة للموظف الغير مستفيد منها.&#10;- أصناف الموظفين من 7 فما أقل لا تستفيد منها طبقا للقانون." sqref="M2:M499">
      <formula1>0</formula1>
      <formula2>1</formula2>
    </dataValidation>
    <dataValidation type="whole" operator="equal" allowBlank="1" showInputMessage="1" showErrorMessage="1" error="خطأ .... مبلغ التعويض يجب أن يكون 8000 دج طبقا للمرسوم التنفيذي رقم 03-178 المؤرخ في 15 أفريل 2003" prompt="تعويض خاص بالمدراء لإستعمال السيارة الخاصة لصالح المصلحة طبقا للمرسوم التنفيذي رقم 03-178 المؤرخ في 15 أفريل 2003" sqref="N2:N499">
      <formula1>8000</formula1>
    </dataValidation>
    <dataValidation type="list" allowBlank="1" showInputMessage="1" showErrorMessage="1" error="خطأ ..... لاتوجد هذه القيمة ...إختر إحدى القيمتين من القائمة." prompt="خلية خاص بالمدير إقتطاع لإستعمال السيارة الخاصة لصالح المصلحة.&#10;- ضع 0 إذا لم يستفد من القرض أو إنتهاء القرض.&#10;- ضع 1 إذا كان مستفيد من قرض السيارة وما زال يسدد في القيمة." sqref="O2:O499">
      <formula1>"0,1"</formula1>
    </dataValidation>
    <dataValidation type="list" allowBlank="1" showInputMessage="1" showErrorMessage="1" error="خطأ ..... لاتوجد هذه القيمة ...إختر إحدى القيمتين من القائمة." prompt="خلية خاص بإشتراك الموظف في التعاضدية:&#10;- ضع 0 إذا غير مشترك.&#10;- ضع 1 إذا مشترك." sqref="P2:P499">
      <formula1>"0,1"</formula1>
    </dataValidation>
    <dataValidation type="list" allowBlank="1" showInputMessage="1" showErrorMessage="1" error="خطأ.......هذه الدرجة غير موجودة ...... إختر رقم ضمن القائمة الموجودة" prompt="حدد درجة الموظف في الرتبة" sqref="H2:H499">
      <formula1>"0,1,2,3,4,5,6,7,8,9,10,11,12"</formula1>
    </dataValidation>
    <dataValidation type="list" allowBlank="1" showInputMessage="1" showErrorMessage="1" error="خطأ ....... لا توجد هذه الحالة ..... إختر واحدة ضمن القائمة ." prompt="حدد الحالة العائلية للموظف" sqref="J2:J499">
      <formula1>"عازب(ة),عازب(ة)كفيل,متزوج(ة),متزوج(ة)ماكثة,متزوج(ة)عاملة, مطلق(ة)"</formula1>
    </dataValidation>
    <dataValidation type="list" allowBlank="1" showInputMessage="1" showErrorMessage="1" error="هذه المنطقة غير موجودة ضمن الحدود الجغرافية للولاية المعنية ..... أعد الكرة مرة أخرى ثم إختر منطقة ضمن القائمة الموجودة" prompt="حدد نطاق عمل الموظف لتحديد نسبة علاوة المنصب" sqref="F2:F499">
      <formula1>"إليزي, جانت , إن أمناس"</formula1>
    </dataValidation>
    <dataValidation type="list" allowBlank="1" showInputMessage="1" showErrorMessage="1" error="هذه الرتبة لا توجد .....أعد الكرة ثم إختر رتبة ضمن القائمة الموضوعة" prompt="تعيين رتبة الموظف" sqref="D2:D499">
      <formula1>'f-travail'!A2:A49</formula1>
    </dataValidation>
    <dataValidation type="list" allowBlank="1" showInputMessage="1" showErrorMessage="1" error="خطأ........إختر إحدى المقرات الموجودة في القائمة" prompt="حدد مقر حساب الموظف." sqref="S2:S499">
      <formula1>"الخزينة الولائية,لبنك الوطني الجزائري,بنك الفلاحة و التنمية الريفية,بنك التنمية المحلية,البنك الخارجي الجزائري,الحساب الجاري البريدي,القرض الشعبي الجزائري,الصندوق الوطني للتوفير والإحتياط"</formula1>
    </dataValidation>
  </dataValidations>
  <pageMargins left="0.7" right="0.7" top="0.75" bottom="0.75" header="0.3" footer="0.3"/>
  <pageSetup paperSize="9" orientation="portrait" horizontalDpi="180" verticalDpi="180" r:id="rId1"/>
  <drawing r:id="rId2"/>
  <legacyDrawing r:id="rId3"/>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BB75"/>
  <sheetViews>
    <sheetView showGridLines="0" rightToLeft="1" view="pageBreakPreview" topLeftCell="Q30" zoomScale="40" zoomScaleSheetLayoutView="40" workbookViewId="0">
      <selection activeCell="G15" sqref="G15"/>
    </sheetView>
  </sheetViews>
  <sheetFormatPr baseColWidth="10" defaultRowHeight="12.75"/>
  <cols>
    <col min="1" max="1" width="13" style="690" bestFit="1" customWidth="1"/>
    <col min="2" max="2" width="11.42578125" style="586"/>
    <col min="3" max="3" width="42.85546875" style="586" customWidth="1"/>
    <col min="4" max="4" width="49" style="586" customWidth="1"/>
    <col min="5" max="5" width="18.5703125" style="586" customWidth="1"/>
    <col min="6" max="6" width="19.28515625" style="586" customWidth="1"/>
    <col min="7" max="7" width="34" style="586" customWidth="1"/>
    <col min="8" max="8" width="41.85546875" style="586" customWidth="1"/>
    <col min="9" max="9" width="37.28515625" style="586" customWidth="1"/>
    <col min="10" max="10" width="38.42578125" style="586" customWidth="1"/>
    <col min="11" max="11" width="40.7109375" style="586" customWidth="1"/>
    <col min="12" max="12" width="38.42578125" style="586" customWidth="1"/>
    <col min="13" max="13" width="34.42578125" style="586" customWidth="1"/>
    <col min="14" max="17" width="40.7109375" style="586" customWidth="1"/>
    <col min="18" max="18" width="35.5703125" style="586" customWidth="1"/>
    <col min="19" max="19" width="39" style="586" customWidth="1"/>
    <col min="20" max="20" width="38.42578125" style="586" customWidth="1"/>
    <col min="21" max="22" width="40.7109375" style="586" customWidth="1"/>
    <col min="23" max="23" width="34.42578125" style="586" customWidth="1"/>
    <col min="24" max="24" width="40.7109375" style="586" customWidth="1"/>
    <col min="25" max="25" width="54.7109375" style="694" customWidth="1"/>
    <col min="26" max="26" width="13.85546875" style="586" hidden="1" customWidth="1"/>
    <col min="27" max="27" width="11.42578125" style="586"/>
    <col min="28" max="29" width="11.42578125" style="762"/>
    <col min="30" max="32" width="11.42578125" style="699"/>
    <col min="33" max="34" width="0" style="699" hidden="1" customWidth="1"/>
    <col min="35" max="35" width="13.28515625" style="699" hidden="1" customWidth="1"/>
    <col min="36" max="36" width="0" style="699" hidden="1" customWidth="1"/>
    <col min="37" max="39" width="0" style="586" hidden="1" customWidth="1"/>
    <col min="40" max="41" width="11.42578125" style="586"/>
    <col min="42" max="46" width="37.7109375" style="586" customWidth="1"/>
    <col min="47" max="54" width="30.140625" style="586" customWidth="1"/>
    <col min="55" max="255" width="11.42578125" style="586"/>
    <col min="256" max="256" width="13" style="586" bestFit="1" customWidth="1"/>
    <col min="257" max="257" width="11.42578125" style="586"/>
    <col min="258" max="258" width="42.85546875" style="586" customWidth="1"/>
    <col min="259" max="259" width="53.7109375" style="586" customWidth="1"/>
    <col min="260" max="260" width="18.5703125" style="586" customWidth="1"/>
    <col min="261" max="261" width="19.28515625" style="586" customWidth="1"/>
    <col min="262" max="262" width="28.5703125" style="586" customWidth="1"/>
    <col min="263" max="263" width="41.85546875" style="586" customWidth="1"/>
    <col min="264" max="264" width="37.28515625" style="586" customWidth="1"/>
    <col min="265" max="265" width="38.42578125" style="586" customWidth="1"/>
    <col min="266" max="266" width="40.7109375" style="586" customWidth="1"/>
    <col min="267" max="267" width="0" style="586" hidden="1" customWidth="1"/>
    <col min="268" max="268" width="38.42578125" style="586" customWidth="1"/>
    <col min="269" max="269" width="34.42578125" style="586" customWidth="1"/>
    <col min="270" max="274" width="40.7109375" style="586" customWidth="1"/>
    <col min="275" max="275" width="35" style="586" customWidth="1"/>
    <col min="276" max="276" width="38.42578125" style="586" customWidth="1"/>
    <col min="277" max="278" width="40.7109375" style="586" customWidth="1"/>
    <col min="279" max="279" width="34.42578125" style="586" customWidth="1"/>
    <col min="280" max="280" width="40.7109375" style="586" customWidth="1"/>
    <col min="281" max="281" width="17.85546875" style="586" customWidth="1"/>
    <col min="282" max="282" width="13.85546875" style="586" customWidth="1"/>
    <col min="283" max="290" width="11.42578125" style="586"/>
    <col min="291" max="291" width="13.28515625" style="586" customWidth="1"/>
    <col min="292" max="297" width="11.42578125" style="586"/>
    <col min="298" max="302" width="37.7109375" style="586" customWidth="1"/>
    <col min="303" max="310" width="30.140625" style="586" customWidth="1"/>
    <col min="311" max="511" width="11.42578125" style="586"/>
    <col min="512" max="512" width="13" style="586" bestFit="1" customWidth="1"/>
    <col min="513" max="513" width="11.42578125" style="586"/>
    <col min="514" max="514" width="42.85546875" style="586" customWidth="1"/>
    <col min="515" max="515" width="53.7109375" style="586" customWidth="1"/>
    <col min="516" max="516" width="18.5703125" style="586" customWidth="1"/>
    <col min="517" max="517" width="19.28515625" style="586" customWidth="1"/>
    <col min="518" max="518" width="28.5703125" style="586" customWidth="1"/>
    <col min="519" max="519" width="41.85546875" style="586" customWidth="1"/>
    <col min="520" max="520" width="37.28515625" style="586" customWidth="1"/>
    <col min="521" max="521" width="38.42578125" style="586" customWidth="1"/>
    <col min="522" max="522" width="40.7109375" style="586" customWidth="1"/>
    <col min="523" max="523" width="0" style="586" hidden="1" customWidth="1"/>
    <col min="524" max="524" width="38.42578125" style="586" customWidth="1"/>
    <col min="525" max="525" width="34.42578125" style="586" customWidth="1"/>
    <col min="526" max="530" width="40.7109375" style="586" customWidth="1"/>
    <col min="531" max="531" width="35" style="586" customWidth="1"/>
    <col min="532" max="532" width="38.42578125" style="586" customWidth="1"/>
    <col min="533" max="534" width="40.7109375" style="586" customWidth="1"/>
    <col min="535" max="535" width="34.42578125" style="586" customWidth="1"/>
    <col min="536" max="536" width="40.7109375" style="586" customWidth="1"/>
    <col min="537" max="537" width="17.85546875" style="586" customWidth="1"/>
    <col min="538" max="538" width="13.85546875" style="586" customWidth="1"/>
    <col min="539" max="546" width="11.42578125" style="586"/>
    <col min="547" max="547" width="13.28515625" style="586" customWidth="1"/>
    <col min="548" max="553" width="11.42578125" style="586"/>
    <col min="554" max="558" width="37.7109375" style="586" customWidth="1"/>
    <col min="559" max="566" width="30.140625" style="586" customWidth="1"/>
    <col min="567" max="767" width="11.42578125" style="586"/>
    <col min="768" max="768" width="13" style="586" bestFit="1" customWidth="1"/>
    <col min="769" max="769" width="11.42578125" style="586"/>
    <col min="770" max="770" width="42.85546875" style="586" customWidth="1"/>
    <col min="771" max="771" width="53.7109375" style="586" customWidth="1"/>
    <col min="772" max="772" width="18.5703125" style="586" customWidth="1"/>
    <col min="773" max="773" width="19.28515625" style="586" customWidth="1"/>
    <col min="774" max="774" width="28.5703125" style="586" customWidth="1"/>
    <col min="775" max="775" width="41.85546875" style="586" customWidth="1"/>
    <col min="776" max="776" width="37.28515625" style="586" customWidth="1"/>
    <col min="777" max="777" width="38.42578125" style="586" customWidth="1"/>
    <col min="778" max="778" width="40.7109375" style="586" customWidth="1"/>
    <col min="779" max="779" width="0" style="586" hidden="1" customWidth="1"/>
    <col min="780" max="780" width="38.42578125" style="586" customWidth="1"/>
    <col min="781" max="781" width="34.42578125" style="586" customWidth="1"/>
    <col min="782" max="786" width="40.7109375" style="586" customWidth="1"/>
    <col min="787" max="787" width="35" style="586" customWidth="1"/>
    <col min="788" max="788" width="38.42578125" style="586" customWidth="1"/>
    <col min="789" max="790" width="40.7109375" style="586" customWidth="1"/>
    <col min="791" max="791" width="34.42578125" style="586" customWidth="1"/>
    <col min="792" max="792" width="40.7109375" style="586" customWidth="1"/>
    <col min="793" max="793" width="17.85546875" style="586" customWidth="1"/>
    <col min="794" max="794" width="13.85546875" style="586" customWidth="1"/>
    <col min="795" max="802" width="11.42578125" style="586"/>
    <col min="803" max="803" width="13.28515625" style="586" customWidth="1"/>
    <col min="804" max="809" width="11.42578125" style="586"/>
    <col min="810" max="814" width="37.7109375" style="586" customWidth="1"/>
    <col min="815" max="822" width="30.140625" style="586" customWidth="1"/>
    <col min="823" max="1023" width="11.42578125" style="586"/>
    <col min="1024" max="1024" width="13" style="586" bestFit="1" customWidth="1"/>
    <col min="1025" max="1025" width="11.42578125" style="586"/>
    <col min="1026" max="1026" width="42.85546875" style="586" customWidth="1"/>
    <col min="1027" max="1027" width="53.7109375" style="586" customWidth="1"/>
    <col min="1028" max="1028" width="18.5703125" style="586" customWidth="1"/>
    <col min="1029" max="1029" width="19.28515625" style="586" customWidth="1"/>
    <col min="1030" max="1030" width="28.5703125" style="586" customWidth="1"/>
    <col min="1031" max="1031" width="41.85546875" style="586" customWidth="1"/>
    <col min="1032" max="1032" width="37.28515625" style="586" customWidth="1"/>
    <col min="1033" max="1033" width="38.42578125" style="586" customWidth="1"/>
    <col min="1034" max="1034" width="40.7109375" style="586" customWidth="1"/>
    <col min="1035" max="1035" width="0" style="586" hidden="1" customWidth="1"/>
    <col min="1036" max="1036" width="38.42578125" style="586" customWidth="1"/>
    <col min="1037" max="1037" width="34.42578125" style="586" customWidth="1"/>
    <col min="1038" max="1042" width="40.7109375" style="586" customWidth="1"/>
    <col min="1043" max="1043" width="35" style="586" customWidth="1"/>
    <col min="1044" max="1044" width="38.42578125" style="586" customWidth="1"/>
    <col min="1045" max="1046" width="40.7109375" style="586" customWidth="1"/>
    <col min="1047" max="1047" width="34.42578125" style="586" customWidth="1"/>
    <col min="1048" max="1048" width="40.7109375" style="586" customWidth="1"/>
    <col min="1049" max="1049" width="17.85546875" style="586" customWidth="1"/>
    <col min="1050" max="1050" width="13.85546875" style="586" customWidth="1"/>
    <col min="1051" max="1058" width="11.42578125" style="586"/>
    <col min="1059" max="1059" width="13.28515625" style="586" customWidth="1"/>
    <col min="1060" max="1065" width="11.42578125" style="586"/>
    <col min="1066" max="1070" width="37.7109375" style="586" customWidth="1"/>
    <col min="1071" max="1078" width="30.140625" style="586" customWidth="1"/>
    <col min="1079" max="1279" width="11.42578125" style="586"/>
    <col min="1280" max="1280" width="13" style="586" bestFit="1" customWidth="1"/>
    <col min="1281" max="1281" width="11.42578125" style="586"/>
    <col min="1282" max="1282" width="42.85546875" style="586" customWidth="1"/>
    <col min="1283" max="1283" width="53.7109375" style="586" customWidth="1"/>
    <col min="1284" max="1284" width="18.5703125" style="586" customWidth="1"/>
    <col min="1285" max="1285" width="19.28515625" style="586" customWidth="1"/>
    <col min="1286" max="1286" width="28.5703125" style="586" customWidth="1"/>
    <col min="1287" max="1287" width="41.85546875" style="586" customWidth="1"/>
    <col min="1288" max="1288" width="37.28515625" style="586" customWidth="1"/>
    <col min="1289" max="1289" width="38.42578125" style="586" customWidth="1"/>
    <col min="1290" max="1290" width="40.7109375" style="586" customWidth="1"/>
    <col min="1291" max="1291" width="0" style="586" hidden="1" customWidth="1"/>
    <col min="1292" max="1292" width="38.42578125" style="586" customWidth="1"/>
    <col min="1293" max="1293" width="34.42578125" style="586" customWidth="1"/>
    <col min="1294" max="1298" width="40.7109375" style="586" customWidth="1"/>
    <col min="1299" max="1299" width="35" style="586" customWidth="1"/>
    <col min="1300" max="1300" width="38.42578125" style="586" customWidth="1"/>
    <col min="1301" max="1302" width="40.7109375" style="586" customWidth="1"/>
    <col min="1303" max="1303" width="34.42578125" style="586" customWidth="1"/>
    <col min="1304" max="1304" width="40.7109375" style="586" customWidth="1"/>
    <col min="1305" max="1305" width="17.85546875" style="586" customWidth="1"/>
    <col min="1306" max="1306" width="13.85546875" style="586" customWidth="1"/>
    <col min="1307" max="1314" width="11.42578125" style="586"/>
    <col min="1315" max="1315" width="13.28515625" style="586" customWidth="1"/>
    <col min="1316" max="1321" width="11.42578125" style="586"/>
    <col min="1322" max="1326" width="37.7109375" style="586" customWidth="1"/>
    <col min="1327" max="1334" width="30.140625" style="586" customWidth="1"/>
    <col min="1335" max="1535" width="11.42578125" style="586"/>
    <col min="1536" max="1536" width="13" style="586" bestFit="1" customWidth="1"/>
    <col min="1537" max="1537" width="11.42578125" style="586"/>
    <col min="1538" max="1538" width="42.85546875" style="586" customWidth="1"/>
    <col min="1539" max="1539" width="53.7109375" style="586" customWidth="1"/>
    <col min="1540" max="1540" width="18.5703125" style="586" customWidth="1"/>
    <col min="1541" max="1541" width="19.28515625" style="586" customWidth="1"/>
    <col min="1542" max="1542" width="28.5703125" style="586" customWidth="1"/>
    <col min="1543" max="1543" width="41.85546875" style="586" customWidth="1"/>
    <col min="1544" max="1544" width="37.28515625" style="586" customWidth="1"/>
    <col min="1545" max="1545" width="38.42578125" style="586" customWidth="1"/>
    <col min="1546" max="1546" width="40.7109375" style="586" customWidth="1"/>
    <col min="1547" max="1547" width="0" style="586" hidden="1" customWidth="1"/>
    <col min="1548" max="1548" width="38.42578125" style="586" customWidth="1"/>
    <col min="1549" max="1549" width="34.42578125" style="586" customWidth="1"/>
    <col min="1550" max="1554" width="40.7109375" style="586" customWidth="1"/>
    <col min="1555" max="1555" width="35" style="586" customWidth="1"/>
    <col min="1556" max="1556" width="38.42578125" style="586" customWidth="1"/>
    <col min="1557" max="1558" width="40.7109375" style="586" customWidth="1"/>
    <col min="1559" max="1559" width="34.42578125" style="586" customWidth="1"/>
    <col min="1560" max="1560" width="40.7109375" style="586" customWidth="1"/>
    <col min="1561" max="1561" width="17.85546875" style="586" customWidth="1"/>
    <col min="1562" max="1562" width="13.85546875" style="586" customWidth="1"/>
    <col min="1563" max="1570" width="11.42578125" style="586"/>
    <col min="1571" max="1571" width="13.28515625" style="586" customWidth="1"/>
    <col min="1572" max="1577" width="11.42578125" style="586"/>
    <col min="1578" max="1582" width="37.7109375" style="586" customWidth="1"/>
    <col min="1583" max="1590" width="30.140625" style="586" customWidth="1"/>
    <col min="1591" max="1791" width="11.42578125" style="586"/>
    <col min="1792" max="1792" width="13" style="586" bestFit="1" customWidth="1"/>
    <col min="1793" max="1793" width="11.42578125" style="586"/>
    <col min="1794" max="1794" width="42.85546875" style="586" customWidth="1"/>
    <col min="1795" max="1795" width="53.7109375" style="586" customWidth="1"/>
    <col min="1796" max="1796" width="18.5703125" style="586" customWidth="1"/>
    <col min="1797" max="1797" width="19.28515625" style="586" customWidth="1"/>
    <col min="1798" max="1798" width="28.5703125" style="586" customWidth="1"/>
    <col min="1799" max="1799" width="41.85546875" style="586" customWidth="1"/>
    <col min="1800" max="1800" width="37.28515625" style="586" customWidth="1"/>
    <col min="1801" max="1801" width="38.42578125" style="586" customWidth="1"/>
    <col min="1802" max="1802" width="40.7109375" style="586" customWidth="1"/>
    <col min="1803" max="1803" width="0" style="586" hidden="1" customWidth="1"/>
    <col min="1804" max="1804" width="38.42578125" style="586" customWidth="1"/>
    <col min="1805" max="1805" width="34.42578125" style="586" customWidth="1"/>
    <col min="1806" max="1810" width="40.7109375" style="586" customWidth="1"/>
    <col min="1811" max="1811" width="35" style="586" customWidth="1"/>
    <col min="1812" max="1812" width="38.42578125" style="586" customWidth="1"/>
    <col min="1813" max="1814" width="40.7109375" style="586" customWidth="1"/>
    <col min="1815" max="1815" width="34.42578125" style="586" customWidth="1"/>
    <col min="1816" max="1816" width="40.7109375" style="586" customWidth="1"/>
    <col min="1817" max="1817" width="17.85546875" style="586" customWidth="1"/>
    <col min="1818" max="1818" width="13.85546875" style="586" customWidth="1"/>
    <col min="1819" max="1826" width="11.42578125" style="586"/>
    <col min="1827" max="1827" width="13.28515625" style="586" customWidth="1"/>
    <col min="1828" max="1833" width="11.42578125" style="586"/>
    <col min="1834" max="1838" width="37.7109375" style="586" customWidth="1"/>
    <col min="1839" max="1846" width="30.140625" style="586" customWidth="1"/>
    <col min="1847" max="2047" width="11.42578125" style="586"/>
    <col min="2048" max="2048" width="13" style="586" bestFit="1" customWidth="1"/>
    <col min="2049" max="2049" width="11.42578125" style="586"/>
    <col min="2050" max="2050" width="42.85546875" style="586" customWidth="1"/>
    <col min="2051" max="2051" width="53.7109375" style="586" customWidth="1"/>
    <col min="2052" max="2052" width="18.5703125" style="586" customWidth="1"/>
    <col min="2053" max="2053" width="19.28515625" style="586" customWidth="1"/>
    <col min="2054" max="2054" width="28.5703125" style="586" customWidth="1"/>
    <col min="2055" max="2055" width="41.85546875" style="586" customWidth="1"/>
    <col min="2056" max="2056" width="37.28515625" style="586" customWidth="1"/>
    <col min="2057" max="2057" width="38.42578125" style="586" customWidth="1"/>
    <col min="2058" max="2058" width="40.7109375" style="586" customWidth="1"/>
    <col min="2059" max="2059" width="0" style="586" hidden="1" customWidth="1"/>
    <col min="2060" max="2060" width="38.42578125" style="586" customWidth="1"/>
    <col min="2061" max="2061" width="34.42578125" style="586" customWidth="1"/>
    <col min="2062" max="2066" width="40.7109375" style="586" customWidth="1"/>
    <col min="2067" max="2067" width="35" style="586" customWidth="1"/>
    <col min="2068" max="2068" width="38.42578125" style="586" customWidth="1"/>
    <col min="2069" max="2070" width="40.7109375" style="586" customWidth="1"/>
    <col min="2071" max="2071" width="34.42578125" style="586" customWidth="1"/>
    <col min="2072" max="2072" width="40.7109375" style="586" customWidth="1"/>
    <col min="2073" max="2073" width="17.85546875" style="586" customWidth="1"/>
    <col min="2074" max="2074" width="13.85546875" style="586" customWidth="1"/>
    <col min="2075" max="2082" width="11.42578125" style="586"/>
    <col min="2083" max="2083" width="13.28515625" style="586" customWidth="1"/>
    <col min="2084" max="2089" width="11.42578125" style="586"/>
    <col min="2090" max="2094" width="37.7109375" style="586" customWidth="1"/>
    <col min="2095" max="2102" width="30.140625" style="586" customWidth="1"/>
    <col min="2103" max="2303" width="11.42578125" style="586"/>
    <col min="2304" max="2304" width="13" style="586" bestFit="1" customWidth="1"/>
    <col min="2305" max="2305" width="11.42578125" style="586"/>
    <col min="2306" max="2306" width="42.85546875" style="586" customWidth="1"/>
    <col min="2307" max="2307" width="53.7109375" style="586" customWidth="1"/>
    <col min="2308" max="2308" width="18.5703125" style="586" customWidth="1"/>
    <col min="2309" max="2309" width="19.28515625" style="586" customWidth="1"/>
    <col min="2310" max="2310" width="28.5703125" style="586" customWidth="1"/>
    <col min="2311" max="2311" width="41.85546875" style="586" customWidth="1"/>
    <col min="2312" max="2312" width="37.28515625" style="586" customWidth="1"/>
    <col min="2313" max="2313" width="38.42578125" style="586" customWidth="1"/>
    <col min="2314" max="2314" width="40.7109375" style="586" customWidth="1"/>
    <col min="2315" max="2315" width="0" style="586" hidden="1" customWidth="1"/>
    <col min="2316" max="2316" width="38.42578125" style="586" customWidth="1"/>
    <col min="2317" max="2317" width="34.42578125" style="586" customWidth="1"/>
    <col min="2318" max="2322" width="40.7109375" style="586" customWidth="1"/>
    <col min="2323" max="2323" width="35" style="586" customWidth="1"/>
    <col min="2324" max="2324" width="38.42578125" style="586" customWidth="1"/>
    <col min="2325" max="2326" width="40.7109375" style="586" customWidth="1"/>
    <col min="2327" max="2327" width="34.42578125" style="586" customWidth="1"/>
    <col min="2328" max="2328" width="40.7109375" style="586" customWidth="1"/>
    <col min="2329" max="2329" width="17.85546875" style="586" customWidth="1"/>
    <col min="2330" max="2330" width="13.85546875" style="586" customWidth="1"/>
    <col min="2331" max="2338" width="11.42578125" style="586"/>
    <col min="2339" max="2339" width="13.28515625" style="586" customWidth="1"/>
    <col min="2340" max="2345" width="11.42578125" style="586"/>
    <col min="2346" max="2350" width="37.7109375" style="586" customWidth="1"/>
    <col min="2351" max="2358" width="30.140625" style="586" customWidth="1"/>
    <col min="2359" max="2559" width="11.42578125" style="586"/>
    <col min="2560" max="2560" width="13" style="586" bestFit="1" customWidth="1"/>
    <col min="2561" max="2561" width="11.42578125" style="586"/>
    <col min="2562" max="2562" width="42.85546875" style="586" customWidth="1"/>
    <col min="2563" max="2563" width="53.7109375" style="586" customWidth="1"/>
    <col min="2564" max="2564" width="18.5703125" style="586" customWidth="1"/>
    <col min="2565" max="2565" width="19.28515625" style="586" customWidth="1"/>
    <col min="2566" max="2566" width="28.5703125" style="586" customWidth="1"/>
    <col min="2567" max="2567" width="41.85546875" style="586" customWidth="1"/>
    <col min="2568" max="2568" width="37.28515625" style="586" customWidth="1"/>
    <col min="2569" max="2569" width="38.42578125" style="586" customWidth="1"/>
    <col min="2570" max="2570" width="40.7109375" style="586" customWidth="1"/>
    <col min="2571" max="2571" width="0" style="586" hidden="1" customWidth="1"/>
    <col min="2572" max="2572" width="38.42578125" style="586" customWidth="1"/>
    <col min="2573" max="2573" width="34.42578125" style="586" customWidth="1"/>
    <col min="2574" max="2578" width="40.7109375" style="586" customWidth="1"/>
    <col min="2579" max="2579" width="35" style="586" customWidth="1"/>
    <col min="2580" max="2580" width="38.42578125" style="586" customWidth="1"/>
    <col min="2581" max="2582" width="40.7109375" style="586" customWidth="1"/>
    <col min="2583" max="2583" width="34.42578125" style="586" customWidth="1"/>
    <col min="2584" max="2584" width="40.7109375" style="586" customWidth="1"/>
    <col min="2585" max="2585" width="17.85546875" style="586" customWidth="1"/>
    <col min="2586" max="2586" width="13.85546875" style="586" customWidth="1"/>
    <col min="2587" max="2594" width="11.42578125" style="586"/>
    <col min="2595" max="2595" width="13.28515625" style="586" customWidth="1"/>
    <col min="2596" max="2601" width="11.42578125" style="586"/>
    <col min="2602" max="2606" width="37.7109375" style="586" customWidth="1"/>
    <col min="2607" max="2614" width="30.140625" style="586" customWidth="1"/>
    <col min="2615" max="2815" width="11.42578125" style="586"/>
    <col min="2816" max="2816" width="13" style="586" bestFit="1" customWidth="1"/>
    <col min="2817" max="2817" width="11.42578125" style="586"/>
    <col min="2818" max="2818" width="42.85546875" style="586" customWidth="1"/>
    <col min="2819" max="2819" width="53.7109375" style="586" customWidth="1"/>
    <col min="2820" max="2820" width="18.5703125" style="586" customWidth="1"/>
    <col min="2821" max="2821" width="19.28515625" style="586" customWidth="1"/>
    <col min="2822" max="2822" width="28.5703125" style="586" customWidth="1"/>
    <col min="2823" max="2823" width="41.85546875" style="586" customWidth="1"/>
    <col min="2824" max="2824" width="37.28515625" style="586" customWidth="1"/>
    <col min="2825" max="2825" width="38.42578125" style="586" customWidth="1"/>
    <col min="2826" max="2826" width="40.7109375" style="586" customWidth="1"/>
    <col min="2827" max="2827" width="0" style="586" hidden="1" customWidth="1"/>
    <col min="2828" max="2828" width="38.42578125" style="586" customWidth="1"/>
    <col min="2829" max="2829" width="34.42578125" style="586" customWidth="1"/>
    <col min="2830" max="2834" width="40.7109375" style="586" customWidth="1"/>
    <col min="2835" max="2835" width="35" style="586" customWidth="1"/>
    <col min="2836" max="2836" width="38.42578125" style="586" customWidth="1"/>
    <col min="2837" max="2838" width="40.7109375" style="586" customWidth="1"/>
    <col min="2839" max="2839" width="34.42578125" style="586" customWidth="1"/>
    <col min="2840" max="2840" width="40.7109375" style="586" customWidth="1"/>
    <col min="2841" max="2841" width="17.85546875" style="586" customWidth="1"/>
    <col min="2842" max="2842" width="13.85546875" style="586" customWidth="1"/>
    <col min="2843" max="2850" width="11.42578125" style="586"/>
    <col min="2851" max="2851" width="13.28515625" style="586" customWidth="1"/>
    <col min="2852" max="2857" width="11.42578125" style="586"/>
    <col min="2858" max="2862" width="37.7109375" style="586" customWidth="1"/>
    <col min="2863" max="2870" width="30.140625" style="586" customWidth="1"/>
    <col min="2871" max="3071" width="11.42578125" style="586"/>
    <col min="3072" max="3072" width="13" style="586" bestFit="1" customWidth="1"/>
    <col min="3073" max="3073" width="11.42578125" style="586"/>
    <col min="3074" max="3074" width="42.85546875" style="586" customWidth="1"/>
    <col min="3075" max="3075" width="53.7109375" style="586" customWidth="1"/>
    <col min="3076" max="3076" width="18.5703125" style="586" customWidth="1"/>
    <col min="3077" max="3077" width="19.28515625" style="586" customWidth="1"/>
    <col min="3078" max="3078" width="28.5703125" style="586" customWidth="1"/>
    <col min="3079" max="3079" width="41.85546875" style="586" customWidth="1"/>
    <col min="3080" max="3080" width="37.28515625" style="586" customWidth="1"/>
    <col min="3081" max="3081" width="38.42578125" style="586" customWidth="1"/>
    <col min="3082" max="3082" width="40.7109375" style="586" customWidth="1"/>
    <col min="3083" max="3083" width="0" style="586" hidden="1" customWidth="1"/>
    <col min="3084" max="3084" width="38.42578125" style="586" customWidth="1"/>
    <col min="3085" max="3085" width="34.42578125" style="586" customWidth="1"/>
    <col min="3086" max="3090" width="40.7109375" style="586" customWidth="1"/>
    <col min="3091" max="3091" width="35" style="586" customWidth="1"/>
    <col min="3092" max="3092" width="38.42578125" style="586" customWidth="1"/>
    <col min="3093" max="3094" width="40.7109375" style="586" customWidth="1"/>
    <col min="3095" max="3095" width="34.42578125" style="586" customWidth="1"/>
    <col min="3096" max="3096" width="40.7109375" style="586" customWidth="1"/>
    <col min="3097" max="3097" width="17.85546875" style="586" customWidth="1"/>
    <col min="3098" max="3098" width="13.85546875" style="586" customWidth="1"/>
    <col min="3099" max="3106" width="11.42578125" style="586"/>
    <col min="3107" max="3107" width="13.28515625" style="586" customWidth="1"/>
    <col min="3108" max="3113" width="11.42578125" style="586"/>
    <col min="3114" max="3118" width="37.7109375" style="586" customWidth="1"/>
    <col min="3119" max="3126" width="30.140625" style="586" customWidth="1"/>
    <col min="3127" max="3327" width="11.42578125" style="586"/>
    <col min="3328" max="3328" width="13" style="586" bestFit="1" customWidth="1"/>
    <col min="3329" max="3329" width="11.42578125" style="586"/>
    <col min="3330" max="3330" width="42.85546875" style="586" customWidth="1"/>
    <col min="3331" max="3331" width="53.7109375" style="586" customWidth="1"/>
    <col min="3332" max="3332" width="18.5703125" style="586" customWidth="1"/>
    <col min="3333" max="3333" width="19.28515625" style="586" customWidth="1"/>
    <col min="3334" max="3334" width="28.5703125" style="586" customWidth="1"/>
    <col min="3335" max="3335" width="41.85546875" style="586" customWidth="1"/>
    <col min="3336" max="3336" width="37.28515625" style="586" customWidth="1"/>
    <col min="3337" max="3337" width="38.42578125" style="586" customWidth="1"/>
    <col min="3338" max="3338" width="40.7109375" style="586" customWidth="1"/>
    <col min="3339" max="3339" width="0" style="586" hidden="1" customWidth="1"/>
    <col min="3340" max="3340" width="38.42578125" style="586" customWidth="1"/>
    <col min="3341" max="3341" width="34.42578125" style="586" customWidth="1"/>
    <col min="3342" max="3346" width="40.7109375" style="586" customWidth="1"/>
    <col min="3347" max="3347" width="35" style="586" customWidth="1"/>
    <col min="3348" max="3348" width="38.42578125" style="586" customWidth="1"/>
    <col min="3349" max="3350" width="40.7109375" style="586" customWidth="1"/>
    <col min="3351" max="3351" width="34.42578125" style="586" customWidth="1"/>
    <col min="3352" max="3352" width="40.7109375" style="586" customWidth="1"/>
    <col min="3353" max="3353" width="17.85546875" style="586" customWidth="1"/>
    <col min="3354" max="3354" width="13.85546875" style="586" customWidth="1"/>
    <col min="3355" max="3362" width="11.42578125" style="586"/>
    <col min="3363" max="3363" width="13.28515625" style="586" customWidth="1"/>
    <col min="3364" max="3369" width="11.42578125" style="586"/>
    <col min="3370" max="3374" width="37.7109375" style="586" customWidth="1"/>
    <col min="3375" max="3382" width="30.140625" style="586" customWidth="1"/>
    <col min="3383" max="3583" width="11.42578125" style="586"/>
    <col min="3584" max="3584" width="13" style="586" bestFit="1" customWidth="1"/>
    <col min="3585" max="3585" width="11.42578125" style="586"/>
    <col min="3586" max="3586" width="42.85546875" style="586" customWidth="1"/>
    <col min="3587" max="3587" width="53.7109375" style="586" customWidth="1"/>
    <col min="3588" max="3588" width="18.5703125" style="586" customWidth="1"/>
    <col min="3589" max="3589" width="19.28515625" style="586" customWidth="1"/>
    <col min="3590" max="3590" width="28.5703125" style="586" customWidth="1"/>
    <col min="3591" max="3591" width="41.85546875" style="586" customWidth="1"/>
    <col min="3592" max="3592" width="37.28515625" style="586" customWidth="1"/>
    <col min="3593" max="3593" width="38.42578125" style="586" customWidth="1"/>
    <col min="3594" max="3594" width="40.7109375" style="586" customWidth="1"/>
    <col min="3595" max="3595" width="0" style="586" hidden="1" customWidth="1"/>
    <col min="3596" max="3596" width="38.42578125" style="586" customWidth="1"/>
    <col min="3597" max="3597" width="34.42578125" style="586" customWidth="1"/>
    <col min="3598" max="3602" width="40.7109375" style="586" customWidth="1"/>
    <col min="3603" max="3603" width="35" style="586" customWidth="1"/>
    <col min="3604" max="3604" width="38.42578125" style="586" customWidth="1"/>
    <col min="3605" max="3606" width="40.7109375" style="586" customWidth="1"/>
    <col min="3607" max="3607" width="34.42578125" style="586" customWidth="1"/>
    <col min="3608" max="3608" width="40.7109375" style="586" customWidth="1"/>
    <col min="3609" max="3609" width="17.85546875" style="586" customWidth="1"/>
    <col min="3610" max="3610" width="13.85546875" style="586" customWidth="1"/>
    <col min="3611" max="3618" width="11.42578125" style="586"/>
    <col min="3619" max="3619" width="13.28515625" style="586" customWidth="1"/>
    <col min="3620" max="3625" width="11.42578125" style="586"/>
    <col min="3626" max="3630" width="37.7109375" style="586" customWidth="1"/>
    <col min="3631" max="3638" width="30.140625" style="586" customWidth="1"/>
    <col min="3639" max="3839" width="11.42578125" style="586"/>
    <col min="3840" max="3840" width="13" style="586" bestFit="1" customWidth="1"/>
    <col min="3841" max="3841" width="11.42578125" style="586"/>
    <col min="3842" max="3842" width="42.85546875" style="586" customWidth="1"/>
    <col min="3843" max="3843" width="53.7109375" style="586" customWidth="1"/>
    <col min="3844" max="3844" width="18.5703125" style="586" customWidth="1"/>
    <col min="3845" max="3845" width="19.28515625" style="586" customWidth="1"/>
    <col min="3846" max="3846" width="28.5703125" style="586" customWidth="1"/>
    <col min="3847" max="3847" width="41.85546875" style="586" customWidth="1"/>
    <col min="3848" max="3848" width="37.28515625" style="586" customWidth="1"/>
    <col min="3849" max="3849" width="38.42578125" style="586" customWidth="1"/>
    <col min="3850" max="3850" width="40.7109375" style="586" customWidth="1"/>
    <col min="3851" max="3851" width="0" style="586" hidden="1" customWidth="1"/>
    <col min="3852" max="3852" width="38.42578125" style="586" customWidth="1"/>
    <col min="3853" max="3853" width="34.42578125" style="586" customWidth="1"/>
    <col min="3854" max="3858" width="40.7109375" style="586" customWidth="1"/>
    <col min="3859" max="3859" width="35" style="586" customWidth="1"/>
    <col min="3860" max="3860" width="38.42578125" style="586" customWidth="1"/>
    <col min="3861" max="3862" width="40.7109375" style="586" customWidth="1"/>
    <col min="3863" max="3863" width="34.42578125" style="586" customWidth="1"/>
    <col min="3864" max="3864" width="40.7109375" style="586" customWidth="1"/>
    <col min="3865" max="3865" width="17.85546875" style="586" customWidth="1"/>
    <col min="3866" max="3866" width="13.85546875" style="586" customWidth="1"/>
    <col min="3867" max="3874" width="11.42578125" style="586"/>
    <col min="3875" max="3875" width="13.28515625" style="586" customWidth="1"/>
    <col min="3876" max="3881" width="11.42578125" style="586"/>
    <col min="3882" max="3886" width="37.7109375" style="586" customWidth="1"/>
    <col min="3887" max="3894" width="30.140625" style="586" customWidth="1"/>
    <col min="3895" max="4095" width="11.42578125" style="586"/>
    <col min="4096" max="4096" width="13" style="586" bestFit="1" customWidth="1"/>
    <col min="4097" max="4097" width="11.42578125" style="586"/>
    <col min="4098" max="4098" width="42.85546875" style="586" customWidth="1"/>
    <col min="4099" max="4099" width="53.7109375" style="586" customWidth="1"/>
    <col min="4100" max="4100" width="18.5703125" style="586" customWidth="1"/>
    <col min="4101" max="4101" width="19.28515625" style="586" customWidth="1"/>
    <col min="4102" max="4102" width="28.5703125" style="586" customWidth="1"/>
    <col min="4103" max="4103" width="41.85546875" style="586" customWidth="1"/>
    <col min="4104" max="4104" width="37.28515625" style="586" customWidth="1"/>
    <col min="4105" max="4105" width="38.42578125" style="586" customWidth="1"/>
    <col min="4106" max="4106" width="40.7109375" style="586" customWidth="1"/>
    <col min="4107" max="4107" width="0" style="586" hidden="1" customWidth="1"/>
    <col min="4108" max="4108" width="38.42578125" style="586" customWidth="1"/>
    <col min="4109" max="4109" width="34.42578125" style="586" customWidth="1"/>
    <col min="4110" max="4114" width="40.7109375" style="586" customWidth="1"/>
    <col min="4115" max="4115" width="35" style="586" customWidth="1"/>
    <col min="4116" max="4116" width="38.42578125" style="586" customWidth="1"/>
    <col min="4117" max="4118" width="40.7109375" style="586" customWidth="1"/>
    <col min="4119" max="4119" width="34.42578125" style="586" customWidth="1"/>
    <col min="4120" max="4120" width="40.7109375" style="586" customWidth="1"/>
    <col min="4121" max="4121" width="17.85546875" style="586" customWidth="1"/>
    <col min="4122" max="4122" width="13.85546875" style="586" customWidth="1"/>
    <col min="4123" max="4130" width="11.42578125" style="586"/>
    <col min="4131" max="4131" width="13.28515625" style="586" customWidth="1"/>
    <col min="4132" max="4137" width="11.42578125" style="586"/>
    <col min="4138" max="4142" width="37.7109375" style="586" customWidth="1"/>
    <col min="4143" max="4150" width="30.140625" style="586" customWidth="1"/>
    <col min="4151" max="4351" width="11.42578125" style="586"/>
    <col min="4352" max="4352" width="13" style="586" bestFit="1" customWidth="1"/>
    <col min="4353" max="4353" width="11.42578125" style="586"/>
    <col min="4354" max="4354" width="42.85546875" style="586" customWidth="1"/>
    <col min="4355" max="4355" width="53.7109375" style="586" customWidth="1"/>
    <col min="4356" max="4356" width="18.5703125" style="586" customWidth="1"/>
    <col min="4357" max="4357" width="19.28515625" style="586" customWidth="1"/>
    <col min="4358" max="4358" width="28.5703125" style="586" customWidth="1"/>
    <col min="4359" max="4359" width="41.85546875" style="586" customWidth="1"/>
    <col min="4360" max="4360" width="37.28515625" style="586" customWidth="1"/>
    <col min="4361" max="4361" width="38.42578125" style="586" customWidth="1"/>
    <col min="4362" max="4362" width="40.7109375" style="586" customWidth="1"/>
    <col min="4363" max="4363" width="0" style="586" hidden="1" customWidth="1"/>
    <col min="4364" max="4364" width="38.42578125" style="586" customWidth="1"/>
    <col min="4365" max="4365" width="34.42578125" style="586" customWidth="1"/>
    <col min="4366" max="4370" width="40.7109375" style="586" customWidth="1"/>
    <col min="4371" max="4371" width="35" style="586" customWidth="1"/>
    <col min="4372" max="4372" width="38.42578125" style="586" customWidth="1"/>
    <col min="4373" max="4374" width="40.7109375" style="586" customWidth="1"/>
    <col min="4375" max="4375" width="34.42578125" style="586" customWidth="1"/>
    <col min="4376" max="4376" width="40.7109375" style="586" customWidth="1"/>
    <col min="4377" max="4377" width="17.85546875" style="586" customWidth="1"/>
    <col min="4378" max="4378" width="13.85546875" style="586" customWidth="1"/>
    <col min="4379" max="4386" width="11.42578125" style="586"/>
    <col min="4387" max="4387" width="13.28515625" style="586" customWidth="1"/>
    <col min="4388" max="4393" width="11.42578125" style="586"/>
    <col min="4394" max="4398" width="37.7109375" style="586" customWidth="1"/>
    <col min="4399" max="4406" width="30.140625" style="586" customWidth="1"/>
    <col min="4407" max="4607" width="11.42578125" style="586"/>
    <col min="4608" max="4608" width="13" style="586" bestFit="1" customWidth="1"/>
    <col min="4609" max="4609" width="11.42578125" style="586"/>
    <col min="4610" max="4610" width="42.85546875" style="586" customWidth="1"/>
    <col min="4611" max="4611" width="53.7109375" style="586" customWidth="1"/>
    <col min="4612" max="4612" width="18.5703125" style="586" customWidth="1"/>
    <col min="4613" max="4613" width="19.28515625" style="586" customWidth="1"/>
    <col min="4614" max="4614" width="28.5703125" style="586" customWidth="1"/>
    <col min="4615" max="4615" width="41.85546875" style="586" customWidth="1"/>
    <col min="4616" max="4616" width="37.28515625" style="586" customWidth="1"/>
    <col min="4617" max="4617" width="38.42578125" style="586" customWidth="1"/>
    <col min="4618" max="4618" width="40.7109375" style="586" customWidth="1"/>
    <col min="4619" max="4619" width="0" style="586" hidden="1" customWidth="1"/>
    <col min="4620" max="4620" width="38.42578125" style="586" customWidth="1"/>
    <col min="4621" max="4621" width="34.42578125" style="586" customWidth="1"/>
    <col min="4622" max="4626" width="40.7109375" style="586" customWidth="1"/>
    <col min="4627" max="4627" width="35" style="586" customWidth="1"/>
    <col min="4628" max="4628" width="38.42578125" style="586" customWidth="1"/>
    <col min="4629" max="4630" width="40.7109375" style="586" customWidth="1"/>
    <col min="4631" max="4631" width="34.42578125" style="586" customWidth="1"/>
    <col min="4632" max="4632" width="40.7109375" style="586" customWidth="1"/>
    <col min="4633" max="4633" width="17.85546875" style="586" customWidth="1"/>
    <col min="4634" max="4634" width="13.85546875" style="586" customWidth="1"/>
    <col min="4635" max="4642" width="11.42578125" style="586"/>
    <col min="4643" max="4643" width="13.28515625" style="586" customWidth="1"/>
    <col min="4644" max="4649" width="11.42578125" style="586"/>
    <col min="4650" max="4654" width="37.7109375" style="586" customWidth="1"/>
    <col min="4655" max="4662" width="30.140625" style="586" customWidth="1"/>
    <col min="4663" max="4863" width="11.42578125" style="586"/>
    <col min="4864" max="4864" width="13" style="586" bestFit="1" customWidth="1"/>
    <col min="4865" max="4865" width="11.42578125" style="586"/>
    <col min="4866" max="4866" width="42.85546875" style="586" customWidth="1"/>
    <col min="4867" max="4867" width="53.7109375" style="586" customWidth="1"/>
    <col min="4868" max="4868" width="18.5703125" style="586" customWidth="1"/>
    <col min="4869" max="4869" width="19.28515625" style="586" customWidth="1"/>
    <col min="4870" max="4870" width="28.5703125" style="586" customWidth="1"/>
    <col min="4871" max="4871" width="41.85546875" style="586" customWidth="1"/>
    <col min="4872" max="4872" width="37.28515625" style="586" customWidth="1"/>
    <col min="4873" max="4873" width="38.42578125" style="586" customWidth="1"/>
    <col min="4874" max="4874" width="40.7109375" style="586" customWidth="1"/>
    <col min="4875" max="4875" width="0" style="586" hidden="1" customWidth="1"/>
    <col min="4876" max="4876" width="38.42578125" style="586" customWidth="1"/>
    <col min="4877" max="4877" width="34.42578125" style="586" customWidth="1"/>
    <col min="4878" max="4882" width="40.7109375" style="586" customWidth="1"/>
    <col min="4883" max="4883" width="35" style="586" customWidth="1"/>
    <col min="4884" max="4884" width="38.42578125" style="586" customWidth="1"/>
    <col min="4885" max="4886" width="40.7109375" style="586" customWidth="1"/>
    <col min="4887" max="4887" width="34.42578125" style="586" customWidth="1"/>
    <col min="4888" max="4888" width="40.7109375" style="586" customWidth="1"/>
    <col min="4889" max="4889" width="17.85546875" style="586" customWidth="1"/>
    <col min="4890" max="4890" width="13.85546875" style="586" customWidth="1"/>
    <col min="4891" max="4898" width="11.42578125" style="586"/>
    <col min="4899" max="4899" width="13.28515625" style="586" customWidth="1"/>
    <col min="4900" max="4905" width="11.42578125" style="586"/>
    <col min="4906" max="4910" width="37.7109375" style="586" customWidth="1"/>
    <col min="4911" max="4918" width="30.140625" style="586" customWidth="1"/>
    <col min="4919" max="5119" width="11.42578125" style="586"/>
    <col min="5120" max="5120" width="13" style="586" bestFit="1" customWidth="1"/>
    <col min="5121" max="5121" width="11.42578125" style="586"/>
    <col min="5122" max="5122" width="42.85546875" style="586" customWidth="1"/>
    <col min="5123" max="5123" width="53.7109375" style="586" customWidth="1"/>
    <col min="5124" max="5124" width="18.5703125" style="586" customWidth="1"/>
    <col min="5125" max="5125" width="19.28515625" style="586" customWidth="1"/>
    <col min="5126" max="5126" width="28.5703125" style="586" customWidth="1"/>
    <col min="5127" max="5127" width="41.85546875" style="586" customWidth="1"/>
    <col min="5128" max="5128" width="37.28515625" style="586" customWidth="1"/>
    <col min="5129" max="5129" width="38.42578125" style="586" customWidth="1"/>
    <col min="5130" max="5130" width="40.7109375" style="586" customWidth="1"/>
    <col min="5131" max="5131" width="0" style="586" hidden="1" customWidth="1"/>
    <col min="5132" max="5132" width="38.42578125" style="586" customWidth="1"/>
    <col min="5133" max="5133" width="34.42578125" style="586" customWidth="1"/>
    <col min="5134" max="5138" width="40.7109375" style="586" customWidth="1"/>
    <col min="5139" max="5139" width="35" style="586" customWidth="1"/>
    <col min="5140" max="5140" width="38.42578125" style="586" customWidth="1"/>
    <col min="5141" max="5142" width="40.7109375" style="586" customWidth="1"/>
    <col min="5143" max="5143" width="34.42578125" style="586" customWidth="1"/>
    <col min="5144" max="5144" width="40.7109375" style="586" customWidth="1"/>
    <col min="5145" max="5145" width="17.85546875" style="586" customWidth="1"/>
    <col min="5146" max="5146" width="13.85546875" style="586" customWidth="1"/>
    <col min="5147" max="5154" width="11.42578125" style="586"/>
    <col min="5155" max="5155" width="13.28515625" style="586" customWidth="1"/>
    <col min="5156" max="5161" width="11.42578125" style="586"/>
    <col min="5162" max="5166" width="37.7109375" style="586" customWidth="1"/>
    <col min="5167" max="5174" width="30.140625" style="586" customWidth="1"/>
    <col min="5175" max="5375" width="11.42578125" style="586"/>
    <col min="5376" max="5376" width="13" style="586" bestFit="1" customWidth="1"/>
    <col min="5377" max="5377" width="11.42578125" style="586"/>
    <col min="5378" max="5378" width="42.85546875" style="586" customWidth="1"/>
    <col min="5379" max="5379" width="53.7109375" style="586" customWidth="1"/>
    <col min="5380" max="5380" width="18.5703125" style="586" customWidth="1"/>
    <col min="5381" max="5381" width="19.28515625" style="586" customWidth="1"/>
    <col min="5382" max="5382" width="28.5703125" style="586" customWidth="1"/>
    <col min="5383" max="5383" width="41.85546875" style="586" customWidth="1"/>
    <col min="5384" max="5384" width="37.28515625" style="586" customWidth="1"/>
    <col min="5385" max="5385" width="38.42578125" style="586" customWidth="1"/>
    <col min="5386" max="5386" width="40.7109375" style="586" customWidth="1"/>
    <col min="5387" max="5387" width="0" style="586" hidden="1" customWidth="1"/>
    <col min="5388" max="5388" width="38.42578125" style="586" customWidth="1"/>
    <col min="5389" max="5389" width="34.42578125" style="586" customWidth="1"/>
    <col min="5390" max="5394" width="40.7109375" style="586" customWidth="1"/>
    <col min="5395" max="5395" width="35" style="586" customWidth="1"/>
    <col min="5396" max="5396" width="38.42578125" style="586" customWidth="1"/>
    <col min="5397" max="5398" width="40.7109375" style="586" customWidth="1"/>
    <col min="5399" max="5399" width="34.42578125" style="586" customWidth="1"/>
    <col min="5400" max="5400" width="40.7109375" style="586" customWidth="1"/>
    <col min="5401" max="5401" width="17.85546875" style="586" customWidth="1"/>
    <col min="5402" max="5402" width="13.85546875" style="586" customWidth="1"/>
    <col min="5403" max="5410" width="11.42578125" style="586"/>
    <col min="5411" max="5411" width="13.28515625" style="586" customWidth="1"/>
    <col min="5412" max="5417" width="11.42578125" style="586"/>
    <col min="5418" max="5422" width="37.7109375" style="586" customWidth="1"/>
    <col min="5423" max="5430" width="30.140625" style="586" customWidth="1"/>
    <col min="5431" max="5631" width="11.42578125" style="586"/>
    <col min="5632" max="5632" width="13" style="586" bestFit="1" customWidth="1"/>
    <col min="5633" max="5633" width="11.42578125" style="586"/>
    <col min="5634" max="5634" width="42.85546875" style="586" customWidth="1"/>
    <col min="5635" max="5635" width="53.7109375" style="586" customWidth="1"/>
    <col min="5636" max="5636" width="18.5703125" style="586" customWidth="1"/>
    <col min="5637" max="5637" width="19.28515625" style="586" customWidth="1"/>
    <col min="5638" max="5638" width="28.5703125" style="586" customWidth="1"/>
    <col min="5639" max="5639" width="41.85546875" style="586" customWidth="1"/>
    <col min="5640" max="5640" width="37.28515625" style="586" customWidth="1"/>
    <col min="5641" max="5641" width="38.42578125" style="586" customWidth="1"/>
    <col min="5642" max="5642" width="40.7109375" style="586" customWidth="1"/>
    <col min="5643" max="5643" width="0" style="586" hidden="1" customWidth="1"/>
    <col min="5644" max="5644" width="38.42578125" style="586" customWidth="1"/>
    <col min="5645" max="5645" width="34.42578125" style="586" customWidth="1"/>
    <col min="5646" max="5650" width="40.7109375" style="586" customWidth="1"/>
    <col min="5651" max="5651" width="35" style="586" customWidth="1"/>
    <col min="5652" max="5652" width="38.42578125" style="586" customWidth="1"/>
    <col min="5653" max="5654" width="40.7109375" style="586" customWidth="1"/>
    <col min="5655" max="5655" width="34.42578125" style="586" customWidth="1"/>
    <col min="5656" max="5656" width="40.7109375" style="586" customWidth="1"/>
    <col min="5657" max="5657" width="17.85546875" style="586" customWidth="1"/>
    <col min="5658" max="5658" width="13.85546875" style="586" customWidth="1"/>
    <col min="5659" max="5666" width="11.42578125" style="586"/>
    <col min="5667" max="5667" width="13.28515625" style="586" customWidth="1"/>
    <col min="5668" max="5673" width="11.42578125" style="586"/>
    <col min="5674" max="5678" width="37.7109375" style="586" customWidth="1"/>
    <col min="5679" max="5686" width="30.140625" style="586" customWidth="1"/>
    <col min="5687" max="5887" width="11.42578125" style="586"/>
    <col min="5888" max="5888" width="13" style="586" bestFit="1" customWidth="1"/>
    <col min="5889" max="5889" width="11.42578125" style="586"/>
    <col min="5890" max="5890" width="42.85546875" style="586" customWidth="1"/>
    <col min="5891" max="5891" width="53.7109375" style="586" customWidth="1"/>
    <col min="5892" max="5892" width="18.5703125" style="586" customWidth="1"/>
    <col min="5893" max="5893" width="19.28515625" style="586" customWidth="1"/>
    <col min="5894" max="5894" width="28.5703125" style="586" customWidth="1"/>
    <col min="5895" max="5895" width="41.85546875" style="586" customWidth="1"/>
    <col min="5896" max="5896" width="37.28515625" style="586" customWidth="1"/>
    <col min="5897" max="5897" width="38.42578125" style="586" customWidth="1"/>
    <col min="5898" max="5898" width="40.7109375" style="586" customWidth="1"/>
    <col min="5899" max="5899" width="0" style="586" hidden="1" customWidth="1"/>
    <col min="5900" max="5900" width="38.42578125" style="586" customWidth="1"/>
    <col min="5901" max="5901" width="34.42578125" style="586" customWidth="1"/>
    <col min="5902" max="5906" width="40.7109375" style="586" customWidth="1"/>
    <col min="5907" max="5907" width="35" style="586" customWidth="1"/>
    <col min="5908" max="5908" width="38.42578125" style="586" customWidth="1"/>
    <col min="5909" max="5910" width="40.7109375" style="586" customWidth="1"/>
    <col min="5911" max="5911" width="34.42578125" style="586" customWidth="1"/>
    <col min="5912" max="5912" width="40.7109375" style="586" customWidth="1"/>
    <col min="5913" max="5913" width="17.85546875" style="586" customWidth="1"/>
    <col min="5914" max="5914" width="13.85546875" style="586" customWidth="1"/>
    <col min="5915" max="5922" width="11.42578125" style="586"/>
    <col min="5923" max="5923" width="13.28515625" style="586" customWidth="1"/>
    <col min="5924" max="5929" width="11.42578125" style="586"/>
    <col min="5930" max="5934" width="37.7109375" style="586" customWidth="1"/>
    <col min="5935" max="5942" width="30.140625" style="586" customWidth="1"/>
    <col min="5943" max="6143" width="11.42578125" style="586"/>
    <col min="6144" max="6144" width="13" style="586" bestFit="1" customWidth="1"/>
    <col min="6145" max="6145" width="11.42578125" style="586"/>
    <col min="6146" max="6146" width="42.85546875" style="586" customWidth="1"/>
    <col min="6147" max="6147" width="53.7109375" style="586" customWidth="1"/>
    <col min="6148" max="6148" width="18.5703125" style="586" customWidth="1"/>
    <col min="6149" max="6149" width="19.28515625" style="586" customWidth="1"/>
    <col min="6150" max="6150" width="28.5703125" style="586" customWidth="1"/>
    <col min="6151" max="6151" width="41.85546875" style="586" customWidth="1"/>
    <col min="6152" max="6152" width="37.28515625" style="586" customWidth="1"/>
    <col min="6153" max="6153" width="38.42578125" style="586" customWidth="1"/>
    <col min="6154" max="6154" width="40.7109375" style="586" customWidth="1"/>
    <col min="6155" max="6155" width="0" style="586" hidden="1" customWidth="1"/>
    <col min="6156" max="6156" width="38.42578125" style="586" customWidth="1"/>
    <col min="6157" max="6157" width="34.42578125" style="586" customWidth="1"/>
    <col min="6158" max="6162" width="40.7109375" style="586" customWidth="1"/>
    <col min="6163" max="6163" width="35" style="586" customWidth="1"/>
    <col min="6164" max="6164" width="38.42578125" style="586" customWidth="1"/>
    <col min="6165" max="6166" width="40.7109375" style="586" customWidth="1"/>
    <col min="6167" max="6167" width="34.42578125" style="586" customWidth="1"/>
    <col min="6168" max="6168" width="40.7109375" style="586" customWidth="1"/>
    <col min="6169" max="6169" width="17.85546875" style="586" customWidth="1"/>
    <col min="6170" max="6170" width="13.85546875" style="586" customWidth="1"/>
    <col min="6171" max="6178" width="11.42578125" style="586"/>
    <col min="6179" max="6179" width="13.28515625" style="586" customWidth="1"/>
    <col min="6180" max="6185" width="11.42578125" style="586"/>
    <col min="6186" max="6190" width="37.7109375" style="586" customWidth="1"/>
    <col min="6191" max="6198" width="30.140625" style="586" customWidth="1"/>
    <col min="6199" max="6399" width="11.42578125" style="586"/>
    <col min="6400" max="6400" width="13" style="586" bestFit="1" customWidth="1"/>
    <col min="6401" max="6401" width="11.42578125" style="586"/>
    <col min="6402" max="6402" width="42.85546875" style="586" customWidth="1"/>
    <col min="6403" max="6403" width="53.7109375" style="586" customWidth="1"/>
    <col min="6404" max="6404" width="18.5703125" style="586" customWidth="1"/>
    <col min="6405" max="6405" width="19.28515625" style="586" customWidth="1"/>
    <col min="6406" max="6406" width="28.5703125" style="586" customWidth="1"/>
    <col min="6407" max="6407" width="41.85546875" style="586" customWidth="1"/>
    <col min="6408" max="6408" width="37.28515625" style="586" customWidth="1"/>
    <col min="6409" max="6409" width="38.42578125" style="586" customWidth="1"/>
    <col min="6410" max="6410" width="40.7109375" style="586" customWidth="1"/>
    <col min="6411" max="6411" width="0" style="586" hidden="1" customWidth="1"/>
    <col min="6412" max="6412" width="38.42578125" style="586" customWidth="1"/>
    <col min="6413" max="6413" width="34.42578125" style="586" customWidth="1"/>
    <col min="6414" max="6418" width="40.7109375" style="586" customWidth="1"/>
    <col min="6419" max="6419" width="35" style="586" customWidth="1"/>
    <col min="6420" max="6420" width="38.42578125" style="586" customWidth="1"/>
    <col min="6421" max="6422" width="40.7109375" style="586" customWidth="1"/>
    <col min="6423" max="6423" width="34.42578125" style="586" customWidth="1"/>
    <col min="6424" max="6424" width="40.7109375" style="586" customWidth="1"/>
    <col min="6425" max="6425" width="17.85546875" style="586" customWidth="1"/>
    <col min="6426" max="6426" width="13.85546875" style="586" customWidth="1"/>
    <col min="6427" max="6434" width="11.42578125" style="586"/>
    <col min="6435" max="6435" width="13.28515625" style="586" customWidth="1"/>
    <col min="6436" max="6441" width="11.42578125" style="586"/>
    <col min="6442" max="6446" width="37.7109375" style="586" customWidth="1"/>
    <col min="6447" max="6454" width="30.140625" style="586" customWidth="1"/>
    <col min="6455" max="6655" width="11.42578125" style="586"/>
    <col min="6656" max="6656" width="13" style="586" bestFit="1" customWidth="1"/>
    <col min="6657" max="6657" width="11.42578125" style="586"/>
    <col min="6658" max="6658" width="42.85546875" style="586" customWidth="1"/>
    <col min="6659" max="6659" width="53.7109375" style="586" customWidth="1"/>
    <col min="6660" max="6660" width="18.5703125" style="586" customWidth="1"/>
    <col min="6661" max="6661" width="19.28515625" style="586" customWidth="1"/>
    <col min="6662" max="6662" width="28.5703125" style="586" customWidth="1"/>
    <col min="6663" max="6663" width="41.85546875" style="586" customWidth="1"/>
    <col min="6664" max="6664" width="37.28515625" style="586" customWidth="1"/>
    <col min="6665" max="6665" width="38.42578125" style="586" customWidth="1"/>
    <col min="6666" max="6666" width="40.7109375" style="586" customWidth="1"/>
    <col min="6667" max="6667" width="0" style="586" hidden="1" customWidth="1"/>
    <col min="6668" max="6668" width="38.42578125" style="586" customWidth="1"/>
    <col min="6669" max="6669" width="34.42578125" style="586" customWidth="1"/>
    <col min="6670" max="6674" width="40.7109375" style="586" customWidth="1"/>
    <col min="6675" max="6675" width="35" style="586" customWidth="1"/>
    <col min="6676" max="6676" width="38.42578125" style="586" customWidth="1"/>
    <col min="6677" max="6678" width="40.7109375" style="586" customWidth="1"/>
    <col min="6679" max="6679" width="34.42578125" style="586" customWidth="1"/>
    <col min="6680" max="6680" width="40.7109375" style="586" customWidth="1"/>
    <col min="6681" max="6681" width="17.85546875" style="586" customWidth="1"/>
    <col min="6682" max="6682" width="13.85546875" style="586" customWidth="1"/>
    <col min="6683" max="6690" width="11.42578125" style="586"/>
    <col min="6691" max="6691" width="13.28515625" style="586" customWidth="1"/>
    <col min="6692" max="6697" width="11.42578125" style="586"/>
    <col min="6698" max="6702" width="37.7109375" style="586" customWidth="1"/>
    <col min="6703" max="6710" width="30.140625" style="586" customWidth="1"/>
    <col min="6711" max="6911" width="11.42578125" style="586"/>
    <col min="6912" max="6912" width="13" style="586" bestFit="1" customWidth="1"/>
    <col min="6913" max="6913" width="11.42578125" style="586"/>
    <col min="6914" max="6914" width="42.85546875" style="586" customWidth="1"/>
    <col min="6915" max="6915" width="53.7109375" style="586" customWidth="1"/>
    <col min="6916" max="6916" width="18.5703125" style="586" customWidth="1"/>
    <col min="6917" max="6917" width="19.28515625" style="586" customWidth="1"/>
    <col min="6918" max="6918" width="28.5703125" style="586" customWidth="1"/>
    <col min="6919" max="6919" width="41.85546875" style="586" customWidth="1"/>
    <col min="6920" max="6920" width="37.28515625" style="586" customWidth="1"/>
    <col min="6921" max="6921" width="38.42578125" style="586" customWidth="1"/>
    <col min="6922" max="6922" width="40.7109375" style="586" customWidth="1"/>
    <col min="6923" max="6923" width="0" style="586" hidden="1" customWidth="1"/>
    <col min="6924" max="6924" width="38.42578125" style="586" customWidth="1"/>
    <col min="6925" max="6925" width="34.42578125" style="586" customWidth="1"/>
    <col min="6926" max="6930" width="40.7109375" style="586" customWidth="1"/>
    <col min="6931" max="6931" width="35" style="586" customWidth="1"/>
    <col min="6932" max="6932" width="38.42578125" style="586" customWidth="1"/>
    <col min="6933" max="6934" width="40.7109375" style="586" customWidth="1"/>
    <col min="6935" max="6935" width="34.42578125" style="586" customWidth="1"/>
    <col min="6936" max="6936" width="40.7109375" style="586" customWidth="1"/>
    <col min="6937" max="6937" width="17.85546875" style="586" customWidth="1"/>
    <col min="6938" max="6938" width="13.85546875" style="586" customWidth="1"/>
    <col min="6939" max="6946" width="11.42578125" style="586"/>
    <col min="6947" max="6947" width="13.28515625" style="586" customWidth="1"/>
    <col min="6948" max="6953" width="11.42578125" style="586"/>
    <col min="6954" max="6958" width="37.7109375" style="586" customWidth="1"/>
    <col min="6959" max="6966" width="30.140625" style="586" customWidth="1"/>
    <col min="6967" max="7167" width="11.42578125" style="586"/>
    <col min="7168" max="7168" width="13" style="586" bestFit="1" customWidth="1"/>
    <col min="7169" max="7169" width="11.42578125" style="586"/>
    <col min="7170" max="7170" width="42.85546875" style="586" customWidth="1"/>
    <col min="7171" max="7171" width="53.7109375" style="586" customWidth="1"/>
    <col min="7172" max="7172" width="18.5703125" style="586" customWidth="1"/>
    <col min="7173" max="7173" width="19.28515625" style="586" customWidth="1"/>
    <col min="7174" max="7174" width="28.5703125" style="586" customWidth="1"/>
    <col min="7175" max="7175" width="41.85546875" style="586" customWidth="1"/>
    <col min="7176" max="7176" width="37.28515625" style="586" customWidth="1"/>
    <col min="7177" max="7177" width="38.42578125" style="586" customWidth="1"/>
    <col min="7178" max="7178" width="40.7109375" style="586" customWidth="1"/>
    <col min="7179" max="7179" width="0" style="586" hidden="1" customWidth="1"/>
    <col min="7180" max="7180" width="38.42578125" style="586" customWidth="1"/>
    <col min="7181" max="7181" width="34.42578125" style="586" customWidth="1"/>
    <col min="7182" max="7186" width="40.7109375" style="586" customWidth="1"/>
    <col min="7187" max="7187" width="35" style="586" customWidth="1"/>
    <col min="7188" max="7188" width="38.42578125" style="586" customWidth="1"/>
    <col min="7189" max="7190" width="40.7109375" style="586" customWidth="1"/>
    <col min="7191" max="7191" width="34.42578125" style="586" customWidth="1"/>
    <col min="7192" max="7192" width="40.7109375" style="586" customWidth="1"/>
    <col min="7193" max="7193" width="17.85546875" style="586" customWidth="1"/>
    <col min="7194" max="7194" width="13.85546875" style="586" customWidth="1"/>
    <col min="7195" max="7202" width="11.42578125" style="586"/>
    <col min="7203" max="7203" width="13.28515625" style="586" customWidth="1"/>
    <col min="7204" max="7209" width="11.42578125" style="586"/>
    <col min="7210" max="7214" width="37.7109375" style="586" customWidth="1"/>
    <col min="7215" max="7222" width="30.140625" style="586" customWidth="1"/>
    <col min="7223" max="7423" width="11.42578125" style="586"/>
    <col min="7424" max="7424" width="13" style="586" bestFit="1" customWidth="1"/>
    <col min="7425" max="7425" width="11.42578125" style="586"/>
    <col min="7426" max="7426" width="42.85546875" style="586" customWidth="1"/>
    <col min="7427" max="7427" width="53.7109375" style="586" customWidth="1"/>
    <col min="7428" max="7428" width="18.5703125" style="586" customWidth="1"/>
    <col min="7429" max="7429" width="19.28515625" style="586" customWidth="1"/>
    <col min="7430" max="7430" width="28.5703125" style="586" customWidth="1"/>
    <col min="7431" max="7431" width="41.85546875" style="586" customWidth="1"/>
    <col min="7432" max="7432" width="37.28515625" style="586" customWidth="1"/>
    <col min="7433" max="7433" width="38.42578125" style="586" customWidth="1"/>
    <col min="7434" max="7434" width="40.7109375" style="586" customWidth="1"/>
    <col min="7435" max="7435" width="0" style="586" hidden="1" customWidth="1"/>
    <col min="7436" max="7436" width="38.42578125" style="586" customWidth="1"/>
    <col min="7437" max="7437" width="34.42578125" style="586" customWidth="1"/>
    <col min="7438" max="7442" width="40.7109375" style="586" customWidth="1"/>
    <col min="7443" max="7443" width="35" style="586" customWidth="1"/>
    <col min="7444" max="7444" width="38.42578125" style="586" customWidth="1"/>
    <col min="7445" max="7446" width="40.7109375" style="586" customWidth="1"/>
    <col min="7447" max="7447" width="34.42578125" style="586" customWidth="1"/>
    <col min="7448" max="7448" width="40.7109375" style="586" customWidth="1"/>
    <col min="7449" max="7449" width="17.85546875" style="586" customWidth="1"/>
    <col min="7450" max="7450" width="13.85546875" style="586" customWidth="1"/>
    <col min="7451" max="7458" width="11.42578125" style="586"/>
    <col min="7459" max="7459" width="13.28515625" style="586" customWidth="1"/>
    <col min="7460" max="7465" width="11.42578125" style="586"/>
    <col min="7466" max="7470" width="37.7109375" style="586" customWidth="1"/>
    <col min="7471" max="7478" width="30.140625" style="586" customWidth="1"/>
    <col min="7479" max="7679" width="11.42578125" style="586"/>
    <col min="7680" max="7680" width="13" style="586" bestFit="1" customWidth="1"/>
    <col min="7681" max="7681" width="11.42578125" style="586"/>
    <col min="7682" max="7682" width="42.85546875" style="586" customWidth="1"/>
    <col min="7683" max="7683" width="53.7109375" style="586" customWidth="1"/>
    <col min="7684" max="7684" width="18.5703125" style="586" customWidth="1"/>
    <col min="7685" max="7685" width="19.28515625" style="586" customWidth="1"/>
    <col min="7686" max="7686" width="28.5703125" style="586" customWidth="1"/>
    <col min="7687" max="7687" width="41.85546875" style="586" customWidth="1"/>
    <col min="7688" max="7688" width="37.28515625" style="586" customWidth="1"/>
    <col min="7689" max="7689" width="38.42578125" style="586" customWidth="1"/>
    <col min="7690" max="7690" width="40.7109375" style="586" customWidth="1"/>
    <col min="7691" max="7691" width="0" style="586" hidden="1" customWidth="1"/>
    <col min="7692" max="7692" width="38.42578125" style="586" customWidth="1"/>
    <col min="7693" max="7693" width="34.42578125" style="586" customWidth="1"/>
    <col min="7694" max="7698" width="40.7109375" style="586" customWidth="1"/>
    <col min="7699" max="7699" width="35" style="586" customWidth="1"/>
    <col min="7700" max="7700" width="38.42578125" style="586" customWidth="1"/>
    <col min="7701" max="7702" width="40.7109375" style="586" customWidth="1"/>
    <col min="7703" max="7703" width="34.42578125" style="586" customWidth="1"/>
    <col min="7704" max="7704" width="40.7109375" style="586" customWidth="1"/>
    <col min="7705" max="7705" width="17.85546875" style="586" customWidth="1"/>
    <col min="7706" max="7706" width="13.85546875" style="586" customWidth="1"/>
    <col min="7707" max="7714" width="11.42578125" style="586"/>
    <col min="7715" max="7715" width="13.28515625" style="586" customWidth="1"/>
    <col min="7716" max="7721" width="11.42578125" style="586"/>
    <col min="7722" max="7726" width="37.7109375" style="586" customWidth="1"/>
    <col min="7727" max="7734" width="30.140625" style="586" customWidth="1"/>
    <col min="7735" max="7935" width="11.42578125" style="586"/>
    <col min="7936" max="7936" width="13" style="586" bestFit="1" customWidth="1"/>
    <col min="7937" max="7937" width="11.42578125" style="586"/>
    <col min="7938" max="7938" width="42.85546875" style="586" customWidth="1"/>
    <col min="7939" max="7939" width="53.7109375" style="586" customWidth="1"/>
    <col min="7940" max="7940" width="18.5703125" style="586" customWidth="1"/>
    <col min="7941" max="7941" width="19.28515625" style="586" customWidth="1"/>
    <col min="7942" max="7942" width="28.5703125" style="586" customWidth="1"/>
    <col min="7943" max="7943" width="41.85546875" style="586" customWidth="1"/>
    <col min="7944" max="7944" width="37.28515625" style="586" customWidth="1"/>
    <col min="7945" max="7945" width="38.42578125" style="586" customWidth="1"/>
    <col min="7946" max="7946" width="40.7109375" style="586" customWidth="1"/>
    <col min="7947" max="7947" width="0" style="586" hidden="1" customWidth="1"/>
    <col min="7948" max="7948" width="38.42578125" style="586" customWidth="1"/>
    <col min="7949" max="7949" width="34.42578125" style="586" customWidth="1"/>
    <col min="7950" max="7954" width="40.7109375" style="586" customWidth="1"/>
    <col min="7955" max="7955" width="35" style="586" customWidth="1"/>
    <col min="7956" max="7956" width="38.42578125" style="586" customWidth="1"/>
    <col min="7957" max="7958" width="40.7109375" style="586" customWidth="1"/>
    <col min="7959" max="7959" width="34.42578125" style="586" customWidth="1"/>
    <col min="7960" max="7960" width="40.7109375" style="586" customWidth="1"/>
    <col min="7961" max="7961" width="17.85546875" style="586" customWidth="1"/>
    <col min="7962" max="7962" width="13.85546875" style="586" customWidth="1"/>
    <col min="7963" max="7970" width="11.42578125" style="586"/>
    <col min="7971" max="7971" width="13.28515625" style="586" customWidth="1"/>
    <col min="7972" max="7977" width="11.42578125" style="586"/>
    <col min="7978" max="7982" width="37.7109375" style="586" customWidth="1"/>
    <col min="7983" max="7990" width="30.140625" style="586" customWidth="1"/>
    <col min="7991" max="8191" width="11.42578125" style="586"/>
    <col min="8192" max="8192" width="13" style="586" bestFit="1" customWidth="1"/>
    <col min="8193" max="8193" width="11.42578125" style="586"/>
    <col min="8194" max="8194" width="42.85546875" style="586" customWidth="1"/>
    <col min="8195" max="8195" width="53.7109375" style="586" customWidth="1"/>
    <col min="8196" max="8196" width="18.5703125" style="586" customWidth="1"/>
    <col min="8197" max="8197" width="19.28515625" style="586" customWidth="1"/>
    <col min="8198" max="8198" width="28.5703125" style="586" customWidth="1"/>
    <col min="8199" max="8199" width="41.85546875" style="586" customWidth="1"/>
    <col min="8200" max="8200" width="37.28515625" style="586" customWidth="1"/>
    <col min="8201" max="8201" width="38.42578125" style="586" customWidth="1"/>
    <col min="8202" max="8202" width="40.7109375" style="586" customWidth="1"/>
    <col min="8203" max="8203" width="0" style="586" hidden="1" customWidth="1"/>
    <col min="8204" max="8204" width="38.42578125" style="586" customWidth="1"/>
    <col min="8205" max="8205" width="34.42578125" style="586" customWidth="1"/>
    <col min="8206" max="8210" width="40.7109375" style="586" customWidth="1"/>
    <col min="8211" max="8211" width="35" style="586" customWidth="1"/>
    <col min="8212" max="8212" width="38.42578125" style="586" customWidth="1"/>
    <col min="8213" max="8214" width="40.7109375" style="586" customWidth="1"/>
    <col min="8215" max="8215" width="34.42578125" style="586" customWidth="1"/>
    <col min="8216" max="8216" width="40.7109375" style="586" customWidth="1"/>
    <col min="8217" max="8217" width="17.85546875" style="586" customWidth="1"/>
    <col min="8218" max="8218" width="13.85546875" style="586" customWidth="1"/>
    <col min="8219" max="8226" width="11.42578125" style="586"/>
    <col min="8227" max="8227" width="13.28515625" style="586" customWidth="1"/>
    <col min="8228" max="8233" width="11.42578125" style="586"/>
    <col min="8234" max="8238" width="37.7109375" style="586" customWidth="1"/>
    <col min="8239" max="8246" width="30.140625" style="586" customWidth="1"/>
    <col min="8247" max="8447" width="11.42578125" style="586"/>
    <col min="8448" max="8448" width="13" style="586" bestFit="1" customWidth="1"/>
    <col min="8449" max="8449" width="11.42578125" style="586"/>
    <col min="8450" max="8450" width="42.85546875" style="586" customWidth="1"/>
    <col min="8451" max="8451" width="53.7109375" style="586" customWidth="1"/>
    <col min="8452" max="8452" width="18.5703125" style="586" customWidth="1"/>
    <col min="8453" max="8453" width="19.28515625" style="586" customWidth="1"/>
    <col min="8454" max="8454" width="28.5703125" style="586" customWidth="1"/>
    <col min="8455" max="8455" width="41.85546875" style="586" customWidth="1"/>
    <col min="8456" max="8456" width="37.28515625" style="586" customWidth="1"/>
    <col min="8457" max="8457" width="38.42578125" style="586" customWidth="1"/>
    <col min="8458" max="8458" width="40.7109375" style="586" customWidth="1"/>
    <col min="8459" max="8459" width="0" style="586" hidden="1" customWidth="1"/>
    <col min="8460" max="8460" width="38.42578125" style="586" customWidth="1"/>
    <col min="8461" max="8461" width="34.42578125" style="586" customWidth="1"/>
    <col min="8462" max="8466" width="40.7109375" style="586" customWidth="1"/>
    <col min="8467" max="8467" width="35" style="586" customWidth="1"/>
    <col min="8468" max="8468" width="38.42578125" style="586" customWidth="1"/>
    <col min="8469" max="8470" width="40.7109375" style="586" customWidth="1"/>
    <col min="8471" max="8471" width="34.42578125" style="586" customWidth="1"/>
    <col min="8472" max="8472" width="40.7109375" style="586" customWidth="1"/>
    <col min="8473" max="8473" width="17.85546875" style="586" customWidth="1"/>
    <col min="8474" max="8474" width="13.85546875" style="586" customWidth="1"/>
    <col min="8475" max="8482" width="11.42578125" style="586"/>
    <col min="8483" max="8483" width="13.28515625" style="586" customWidth="1"/>
    <col min="8484" max="8489" width="11.42578125" style="586"/>
    <col min="8490" max="8494" width="37.7109375" style="586" customWidth="1"/>
    <col min="8495" max="8502" width="30.140625" style="586" customWidth="1"/>
    <col min="8503" max="8703" width="11.42578125" style="586"/>
    <col min="8704" max="8704" width="13" style="586" bestFit="1" customWidth="1"/>
    <col min="8705" max="8705" width="11.42578125" style="586"/>
    <col min="8706" max="8706" width="42.85546875" style="586" customWidth="1"/>
    <col min="8707" max="8707" width="53.7109375" style="586" customWidth="1"/>
    <col min="8708" max="8708" width="18.5703125" style="586" customWidth="1"/>
    <col min="8709" max="8709" width="19.28515625" style="586" customWidth="1"/>
    <col min="8710" max="8710" width="28.5703125" style="586" customWidth="1"/>
    <col min="8711" max="8711" width="41.85546875" style="586" customWidth="1"/>
    <col min="8712" max="8712" width="37.28515625" style="586" customWidth="1"/>
    <col min="8713" max="8713" width="38.42578125" style="586" customWidth="1"/>
    <col min="8714" max="8714" width="40.7109375" style="586" customWidth="1"/>
    <col min="8715" max="8715" width="0" style="586" hidden="1" customWidth="1"/>
    <col min="8716" max="8716" width="38.42578125" style="586" customWidth="1"/>
    <col min="8717" max="8717" width="34.42578125" style="586" customWidth="1"/>
    <col min="8718" max="8722" width="40.7109375" style="586" customWidth="1"/>
    <col min="8723" max="8723" width="35" style="586" customWidth="1"/>
    <col min="8724" max="8724" width="38.42578125" style="586" customWidth="1"/>
    <col min="8725" max="8726" width="40.7109375" style="586" customWidth="1"/>
    <col min="8727" max="8727" width="34.42578125" style="586" customWidth="1"/>
    <col min="8728" max="8728" width="40.7109375" style="586" customWidth="1"/>
    <col min="8729" max="8729" width="17.85546875" style="586" customWidth="1"/>
    <col min="8730" max="8730" width="13.85546875" style="586" customWidth="1"/>
    <col min="8731" max="8738" width="11.42578125" style="586"/>
    <col min="8739" max="8739" width="13.28515625" style="586" customWidth="1"/>
    <col min="8740" max="8745" width="11.42578125" style="586"/>
    <col min="8746" max="8750" width="37.7109375" style="586" customWidth="1"/>
    <col min="8751" max="8758" width="30.140625" style="586" customWidth="1"/>
    <col min="8759" max="8959" width="11.42578125" style="586"/>
    <col min="8960" max="8960" width="13" style="586" bestFit="1" customWidth="1"/>
    <col min="8961" max="8961" width="11.42578125" style="586"/>
    <col min="8962" max="8962" width="42.85546875" style="586" customWidth="1"/>
    <col min="8963" max="8963" width="53.7109375" style="586" customWidth="1"/>
    <col min="8964" max="8964" width="18.5703125" style="586" customWidth="1"/>
    <col min="8965" max="8965" width="19.28515625" style="586" customWidth="1"/>
    <col min="8966" max="8966" width="28.5703125" style="586" customWidth="1"/>
    <col min="8967" max="8967" width="41.85546875" style="586" customWidth="1"/>
    <col min="8968" max="8968" width="37.28515625" style="586" customWidth="1"/>
    <col min="8969" max="8969" width="38.42578125" style="586" customWidth="1"/>
    <col min="8970" max="8970" width="40.7109375" style="586" customWidth="1"/>
    <col min="8971" max="8971" width="0" style="586" hidden="1" customWidth="1"/>
    <col min="8972" max="8972" width="38.42578125" style="586" customWidth="1"/>
    <col min="8973" max="8973" width="34.42578125" style="586" customWidth="1"/>
    <col min="8974" max="8978" width="40.7109375" style="586" customWidth="1"/>
    <col min="8979" max="8979" width="35" style="586" customWidth="1"/>
    <col min="8980" max="8980" width="38.42578125" style="586" customWidth="1"/>
    <col min="8981" max="8982" width="40.7109375" style="586" customWidth="1"/>
    <col min="8983" max="8983" width="34.42578125" style="586" customWidth="1"/>
    <col min="8984" max="8984" width="40.7109375" style="586" customWidth="1"/>
    <col min="8985" max="8985" width="17.85546875" style="586" customWidth="1"/>
    <col min="8986" max="8986" width="13.85546875" style="586" customWidth="1"/>
    <col min="8987" max="8994" width="11.42578125" style="586"/>
    <col min="8995" max="8995" width="13.28515625" style="586" customWidth="1"/>
    <col min="8996" max="9001" width="11.42578125" style="586"/>
    <col min="9002" max="9006" width="37.7109375" style="586" customWidth="1"/>
    <col min="9007" max="9014" width="30.140625" style="586" customWidth="1"/>
    <col min="9015" max="9215" width="11.42578125" style="586"/>
    <col min="9216" max="9216" width="13" style="586" bestFit="1" customWidth="1"/>
    <col min="9217" max="9217" width="11.42578125" style="586"/>
    <col min="9218" max="9218" width="42.85546875" style="586" customWidth="1"/>
    <col min="9219" max="9219" width="53.7109375" style="586" customWidth="1"/>
    <col min="9220" max="9220" width="18.5703125" style="586" customWidth="1"/>
    <col min="9221" max="9221" width="19.28515625" style="586" customWidth="1"/>
    <col min="9222" max="9222" width="28.5703125" style="586" customWidth="1"/>
    <col min="9223" max="9223" width="41.85546875" style="586" customWidth="1"/>
    <col min="9224" max="9224" width="37.28515625" style="586" customWidth="1"/>
    <col min="9225" max="9225" width="38.42578125" style="586" customWidth="1"/>
    <col min="9226" max="9226" width="40.7109375" style="586" customWidth="1"/>
    <col min="9227" max="9227" width="0" style="586" hidden="1" customWidth="1"/>
    <col min="9228" max="9228" width="38.42578125" style="586" customWidth="1"/>
    <col min="9229" max="9229" width="34.42578125" style="586" customWidth="1"/>
    <col min="9230" max="9234" width="40.7109375" style="586" customWidth="1"/>
    <col min="9235" max="9235" width="35" style="586" customWidth="1"/>
    <col min="9236" max="9236" width="38.42578125" style="586" customWidth="1"/>
    <col min="9237" max="9238" width="40.7109375" style="586" customWidth="1"/>
    <col min="9239" max="9239" width="34.42578125" style="586" customWidth="1"/>
    <col min="9240" max="9240" width="40.7109375" style="586" customWidth="1"/>
    <col min="9241" max="9241" width="17.85546875" style="586" customWidth="1"/>
    <col min="9242" max="9242" width="13.85546875" style="586" customWidth="1"/>
    <col min="9243" max="9250" width="11.42578125" style="586"/>
    <col min="9251" max="9251" width="13.28515625" style="586" customWidth="1"/>
    <col min="9252" max="9257" width="11.42578125" style="586"/>
    <col min="9258" max="9262" width="37.7109375" style="586" customWidth="1"/>
    <col min="9263" max="9270" width="30.140625" style="586" customWidth="1"/>
    <col min="9271" max="9471" width="11.42578125" style="586"/>
    <col min="9472" max="9472" width="13" style="586" bestFit="1" customWidth="1"/>
    <col min="9473" max="9473" width="11.42578125" style="586"/>
    <col min="9474" max="9474" width="42.85546875" style="586" customWidth="1"/>
    <col min="9475" max="9475" width="53.7109375" style="586" customWidth="1"/>
    <col min="9476" max="9476" width="18.5703125" style="586" customWidth="1"/>
    <col min="9477" max="9477" width="19.28515625" style="586" customWidth="1"/>
    <col min="9478" max="9478" width="28.5703125" style="586" customWidth="1"/>
    <col min="9479" max="9479" width="41.85546875" style="586" customWidth="1"/>
    <col min="9480" max="9480" width="37.28515625" style="586" customWidth="1"/>
    <col min="9481" max="9481" width="38.42578125" style="586" customWidth="1"/>
    <col min="9482" max="9482" width="40.7109375" style="586" customWidth="1"/>
    <col min="9483" max="9483" width="0" style="586" hidden="1" customWidth="1"/>
    <col min="9484" max="9484" width="38.42578125" style="586" customWidth="1"/>
    <col min="9485" max="9485" width="34.42578125" style="586" customWidth="1"/>
    <col min="9486" max="9490" width="40.7109375" style="586" customWidth="1"/>
    <col min="9491" max="9491" width="35" style="586" customWidth="1"/>
    <col min="9492" max="9492" width="38.42578125" style="586" customWidth="1"/>
    <col min="9493" max="9494" width="40.7109375" style="586" customWidth="1"/>
    <col min="9495" max="9495" width="34.42578125" style="586" customWidth="1"/>
    <col min="9496" max="9496" width="40.7109375" style="586" customWidth="1"/>
    <col min="9497" max="9497" width="17.85546875" style="586" customWidth="1"/>
    <col min="9498" max="9498" width="13.85546875" style="586" customWidth="1"/>
    <col min="9499" max="9506" width="11.42578125" style="586"/>
    <col min="9507" max="9507" width="13.28515625" style="586" customWidth="1"/>
    <col min="9508" max="9513" width="11.42578125" style="586"/>
    <col min="9514" max="9518" width="37.7109375" style="586" customWidth="1"/>
    <col min="9519" max="9526" width="30.140625" style="586" customWidth="1"/>
    <col min="9527" max="9727" width="11.42578125" style="586"/>
    <col min="9728" max="9728" width="13" style="586" bestFit="1" customWidth="1"/>
    <col min="9729" max="9729" width="11.42578125" style="586"/>
    <col min="9730" max="9730" width="42.85546875" style="586" customWidth="1"/>
    <col min="9731" max="9731" width="53.7109375" style="586" customWidth="1"/>
    <col min="9732" max="9732" width="18.5703125" style="586" customWidth="1"/>
    <col min="9733" max="9733" width="19.28515625" style="586" customWidth="1"/>
    <col min="9734" max="9734" width="28.5703125" style="586" customWidth="1"/>
    <col min="9735" max="9735" width="41.85546875" style="586" customWidth="1"/>
    <col min="9736" max="9736" width="37.28515625" style="586" customWidth="1"/>
    <col min="9737" max="9737" width="38.42578125" style="586" customWidth="1"/>
    <col min="9738" max="9738" width="40.7109375" style="586" customWidth="1"/>
    <col min="9739" max="9739" width="0" style="586" hidden="1" customWidth="1"/>
    <col min="9740" max="9740" width="38.42578125" style="586" customWidth="1"/>
    <col min="9741" max="9741" width="34.42578125" style="586" customWidth="1"/>
    <col min="9742" max="9746" width="40.7109375" style="586" customWidth="1"/>
    <col min="9747" max="9747" width="35" style="586" customWidth="1"/>
    <col min="9748" max="9748" width="38.42578125" style="586" customWidth="1"/>
    <col min="9749" max="9750" width="40.7109375" style="586" customWidth="1"/>
    <col min="9751" max="9751" width="34.42578125" style="586" customWidth="1"/>
    <col min="9752" max="9752" width="40.7109375" style="586" customWidth="1"/>
    <col min="9753" max="9753" width="17.85546875" style="586" customWidth="1"/>
    <col min="9754" max="9754" width="13.85546875" style="586" customWidth="1"/>
    <col min="9755" max="9762" width="11.42578125" style="586"/>
    <col min="9763" max="9763" width="13.28515625" style="586" customWidth="1"/>
    <col min="9764" max="9769" width="11.42578125" style="586"/>
    <col min="9770" max="9774" width="37.7109375" style="586" customWidth="1"/>
    <col min="9775" max="9782" width="30.140625" style="586" customWidth="1"/>
    <col min="9783" max="9983" width="11.42578125" style="586"/>
    <col min="9984" max="9984" width="13" style="586" bestFit="1" customWidth="1"/>
    <col min="9985" max="9985" width="11.42578125" style="586"/>
    <col min="9986" max="9986" width="42.85546875" style="586" customWidth="1"/>
    <col min="9987" max="9987" width="53.7109375" style="586" customWidth="1"/>
    <col min="9988" max="9988" width="18.5703125" style="586" customWidth="1"/>
    <col min="9989" max="9989" width="19.28515625" style="586" customWidth="1"/>
    <col min="9990" max="9990" width="28.5703125" style="586" customWidth="1"/>
    <col min="9991" max="9991" width="41.85546875" style="586" customWidth="1"/>
    <col min="9992" max="9992" width="37.28515625" style="586" customWidth="1"/>
    <col min="9993" max="9993" width="38.42578125" style="586" customWidth="1"/>
    <col min="9994" max="9994" width="40.7109375" style="586" customWidth="1"/>
    <col min="9995" max="9995" width="0" style="586" hidden="1" customWidth="1"/>
    <col min="9996" max="9996" width="38.42578125" style="586" customWidth="1"/>
    <col min="9997" max="9997" width="34.42578125" style="586" customWidth="1"/>
    <col min="9998" max="10002" width="40.7109375" style="586" customWidth="1"/>
    <col min="10003" max="10003" width="35" style="586" customWidth="1"/>
    <col min="10004" max="10004" width="38.42578125" style="586" customWidth="1"/>
    <col min="10005" max="10006" width="40.7109375" style="586" customWidth="1"/>
    <col min="10007" max="10007" width="34.42578125" style="586" customWidth="1"/>
    <col min="10008" max="10008" width="40.7109375" style="586" customWidth="1"/>
    <col min="10009" max="10009" width="17.85546875" style="586" customWidth="1"/>
    <col min="10010" max="10010" width="13.85546875" style="586" customWidth="1"/>
    <col min="10011" max="10018" width="11.42578125" style="586"/>
    <col min="10019" max="10019" width="13.28515625" style="586" customWidth="1"/>
    <col min="10020" max="10025" width="11.42578125" style="586"/>
    <col min="10026" max="10030" width="37.7109375" style="586" customWidth="1"/>
    <col min="10031" max="10038" width="30.140625" style="586" customWidth="1"/>
    <col min="10039" max="10239" width="11.42578125" style="586"/>
    <col min="10240" max="10240" width="13" style="586" bestFit="1" customWidth="1"/>
    <col min="10241" max="10241" width="11.42578125" style="586"/>
    <col min="10242" max="10242" width="42.85546875" style="586" customWidth="1"/>
    <col min="10243" max="10243" width="53.7109375" style="586" customWidth="1"/>
    <col min="10244" max="10244" width="18.5703125" style="586" customWidth="1"/>
    <col min="10245" max="10245" width="19.28515625" style="586" customWidth="1"/>
    <col min="10246" max="10246" width="28.5703125" style="586" customWidth="1"/>
    <col min="10247" max="10247" width="41.85546875" style="586" customWidth="1"/>
    <col min="10248" max="10248" width="37.28515625" style="586" customWidth="1"/>
    <col min="10249" max="10249" width="38.42578125" style="586" customWidth="1"/>
    <col min="10250" max="10250" width="40.7109375" style="586" customWidth="1"/>
    <col min="10251" max="10251" width="0" style="586" hidden="1" customWidth="1"/>
    <col min="10252" max="10252" width="38.42578125" style="586" customWidth="1"/>
    <col min="10253" max="10253" width="34.42578125" style="586" customWidth="1"/>
    <col min="10254" max="10258" width="40.7109375" style="586" customWidth="1"/>
    <col min="10259" max="10259" width="35" style="586" customWidth="1"/>
    <col min="10260" max="10260" width="38.42578125" style="586" customWidth="1"/>
    <col min="10261" max="10262" width="40.7109375" style="586" customWidth="1"/>
    <col min="10263" max="10263" width="34.42578125" style="586" customWidth="1"/>
    <col min="10264" max="10264" width="40.7109375" style="586" customWidth="1"/>
    <col min="10265" max="10265" width="17.85546875" style="586" customWidth="1"/>
    <col min="10266" max="10266" width="13.85546875" style="586" customWidth="1"/>
    <col min="10267" max="10274" width="11.42578125" style="586"/>
    <col min="10275" max="10275" width="13.28515625" style="586" customWidth="1"/>
    <col min="10276" max="10281" width="11.42578125" style="586"/>
    <col min="10282" max="10286" width="37.7109375" style="586" customWidth="1"/>
    <col min="10287" max="10294" width="30.140625" style="586" customWidth="1"/>
    <col min="10295" max="10495" width="11.42578125" style="586"/>
    <col min="10496" max="10496" width="13" style="586" bestFit="1" customWidth="1"/>
    <col min="10497" max="10497" width="11.42578125" style="586"/>
    <col min="10498" max="10498" width="42.85546875" style="586" customWidth="1"/>
    <col min="10499" max="10499" width="53.7109375" style="586" customWidth="1"/>
    <col min="10500" max="10500" width="18.5703125" style="586" customWidth="1"/>
    <col min="10501" max="10501" width="19.28515625" style="586" customWidth="1"/>
    <col min="10502" max="10502" width="28.5703125" style="586" customWidth="1"/>
    <col min="10503" max="10503" width="41.85546875" style="586" customWidth="1"/>
    <col min="10504" max="10504" width="37.28515625" style="586" customWidth="1"/>
    <col min="10505" max="10505" width="38.42578125" style="586" customWidth="1"/>
    <col min="10506" max="10506" width="40.7109375" style="586" customWidth="1"/>
    <col min="10507" max="10507" width="0" style="586" hidden="1" customWidth="1"/>
    <col min="10508" max="10508" width="38.42578125" style="586" customWidth="1"/>
    <col min="10509" max="10509" width="34.42578125" style="586" customWidth="1"/>
    <col min="10510" max="10514" width="40.7109375" style="586" customWidth="1"/>
    <col min="10515" max="10515" width="35" style="586" customWidth="1"/>
    <col min="10516" max="10516" width="38.42578125" style="586" customWidth="1"/>
    <col min="10517" max="10518" width="40.7109375" style="586" customWidth="1"/>
    <col min="10519" max="10519" width="34.42578125" style="586" customWidth="1"/>
    <col min="10520" max="10520" width="40.7109375" style="586" customWidth="1"/>
    <col min="10521" max="10521" width="17.85546875" style="586" customWidth="1"/>
    <col min="10522" max="10522" width="13.85546875" style="586" customWidth="1"/>
    <col min="10523" max="10530" width="11.42578125" style="586"/>
    <col min="10531" max="10531" width="13.28515625" style="586" customWidth="1"/>
    <col min="10532" max="10537" width="11.42578125" style="586"/>
    <col min="10538" max="10542" width="37.7109375" style="586" customWidth="1"/>
    <col min="10543" max="10550" width="30.140625" style="586" customWidth="1"/>
    <col min="10551" max="10751" width="11.42578125" style="586"/>
    <col min="10752" max="10752" width="13" style="586" bestFit="1" customWidth="1"/>
    <col min="10753" max="10753" width="11.42578125" style="586"/>
    <col min="10754" max="10754" width="42.85546875" style="586" customWidth="1"/>
    <col min="10755" max="10755" width="53.7109375" style="586" customWidth="1"/>
    <col min="10756" max="10756" width="18.5703125" style="586" customWidth="1"/>
    <col min="10757" max="10757" width="19.28515625" style="586" customWidth="1"/>
    <col min="10758" max="10758" width="28.5703125" style="586" customWidth="1"/>
    <col min="10759" max="10759" width="41.85546875" style="586" customWidth="1"/>
    <col min="10760" max="10760" width="37.28515625" style="586" customWidth="1"/>
    <col min="10761" max="10761" width="38.42578125" style="586" customWidth="1"/>
    <col min="10762" max="10762" width="40.7109375" style="586" customWidth="1"/>
    <col min="10763" max="10763" width="0" style="586" hidden="1" customWidth="1"/>
    <col min="10764" max="10764" width="38.42578125" style="586" customWidth="1"/>
    <col min="10765" max="10765" width="34.42578125" style="586" customWidth="1"/>
    <col min="10766" max="10770" width="40.7109375" style="586" customWidth="1"/>
    <col min="10771" max="10771" width="35" style="586" customWidth="1"/>
    <col min="10772" max="10772" width="38.42578125" style="586" customWidth="1"/>
    <col min="10773" max="10774" width="40.7109375" style="586" customWidth="1"/>
    <col min="10775" max="10775" width="34.42578125" style="586" customWidth="1"/>
    <col min="10776" max="10776" width="40.7109375" style="586" customWidth="1"/>
    <col min="10777" max="10777" width="17.85546875" style="586" customWidth="1"/>
    <col min="10778" max="10778" width="13.85546875" style="586" customWidth="1"/>
    <col min="10779" max="10786" width="11.42578125" style="586"/>
    <col min="10787" max="10787" width="13.28515625" style="586" customWidth="1"/>
    <col min="10788" max="10793" width="11.42578125" style="586"/>
    <col min="10794" max="10798" width="37.7109375" style="586" customWidth="1"/>
    <col min="10799" max="10806" width="30.140625" style="586" customWidth="1"/>
    <col min="10807" max="11007" width="11.42578125" style="586"/>
    <col min="11008" max="11008" width="13" style="586" bestFit="1" customWidth="1"/>
    <col min="11009" max="11009" width="11.42578125" style="586"/>
    <col min="11010" max="11010" width="42.85546875" style="586" customWidth="1"/>
    <col min="11011" max="11011" width="53.7109375" style="586" customWidth="1"/>
    <col min="11012" max="11012" width="18.5703125" style="586" customWidth="1"/>
    <col min="11013" max="11013" width="19.28515625" style="586" customWidth="1"/>
    <col min="11014" max="11014" width="28.5703125" style="586" customWidth="1"/>
    <col min="11015" max="11015" width="41.85546875" style="586" customWidth="1"/>
    <col min="11016" max="11016" width="37.28515625" style="586" customWidth="1"/>
    <col min="11017" max="11017" width="38.42578125" style="586" customWidth="1"/>
    <col min="11018" max="11018" width="40.7109375" style="586" customWidth="1"/>
    <col min="11019" max="11019" width="0" style="586" hidden="1" customWidth="1"/>
    <col min="11020" max="11020" width="38.42578125" style="586" customWidth="1"/>
    <col min="11021" max="11021" width="34.42578125" style="586" customWidth="1"/>
    <col min="11022" max="11026" width="40.7109375" style="586" customWidth="1"/>
    <col min="11027" max="11027" width="35" style="586" customWidth="1"/>
    <col min="11028" max="11028" width="38.42578125" style="586" customWidth="1"/>
    <col min="11029" max="11030" width="40.7109375" style="586" customWidth="1"/>
    <col min="11031" max="11031" width="34.42578125" style="586" customWidth="1"/>
    <col min="11032" max="11032" width="40.7109375" style="586" customWidth="1"/>
    <col min="11033" max="11033" width="17.85546875" style="586" customWidth="1"/>
    <col min="11034" max="11034" width="13.85546875" style="586" customWidth="1"/>
    <col min="11035" max="11042" width="11.42578125" style="586"/>
    <col min="11043" max="11043" width="13.28515625" style="586" customWidth="1"/>
    <col min="11044" max="11049" width="11.42578125" style="586"/>
    <col min="11050" max="11054" width="37.7109375" style="586" customWidth="1"/>
    <col min="11055" max="11062" width="30.140625" style="586" customWidth="1"/>
    <col min="11063" max="11263" width="11.42578125" style="586"/>
    <col min="11264" max="11264" width="13" style="586" bestFit="1" customWidth="1"/>
    <col min="11265" max="11265" width="11.42578125" style="586"/>
    <col min="11266" max="11266" width="42.85546875" style="586" customWidth="1"/>
    <col min="11267" max="11267" width="53.7109375" style="586" customWidth="1"/>
    <col min="11268" max="11268" width="18.5703125" style="586" customWidth="1"/>
    <col min="11269" max="11269" width="19.28515625" style="586" customWidth="1"/>
    <col min="11270" max="11270" width="28.5703125" style="586" customWidth="1"/>
    <col min="11271" max="11271" width="41.85546875" style="586" customWidth="1"/>
    <col min="11272" max="11272" width="37.28515625" style="586" customWidth="1"/>
    <col min="11273" max="11273" width="38.42578125" style="586" customWidth="1"/>
    <col min="11274" max="11274" width="40.7109375" style="586" customWidth="1"/>
    <col min="11275" max="11275" width="0" style="586" hidden="1" customWidth="1"/>
    <col min="11276" max="11276" width="38.42578125" style="586" customWidth="1"/>
    <col min="11277" max="11277" width="34.42578125" style="586" customWidth="1"/>
    <col min="11278" max="11282" width="40.7109375" style="586" customWidth="1"/>
    <col min="11283" max="11283" width="35" style="586" customWidth="1"/>
    <col min="11284" max="11284" width="38.42578125" style="586" customWidth="1"/>
    <col min="11285" max="11286" width="40.7109375" style="586" customWidth="1"/>
    <col min="11287" max="11287" width="34.42578125" style="586" customWidth="1"/>
    <col min="11288" max="11288" width="40.7109375" style="586" customWidth="1"/>
    <col min="11289" max="11289" width="17.85546875" style="586" customWidth="1"/>
    <col min="11290" max="11290" width="13.85546875" style="586" customWidth="1"/>
    <col min="11291" max="11298" width="11.42578125" style="586"/>
    <col min="11299" max="11299" width="13.28515625" style="586" customWidth="1"/>
    <col min="11300" max="11305" width="11.42578125" style="586"/>
    <col min="11306" max="11310" width="37.7109375" style="586" customWidth="1"/>
    <col min="11311" max="11318" width="30.140625" style="586" customWidth="1"/>
    <col min="11319" max="11519" width="11.42578125" style="586"/>
    <col min="11520" max="11520" width="13" style="586" bestFit="1" customWidth="1"/>
    <col min="11521" max="11521" width="11.42578125" style="586"/>
    <col min="11522" max="11522" width="42.85546875" style="586" customWidth="1"/>
    <col min="11523" max="11523" width="53.7109375" style="586" customWidth="1"/>
    <col min="11524" max="11524" width="18.5703125" style="586" customWidth="1"/>
    <col min="11525" max="11525" width="19.28515625" style="586" customWidth="1"/>
    <col min="11526" max="11526" width="28.5703125" style="586" customWidth="1"/>
    <col min="11527" max="11527" width="41.85546875" style="586" customWidth="1"/>
    <col min="11528" max="11528" width="37.28515625" style="586" customWidth="1"/>
    <col min="11529" max="11529" width="38.42578125" style="586" customWidth="1"/>
    <col min="11530" max="11530" width="40.7109375" style="586" customWidth="1"/>
    <col min="11531" max="11531" width="0" style="586" hidden="1" customWidth="1"/>
    <col min="11532" max="11532" width="38.42578125" style="586" customWidth="1"/>
    <col min="11533" max="11533" width="34.42578125" style="586" customWidth="1"/>
    <col min="11534" max="11538" width="40.7109375" style="586" customWidth="1"/>
    <col min="11539" max="11539" width="35" style="586" customWidth="1"/>
    <col min="11540" max="11540" width="38.42578125" style="586" customWidth="1"/>
    <col min="11541" max="11542" width="40.7109375" style="586" customWidth="1"/>
    <col min="11543" max="11543" width="34.42578125" style="586" customWidth="1"/>
    <col min="11544" max="11544" width="40.7109375" style="586" customWidth="1"/>
    <col min="11545" max="11545" width="17.85546875" style="586" customWidth="1"/>
    <col min="11546" max="11546" width="13.85546875" style="586" customWidth="1"/>
    <col min="11547" max="11554" width="11.42578125" style="586"/>
    <col min="11555" max="11555" width="13.28515625" style="586" customWidth="1"/>
    <col min="11556" max="11561" width="11.42578125" style="586"/>
    <col min="11562" max="11566" width="37.7109375" style="586" customWidth="1"/>
    <col min="11567" max="11574" width="30.140625" style="586" customWidth="1"/>
    <col min="11575" max="11775" width="11.42578125" style="586"/>
    <col min="11776" max="11776" width="13" style="586" bestFit="1" customWidth="1"/>
    <col min="11777" max="11777" width="11.42578125" style="586"/>
    <col min="11778" max="11778" width="42.85546875" style="586" customWidth="1"/>
    <col min="11779" max="11779" width="53.7109375" style="586" customWidth="1"/>
    <col min="11780" max="11780" width="18.5703125" style="586" customWidth="1"/>
    <col min="11781" max="11781" width="19.28515625" style="586" customWidth="1"/>
    <col min="11782" max="11782" width="28.5703125" style="586" customWidth="1"/>
    <col min="11783" max="11783" width="41.85546875" style="586" customWidth="1"/>
    <col min="11784" max="11784" width="37.28515625" style="586" customWidth="1"/>
    <col min="11785" max="11785" width="38.42578125" style="586" customWidth="1"/>
    <col min="11786" max="11786" width="40.7109375" style="586" customWidth="1"/>
    <col min="11787" max="11787" width="0" style="586" hidden="1" customWidth="1"/>
    <col min="11788" max="11788" width="38.42578125" style="586" customWidth="1"/>
    <col min="11789" max="11789" width="34.42578125" style="586" customWidth="1"/>
    <col min="11790" max="11794" width="40.7109375" style="586" customWidth="1"/>
    <col min="11795" max="11795" width="35" style="586" customWidth="1"/>
    <col min="11796" max="11796" width="38.42578125" style="586" customWidth="1"/>
    <col min="11797" max="11798" width="40.7109375" style="586" customWidth="1"/>
    <col min="11799" max="11799" width="34.42578125" style="586" customWidth="1"/>
    <col min="11800" max="11800" width="40.7109375" style="586" customWidth="1"/>
    <col min="11801" max="11801" width="17.85546875" style="586" customWidth="1"/>
    <col min="11802" max="11802" width="13.85546875" style="586" customWidth="1"/>
    <col min="11803" max="11810" width="11.42578125" style="586"/>
    <col min="11811" max="11811" width="13.28515625" style="586" customWidth="1"/>
    <col min="11812" max="11817" width="11.42578125" style="586"/>
    <col min="11818" max="11822" width="37.7109375" style="586" customWidth="1"/>
    <col min="11823" max="11830" width="30.140625" style="586" customWidth="1"/>
    <col min="11831" max="12031" width="11.42578125" style="586"/>
    <col min="12032" max="12032" width="13" style="586" bestFit="1" customWidth="1"/>
    <col min="12033" max="12033" width="11.42578125" style="586"/>
    <col min="12034" max="12034" width="42.85546875" style="586" customWidth="1"/>
    <col min="12035" max="12035" width="53.7109375" style="586" customWidth="1"/>
    <col min="12036" max="12036" width="18.5703125" style="586" customWidth="1"/>
    <col min="12037" max="12037" width="19.28515625" style="586" customWidth="1"/>
    <col min="12038" max="12038" width="28.5703125" style="586" customWidth="1"/>
    <col min="12039" max="12039" width="41.85546875" style="586" customWidth="1"/>
    <col min="12040" max="12040" width="37.28515625" style="586" customWidth="1"/>
    <col min="12041" max="12041" width="38.42578125" style="586" customWidth="1"/>
    <col min="12042" max="12042" width="40.7109375" style="586" customWidth="1"/>
    <col min="12043" max="12043" width="0" style="586" hidden="1" customWidth="1"/>
    <col min="12044" max="12044" width="38.42578125" style="586" customWidth="1"/>
    <col min="12045" max="12045" width="34.42578125" style="586" customWidth="1"/>
    <col min="12046" max="12050" width="40.7109375" style="586" customWidth="1"/>
    <col min="12051" max="12051" width="35" style="586" customWidth="1"/>
    <col min="12052" max="12052" width="38.42578125" style="586" customWidth="1"/>
    <col min="12053" max="12054" width="40.7109375" style="586" customWidth="1"/>
    <col min="12055" max="12055" width="34.42578125" style="586" customWidth="1"/>
    <col min="12056" max="12056" width="40.7109375" style="586" customWidth="1"/>
    <col min="12057" max="12057" width="17.85546875" style="586" customWidth="1"/>
    <col min="12058" max="12058" width="13.85546875" style="586" customWidth="1"/>
    <col min="12059" max="12066" width="11.42578125" style="586"/>
    <col min="12067" max="12067" width="13.28515625" style="586" customWidth="1"/>
    <col min="12068" max="12073" width="11.42578125" style="586"/>
    <col min="12074" max="12078" width="37.7109375" style="586" customWidth="1"/>
    <col min="12079" max="12086" width="30.140625" style="586" customWidth="1"/>
    <col min="12087" max="12287" width="11.42578125" style="586"/>
    <col min="12288" max="12288" width="13" style="586" bestFit="1" customWidth="1"/>
    <col min="12289" max="12289" width="11.42578125" style="586"/>
    <col min="12290" max="12290" width="42.85546875" style="586" customWidth="1"/>
    <col min="12291" max="12291" width="53.7109375" style="586" customWidth="1"/>
    <col min="12292" max="12292" width="18.5703125" style="586" customWidth="1"/>
    <col min="12293" max="12293" width="19.28515625" style="586" customWidth="1"/>
    <col min="12294" max="12294" width="28.5703125" style="586" customWidth="1"/>
    <col min="12295" max="12295" width="41.85546875" style="586" customWidth="1"/>
    <col min="12296" max="12296" width="37.28515625" style="586" customWidth="1"/>
    <col min="12297" max="12297" width="38.42578125" style="586" customWidth="1"/>
    <col min="12298" max="12298" width="40.7109375" style="586" customWidth="1"/>
    <col min="12299" max="12299" width="0" style="586" hidden="1" customWidth="1"/>
    <col min="12300" max="12300" width="38.42578125" style="586" customWidth="1"/>
    <col min="12301" max="12301" width="34.42578125" style="586" customWidth="1"/>
    <col min="12302" max="12306" width="40.7109375" style="586" customWidth="1"/>
    <col min="12307" max="12307" width="35" style="586" customWidth="1"/>
    <col min="12308" max="12308" width="38.42578125" style="586" customWidth="1"/>
    <col min="12309" max="12310" width="40.7109375" style="586" customWidth="1"/>
    <col min="12311" max="12311" width="34.42578125" style="586" customWidth="1"/>
    <col min="12312" max="12312" width="40.7109375" style="586" customWidth="1"/>
    <col min="12313" max="12313" width="17.85546875" style="586" customWidth="1"/>
    <col min="12314" max="12314" width="13.85546875" style="586" customWidth="1"/>
    <col min="12315" max="12322" width="11.42578125" style="586"/>
    <col min="12323" max="12323" width="13.28515625" style="586" customWidth="1"/>
    <col min="12324" max="12329" width="11.42578125" style="586"/>
    <col min="12330" max="12334" width="37.7109375" style="586" customWidth="1"/>
    <col min="12335" max="12342" width="30.140625" style="586" customWidth="1"/>
    <col min="12343" max="12543" width="11.42578125" style="586"/>
    <col min="12544" max="12544" width="13" style="586" bestFit="1" customWidth="1"/>
    <col min="12545" max="12545" width="11.42578125" style="586"/>
    <col min="12546" max="12546" width="42.85546875" style="586" customWidth="1"/>
    <col min="12547" max="12547" width="53.7109375" style="586" customWidth="1"/>
    <col min="12548" max="12548" width="18.5703125" style="586" customWidth="1"/>
    <col min="12549" max="12549" width="19.28515625" style="586" customWidth="1"/>
    <col min="12550" max="12550" width="28.5703125" style="586" customWidth="1"/>
    <col min="12551" max="12551" width="41.85546875" style="586" customWidth="1"/>
    <col min="12552" max="12552" width="37.28515625" style="586" customWidth="1"/>
    <col min="12553" max="12553" width="38.42578125" style="586" customWidth="1"/>
    <col min="12554" max="12554" width="40.7109375" style="586" customWidth="1"/>
    <col min="12555" max="12555" width="0" style="586" hidden="1" customWidth="1"/>
    <col min="12556" max="12556" width="38.42578125" style="586" customWidth="1"/>
    <col min="12557" max="12557" width="34.42578125" style="586" customWidth="1"/>
    <col min="12558" max="12562" width="40.7109375" style="586" customWidth="1"/>
    <col min="12563" max="12563" width="35" style="586" customWidth="1"/>
    <col min="12564" max="12564" width="38.42578125" style="586" customWidth="1"/>
    <col min="12565" max="12566" width="40.7109375" style="586" customWidth="1"/>
    <col min="12567" max="12567" width="34.42578125" style="586" customWidth="1"/>
    <col min="12568" max="12568" width="40.7109375" style="586" customWidth="1"/>
    <col min="12569" max="12569" width="17.85546875" style="586" customWidth="1"/>
    <col min="12570" max="12570" width="13.85546875" style="586" customWidth="1"/>
    <col min="12571" max="12578" width="11.42578125" style="586"/>
    <col min="12579" max="12579" width="13.28515625" style="586" customWidth="1"/>
    <col min="12580" max="12585" width="11.42578125" style="586"/>
    <col min="12586" max="12590" width="37.7109375" style="586" customWidth="1"/>
    <col min="12591" max="12598" width="30.140625" style="586" customWidth="1"/>
    <col min="12599" max="12799" width="11.42578125" style="586"/>
    <col min="12800" max="12800" width="13" style="586" bestFit="1" customWidth="1"/>
    <col min="12801" max="12801" width="11.42578125" style="586"/>
    <col min="12802" max="12802" width="42.85546875" style="586" customWidth="1"/>
    <col min="12803" max="12803" width="53.7109375" style="586" customWidth="1"/>
    <col min="12804" max="12804" width="18.5703125" style="586" customWidth="1"/>
    <col min="12805" max="12805" width="19.28515625" style="586" customWidth="1"/>
    <col min="12806" max="12806" width="28.5703125" style="586" customWidth="1"/>
    <col min="12807" max="12807" width="41.85546875" style="586" customWidth="1"/>
    <col min="12808" max="12808" width="37.28515625" style="586" customWidth="1"/>
    <col min="12809" max="12809" width="38.42578125" style="586" customWidth="1"/>
    <col min="12810" max="12810" width="40.7109375" style="586" customWidth="1"/>
    <col min="12811" max="12811" width="0" style="586" hidden="1" customWidth="1"/>
    <col min="12812" max="12812" width="38.42578125" style="586" customWidth="1"/>
    <col min="12813" max="12813" width="34.42578125" style="586" customWidth="1"/>
    <col min="12814" max="12818" width="40.7109375" style="586" customWidth="1"/>
    <col min="12819" max="12819" width="35" style="586" customWidth="1"/>
    <col min="12820" max="12820" width="38.42578125" style="586" customWidth="1"/>
    <col min="12821" max="12822" width="40.7109375" style="586" customWidth="1"/>
    <col min="12823" max="12823" width="34.42578125" style="586" customWidth="1"/>
    <col min="12824" max="12824" width="40.7109375" style="586" customWidth="1"/>
    <col min="12825" max="12825" width="17.85546875" style="586" customWidth="1"/>
    <col min="12826" max="12826" width="13.85546875" style="586" customWidth="1"/>
    <col min="12827" max="12834" width="11.42578125" style="586"/>
    <col min="12835" max="12835" width="13.28515625" style="586" customWidth="1"/>
    <col min="12836" max="12841" width="11.42578125" style="586"/>
    <col min="12842" max="12846" width="37.7109375" style="586" customWidth="1"/>
    <col min="12847" max="12854" width="30.140625" style="586" customWidth="1"/>
    <col min="12855" max="13055" width="11.42578125" style="586"/>
    <col min="13056" max="13056" width="13" style="586" bestFit="1" customWidth="1"/>
    <col min="13057" max="13057" width="11.42578125" style="586"/>
    <col min="13058" max="13058" width="42.85546875" style="586" customWidth="1"/>
    <col min="13059" max="13059" width="53.7109375" style="586" customWidth="1"/>
    <col min="13060" max="13060" width="18.5703125" style="586" customWidth="1"/>
    <col min="13061" max="13061" width="19.28515625" style="586" customWidth="1"/>
    <col min="13062" max="13062" width="28.5703125" style="586" customWidth="1"/>
    <col min="13063" max="13063" width="41.85546875" style="586" customWidth="1"/>
    <col min="13064" max="13064" width="37.28515625" style="586" customWidth="1"/>
    <col min="13065" max="13065" width="38.42578125" style="586" customWidth="1"/>
    <col min="13066" max="13066" width="40.7109375" style="586" customWidth="1"/>
    <col min="13067" max="13067" width="0" style="586" hidden="1" customWidth="1"/>
    <col min="13068" max="13068" width="38.42578125" style="586" customWidth="1"/>
    <col min="13069" max="13069" width="34.42578125" style="586" customWidth="1"/>
    <col min="13070" max="13074" width="40.7109375" style="586" customWidth="1"/>
    <col min="13075" max="13075" width="35" style="586" customWidth="1"/>
    <col min="13076" max="13076" width="38.42578125" style="586" customWidth="1"/>
    <col min="13077" max="13078" width="40.7109375" style="586" customWidth="1"/>
    <col min="13079" max="13079" width="34.42578125" style="586" customWidth="1"/>
    <col min="13080" max="13080" width="40.7109375" style="586" customWidth="1"/>
    <col min="13081" max="13081" width="17.85546875" style="586" customWidth="1"/>
    <col min="13082" max="13082" width="13.85546875" style="586" customWidth="1"/>
    <col min="13083" max="13090" width="11.42578125" style="586"/>
    <col min="13091" max="13091" width="13.28515625" style="586" customWidth="1"/>
    <col min="13092" max="13097" width="11.42578125" style="586"/>
    <col min="13098" max="13102" width="37.7109375" style="586" customWidth="1"/>
    <col min="13103" max="13110" width="30.140625" style="586" customWidth="1"/>
    <col min="13111" max="13311" width="11.42578125" style="586"/>
    <col min="13312" max="13312" width="13" style="586" bestFit="1" customWidth="1"/>
    <col min="13313" max="13313" width="11.42578125" style="586"/>
    <col min="13314" max="13314" width="42.85546875" style="586" customWidth="1"/>
    <col min="13315" max="13315" width="53.7109375" style="586" customWidth="1"/>
    <col min="13316" max="13316" width="18.5703125" style="586" customWidth="1"/>
    <col min="13317" max="13317" width="19.28515625" style="586" customWidth="1"/>
    <col min="13318" max="13318" width="28.5703125" style="586" customWidth="1"/>
    <col min="13319" max="13319" width="41.85546875" style="586" customWidth="1"/>
    <col min="13320" max="13320" width="37.28515625" style="586" customWidth="1"/>
    <col min="13321" max="13321" width="38.42578125" style="586" customWidth="1"/>
    <col min="13322" max="13322" width="40.7109375" style="586" customWidth="1"/>
    <col min="13323" max="13323" width="0" style="586" hidden="1" customWidth="1"/>
    <col min="13324" max="13324" width="38.42578125" style="586" customWidth="1"/>
    <col min="13325" max="13325" width="34.42578125" style="586" customWidth="1"/>
    <col min="13326" max="13330" width="40.7109375" style="586" customWidth="1"/>
    <col min="13331" max="13331" width="35" style="586" customWidth="1"/>
    <col min="13332" max="13332" width="38.42578125" style="586" customWidth="1"/>
    <col min="13333" max="13334" width="40.7109375" style="586" customWidth="1"/>
    <col min="13335" max="13335" width="34.42578125" style="586" customWidth="1"/>
    <col min="13336" max="13336" width="40.7109375" style="586" customWidth="1"/>
    <col min="13337" max="13337" width="17.85546875" style="586" customWidth="1"/>
    <col min="13338" max="13338" width="13.85546875" style="586" customWidth="1"/>
    <col min="13339" max="13346" width="11.42578125" style="586"/>
    <col min="13347" max="13347" width="13.28515625" style="586" customWidth="1"/>
    <col min="13348" max="13353" width="11.42578125" style="586"/>
    <col min="13354" max="13358" width="37.7109375" style="586" customWidth="1"/>
    <col min="13359" max="13366" width="30.140625" style="586" customWidth="1"/>
    <col min="13367" max="13567" width="11.42578125" style="586"/>
    <col min="13568" max="13568" width="13" style="586" bestFit="1" customWidth="1"/>
    <col min="13569" max="13569" width="11.42578125" style="586"/>
    <col min="13570" max="13570" width="42.85546875" style="586" customWidth="1"/>
    <col min="13571" max="13571" width="53.7109375" style="586" customWidth="1"/>
    <col min="13572" max="13572" width="18.5703125" style="586" customWidth="1"/>
    <col min="13573" max="13573" width="19.28515625" style="586" customWidth="1"/>
    <col min="13574" max="13574" width="28.5703125" style="586" customWidth="1"/>
    <col min="13575" max="13575" width="41.85546875" style="586" customWidth="1"/>
    <col min="13576" max="13576" width="37.28515625" style="586" customWidth="1"/>
    <col min="13577" max="13577" width="38.42578125" style="586" customWidth="1"/>
    <col min="13578" max="13578" width="40.7109375" style="586" customWidth="1"/>
    <col min="13579" max="13579" width="0" style="586" hidden="1" customWidth="1"/>
    <col min="13580" max="13580" width="38.42578125" style="586" customWidth="1"/>
    <col min="13581" max="13581" width="34.42578125" style="586" customWidth="1"/>
    <col min="13582" max="13586" width="40.7109375" style="586" customWidth="1"/>
    <col min="13587" max="13587" width="35" style="586" customWidth="1"/>
    <col min="13588" max="13588" width="38.42578125" style="586" customWidth="1"/>
    <col min="13589" max="13590" width="40.7109375" style="586" customWidth="1"/>
    <col min="13591" max="13591" width="34.42578125" style="586" customWidth="1"/>
    <col min="13592" max="13592" width="40.7109375" style="586" customWidth="1"/>
    <col min="13593" max="13593" width="17.85546875" style="586" customWidth="1"/>
    <col min="13594" max="13594" width="13.85546875" style="586" customWidth="1"/>
    <col min="13595" max="13602" width="11.42578125" style="586"/>
    <col min="13603" max="13603" width="13.28515625" style="586" customWidth="1"/>
    <col min="13604" max="13609" width="11.42578125" style="586"/>
    <col min="13610" max="13614" width="37.7109375" style="586" customWidth="1"/>
    <col min="13615" max="13622" width="30.140625" style="586" customWidth="1"/>
    <col min="13623" max="13823" width="11.42578125" style="586"/>
    <col min="13824" max="13824" width="13" style="586" bestFit="1" customWidth="1"/>
    <col min="13825" max="13825" width="11.42578125" style="586"/>
    <col min="13826" max="13826" width="42.85546875" style="586" customWidth="1"/>
    <col min="13827" max="13827" width="53.7109375" style="586" customWidth="1"/>
    <col min="13828" max="13828" width="18.5703125" style="586" customWidth="1"/>
    <col min="13829" max="13829" width="19.28515625" style="586" customWidth="1"/>
    <col min="13830" max="13830" width="28.5703125" style="586" customWidth="1"/>
    <col min="13831" max="13831" width="41.85546875" style="586" customWidth="1"/>
    <col min="13832" max="13832" width="37.28515625" style="586" customWidth="1"/>
    <col min="13833" max="13833" width="38.42578125" style="586" customWidth="1"/>
    <col min="13834" max="13834" width="40.7109375" style="586" customWidth="1"/>
    <col min="13835" max="13835" width="0" style="586" hidden="1" customWidth="1"/>
    <col min="13836" max="13836" width="38.42578125" style="586" customWidth="1"/>
    <col min="13837" max="13837" width="34.42578125" style="586" customWidth="1"/>
    <col min="13838" max="13842" width="40.7109375" style="586" customWidth="1"/>
    <col min="13843" max="13843" width="35" style="586" customWidth="1"/>
    <col min="13844" max="13844" width="38.42578125" style="586" customWidth="1"/>
    <col min="13845" max="13846" width="40.7109375" style="586" customWidth="1"/>
    <col min="13847" max="13847" width="34.42578125" style="586" customWidth="1"/>
    <col min="13848" max="13848" width="40.7109375" style="586" customWidth="1"/>
    <col min="13849" max="13849" width="17.85546875" style="586" customWidth="1"/>
    <col min="13850" max="13850" width="13.85546875" style="586" customWidth="1"/>
    <col min="13851" max="13858" width="11.42578125" style="586"/>
    <col min="13859" max="13859" width="13.28515625" style="586" customWidth="1"/>
    <col min="13860" max="13865" width="11.42578125" style="586"/>
    <col min="13866" max="13870" width="37.7109375" style="586" customWidth="1"/>
    <col min="13871" max="13878" width="30.140625" style="586" customWidth="1"/>
    <col min="13879" max="14079" width="11.42578125" style="586"/>
    <col min="14080" max="14080" width="13" style="586" bestFit="1" customWidth="1"/>
    <col min="14081" max="14081" width="11.42578125" style="586"/>
    <col min="14082" max="14082" width="42.85546875" style="586" customWidth="1"/>
    <col min="14083" max="14083" width="53.7109375" style="586" customWidth="1"/>
    <col min="14084" max="14084" width="18.5703125" style="586" customWidth="1"/>
    <col min="14085" max="14085" width="19.28515625" style="586" customWidth="1"/>
    <col min="14086" max="14086" width="28.5703125" style="586" customWidth="1"/>
    <col min="14087" max="14087" width="41.85546875" style="586" customWidth="1"/>
    <col min="14088" max="14088" width="37.28515625" style="586" customWidth="1"/>
    <col min="14089" max="14089" width="38.42578125" style="586" customWidth="1"/>
    <col min="14090" max="14090" width="40.7109375" style="586" customWidth="1"/>
    <col min="14091" max="14091" width="0" style="586" hidden="1" customWidth="1"/>
    <col min="14092" max="14092" width="38.42578125" style="586" customWidth="1"/>
    <col min="14093" max="14093" width="34.42578125" style="586" customWidth="1"/>
    <col min="14094" max="14098" width="40.7109375" style="586" customWidth="1"/>
    <col min="14099" max="14099" width="35" style="586" customWidth="1"/>
    <col min="14100" max="14100" width="38.42578125" style="586" customWidth="1"/>
    <col min="14101" max="14102" width="40.7109375" style="586" customWidth="1"/>
    <col min="14103" max="14103" width="34.42578125" style="586" customWidth="1"/>
    <col min="14104" max="14104" width="40.7109375" style="586" customWidth="1"/>
    <col min="14105" max="14105" width="17.85546875" style="586" customWidth="1"/>
    <col min="14106" max="14106" width="13.85546875" style="586" customWidth="1"/>
    <col min="14107" max="14114" width="11.42578125" style="586"/>
    <col min="14115" max="14115" width="13.28515625" style="586" customWidth="1"/>
    <col min="14116" max="14121" width="11.42578125" style="586"/>
    <col min="14122" max="14126" width="37.7109375" style="586" customWidth="1"/>
    <col min="14127" max="14134" width="30.140625" style="586" customWidth="1"/>
    <col min="14135" max="14335" width="11.42578125" style="586"/>
    <col min="14336" max="14336" width="13" style="586" bestFit="1" customWidth="1"/>
    <col min="14337" max="14337" width="11.42578125" style="586"/>
    <col min="14338" max="14338" width="42.85546875" style="586" customWidth="1"/>
    <col min="14339" max="14339" width="53.7109375" style="586" customWidth="1"/>
    <col min="14340" max="14340" width="18.5703125" style="586" customWidth="1"/>
    <col min="14341" max="14341" width="19.28515625" style="586" customWidth="1"/>
    <col min="14342" max="14342" width="28.5703125" style="586" customWidth="1"/>
    <col min="14343" max="14343" width="41.85546875" style="586" customWidth="1"/>
    <col min="14344" max="14344" width="37.28515625" style="586" customWidth="1"/>
    <col min="14345" max="14345" width="38.42578125" style="586" customWidth="1"/>
    <col min="14346" max="14346" width="40.7109375" style="586" customWidth="1"/>
    <col min="14347" max="14347" width="0" style="586" hidden="1" customWidth="1"/>
    <col min="14348" max="14348" width="38.42578125" style="586" customWidth="1"/>
    <col min="14349" max="14349" width="34.42578125" style="586" customWidth="1"/>
    <col min="14350" max="14354" width="40.7109375" style="586" customWidth="1"/>
    <col min="14355" max="14355" width="35" style="586" customWidth="1"/>
    <col min="14356" max="14356" width="38.42578125" style="586" customWidth="1"/>
    <col min="14357" max="14358" width="40.7109375" style="586" customWidth="1"/>
    <col min="14359" max="14359" width="34.42578125" style="586" customWidth="1"/>
    <col min="14360" max="14360" width="40.7109375" style="586" customWidth="1"/>
    <col min="14361" max="14361" width="17.85546875" style="586" customWidth="1"/>
    <col min="14362" max="14362" width="13.85546875" style="586" customWidth="1"/>
    <col min="14363" max="14370" width="11.42578125" style="586"/>
    <col min="14371" max="14371" width="13.28515625" style="586" customWidth="1"/>
    <col min="14372" max="14377" width="11.42578125" style="586"/>
    <col min="14378" max="14382" width="37.7109375" style="586" customWidth="1"/>
    <col min="14383" max="14390" width="30.140625" style="586" customWidth="1"/>
    <col min="14391" max="14591" width="11.42578125" style="586"/>
    <col min="14592" max="14592" width="13" style="586" bestFit="1" customWidth="1"/>
    <col min="14593" max="14593" width="11.42578125" style="586"/>
    <col min="14594" max="14594" width="42.85546875" style="586" customWidth="1"/>
    <col min="14595" max="14595" width="53.7109375" style="586" customWidth="1"/>
    <col min="14596" max="14596" width="18.5703125" style="586" customWidth="1"/>
    <col min="14597" max="14597" width="19.28515625" style="586" customWidth="1"/>
    <col min="14598" max="14598" width="28.5703125" style="586" customWidth="1"/>
    <col min="14599" max="14599" width="41.85546875" style="586" customWidth="1"/>
    <col min="14600" max="14600" width="37.28515625" style="586" customWidth="1"/>
    <col min="14601" max="14601" width="38.42578125" style="586" customWidth="1"/>
    <col min="14602" max="14602" width="40.7109375" style="586" customWidth="1"/>
    <col min="14603" max="14603" width="0" style="586" hidden="1" customWidth="1"/>
    <col min="14604" max="14604" width="38.42578125" style="586" customWidth="1"/>
    <col min="14605" max="14605" width="34.42578125" style="586" customWidth="1"/>
    <col min="14606" max="14610" width="40.7109375" style="586" customWidth="1"/>
    <col min="14611" max="14611" width="35" style="586" customWidth="1"/>
    <col min="14612" max="14612" width="38.42578125" style="586" customWidth="1"/>
    <col min="14613" max="14614" width="40.7109375" style="586" customWidth="1"/>
    <col min="14615" max="14615" width="34.42578125" style="586" customWidth="1"/>
    <col min="14616" max="14616" width="40.7109375" style="586" customWidth="1"/>
    <col min="14617" max="14617" width="17.85546875" style="586" customWidth="1"/>
    <col min="14618" max="14618" width="13.85546875" style="586" customWidth="1"/>
    <col min="14619" max="14626" width="11.42578125" style="586"/>
    <col min="14627" max="14627" width="13.28515625" style="586" customWidth="1"/>
    <col min="14628" max="14633" width="11.42578125" style="586"/>
    <col min="14634" max="14638" width="37.7109375" style="586" customWidth="1"/>
    <col min="14639" max="14646" width="30.140625" style="586" customWidth="1"/>
    <col min="14647" max="14847" width="11.42578125" style="586"/>
    <col min="14848" max="14848" width="13" style="586" bestFit="1" customWidth="1"/>
    <col min="14849" max="14849" width="11.42578125" style="586"/>
    <col min="14850" max="14850" width="42.85546875" style="586" customWidth="1"/>
    <col min="14851" max="14851" width="53.7109375" style="586" customWidth="1"/>
    <col min="14852" max="14852" width="18.5703125" style="586" customWidth="1"/>
    <col min="14853" max="14853" width="19.28515625" style="586" customWidth="1"/>
    <col min="14854" max="14854" width="28.5703125" style="586" customWidth="1"/>
    <col min="14855" max="14855" width="41.85546875" style="586" customWidth="1"/>
    <col min="14856" max="14856" width="37.28515625" style="586" customWidth="1"/>
    <col min="14857" max="14857" width="38.42578125" style="586" customWidth="1"/>
    <col min="14858" max="14858" width="40.7109375" style="586" customWidth="1"/>
    <col min="14859" max="14859" width="0" style="586" hidden="1" customWidth="1"/>
    <col min="14860" max="14860" width="38.42578125" style="586" customWidth="1"/>
    <col min="14861" max="14861" width="34.42578125" style="586" customWidth="1"/>
    <col min="14862" max="14866" width="40.7109375" style="586" customWidth="1"/>
    <col min="14867" max="14867" width="35" style="586" customWidth="1"/>
    <col min="14868" max="14868" width="38.42578125" style="586" customWidth="1"/>
    <col min="14869" max="14870" width="40.7109375" style="586" customWidth="1"/>
    <col min="14871" max="14871" width="34.42578125" style="586" customWidth="1"/>
    <col min="14872" max="14872" width="40.7109375" style="586" customWidth="1"/>
    <col min="14873" max="14873" width="17.85546875" style="586" customWidth="1"/>
    <col min="14874" max="14874" width="13.85546875" style="586" customWidth="1"/>
    <col min="14875" max="14882" width="11.42578125" style="586"/>
    <col min="14883" max="14883" width="13.28515625" style="586" customWidth="1"/>
    <col min="14884" max="14889" width="11.42578125" style="586"/>
    <col min="14890" max="14894" width="37.7109375" style="586" customWidth="1"/>
    <col min="14895" max="14902" width="30.140625" style="586" customWidth="1"/>
    <col min="14903" max="15103" width="11.42578125" style="586"/>
    <col min="15104" max="15104" width="13" style="586" bestFit="1" customWidth="1"/>
    <col min="15105" max="15105" width="11.42578125" style="586"/>
    <col min="15106" max="15106" width="42.85546875" style="586" customWidth="1"/>
    <col min="15107" max="15107" width="53.7109375" style="586" customWidth="1"/>
    <col min="15108" max="15108" width="18.5703125" style="586" customWidth="1"/>
    <col min="15109" max="15109" width="19.28515625" style="586" customWidth="1"/>
    <col min="15110" max="15110" width="28.5703125" style="586" customWidth="1"/>
    <col min="15111" max="15111" width="41.85546875" style="586" customWidth="1"/>
    <col min="15112" max="15112" width="37.28515625" style="586" customWidth="1"/>
    <col min="15113" max="15113" width="38.42578125" style="586" customWidth="1"/>
    <col min="15114" max="15114" width="40.7109375" style="586" customWidth="1"/>
    <col min="15115" max="15115" width="0" style="586" hidden="1" customWidth="1"/>
    <col min="15116" max="15116" width="38.42578125" style="586" customWidth="1"/>
    <col min="15117" max="15117" width="34.42578125" style="586" customWidth="1"/>
    <col min="15118" max="15122" width="40.7109375" style="586" customWidth="1"/>
    <col min="15123" max="15123" width="35" style="586" customWidth="1"/>
    <col min="15124" max="15124" width="38.42578125" style="586" customWidth="1"/>
    <col min="15125" max="15126" width="40.7109375" style="586" customWidth="1"/>
    <col min="15127" max="15127" width="34.42578125" style="586" customWidth="1"/>
    <col min="15128" max="15128" width="40.7109375" style="586" customWidth="1"/>
    <col min="15129" max="15129" width="17.85546875" style="586" customWidth="1"/>
    <col min="15130" max="15130" width="13.85546875" style="586" customWidth="1"/>
    <col min="15131" max="15138" width="11.42578125" style="586"/>
    <col min="15139" max="15139" width="13.28515625" style="586" customWidth="1"/>
    <col min="15140" max="15145" width="11.42578125" style="586"/>
    <col min="15146" max="15150" width="37.7109375" style="586" customWidth="1"/>
    <col min="15151" max="15158" width="30.140625" style="586" customWidth="1"/>
    <col min="15159" max="15359" width="11.42578125" style="586"/>
    <col min="15360" max="15360" width="13" style="586" bestFit="1" customWidth="1"/>
    <col min="15361" max="15361" width="11.42578125" style="586"/>
    <col min="15362" max="15362" width="42.85546875" style="586" customWidth="1"/>
    <col min="15363" max="15363" width="53.7109375" style="586" customWidth="1"/>
    <col min="15364" max="15364" width="18.5703125" style="586" customWidth="1"/>
    <col min="15365" max="15365" width="19.28515625" style="586" customWidth="1"/>
    <col min="15366" max="15366" width="28.5703125" style="586" customWidth="1"/>
    <col min="15367" max="15367" width="41.85546875" style="586" customWidth="1"/>
    <col min="15368" max="15368" width="37.28515625" style="586" customWidth="1"/>
    <col min="15369" max="15369" width="38.42578125" style="586" customWidth="1"/>
    <col min="15370" max="15370" width="40.7109375" style="586" customWidth="1"/>
    <col min="15371" max="15371" width="0" style="586" hidden="1" customWidth="1"/>
    <col min="15372" max="15372" width="38.42578125" style="586" customWidth="1"/>
    <col min="15373" max="15373" width="34.42578125" style="586" customWidth="1"/>
    <col min="15374" max="15378" width="40.7109375" style="586" customWidth="1"/>
    <col min="15379" max="15379" width="35" style="586" customWidth="1"/>
    <col min="15380" max="15380" width="38.42578125" style="586" customWidth="1"/>
    <col min="15381" max="15382" width="40.7109375" style="586" customWidth="1"/>
    <col min="15383" max="15383" width="34.42578125" style="586" customWidth="1"/>
    <col min="15384" max="15384" width="40.7109375" style="586" customWidth="1"/>
    <col min="15385" max="15385" width="17.85546875" style="586" customWidth="1"/>
    <col min="15386" max="15386" width="13.85546875" style="586" customWidth="1"/>
    <col min="15387" max="15394" width="11.42578125" style="586"/>
    <col min="15395" max="15395" width="13.28515625" style="586" customWidth="1"/>
    <col min="15396" max="15401" width="11.42578125" style="586"/>
    <col min="15402" max="15406" width="37.7109375" style="586" customWidth="1"/>
    <col min="15407" max="15414" width="30.140625" style="586" customWidth="1"/>
    <col min="15415" max="15615" width="11.42578125" style="586"/>
    <col min="15616" max="15616" width="13" style="586" bestFit="1" customWidth="1"/>
    <col min="15617" max="15617" width="11.42578125" style="586"/>
    <col min="15618" max="15618" width="42.85546875" style="586" customWidth="1"/>
    <col min="15619" max="15619" width="53.7109375" style="586" customWidth="1"/>
    <col min="15620" max="15620" width="18.5703125" style="586" customWidth="1"/>
    <col min="15621" max="15621" width="19.28515625" style="586" customWidth="1"/>
    <col min="15622" max="15622" width="28.5703125" style="586" customWidth="1"/>
    <col min="15623" max="15623" width="41.85546875" style="586" customWidth="1"/>
    <col min="15624" max="15624" width="37.28515625" style="586" customWidth="1"/>
    <col min="15625" max="15625" width="38.42578125" style="586" customWidth="1"/>
    <col min="15626" max="15626" width="40.7109375" style="586" customWidth="1"/>
    <col min="15627" max="15627" width="0" style="586" hidden="1" customWidth="1"/>
    <col min="15628" max="15628" width="38.42578125" style="586" customWidth="1"/>
    <col min="15629" max="15629" width="34.42578125" style="586" customWidth="1"/>
    <col min="15630" max="15634" width="40.7109375" style="586" customWidth="1"/>
    <col min="15635" max="15635" width="35" style="586" customWidth="1"/>
    <col min="15636" max="15636" width="38.42578125" style="586" customWidth="1"/>
    <col min="15637" max="15638" width="40.7109375" style="586" customWidth="1"/>
    <col min="15639" max="15639" width="34.42578125" style="586" customWidth="1"/>
    <col min="15640" max="15640" width="40.7109375" style="586" customWidth="1"/>
    <col min="15641" max="15641" width="17.85546875" style="586" customWidth="1"/>
    <col min="15642" max="15642" width="13.85546875" style="586" customWidth="1"/>
    <col min="15643" max="15650" width="11.42578125" style="586"/>
    <col min="15651" max="15651" width="13.28515625" style="586" customWidth="1"/>
    <col min="15652" max="15657" width="11.42578125" style="586"/>
    <col min="15658" max="15662" width="37.7109375" style="586" customWidth="1"/>
    <col min="15663" max="15670" width="30.140625" style="586" customWidth="1"/>
    <col min="15671" max="15871" width="11.42578125" style="586"/>
    <col min="15872" max="15872" width="13" style="586" bestFit="1" customWidth="1"/>
    <col min="15873" max="15873" width="11.42578125" style="586"/>
    <col min="15874" max="15874" width="42.85546875" style="586" customWidth="1"/>
    <col min="15875" max="15875" width="53.7109375" style="586" customWidth="1"/>
    <col min="15876" max="15876" width="18.5703125" style="586" customWidth="1"/>
    <col min="15877" max="15877" width="19.28515625" style="586" customWidth="1"/>
    <col min="15878" max="15878" width="28.5703125" style="586" customWidth="1"/>
    <col min="15879" max="15879" width="41.85546875" style="586" customWidth="1"/>
    <col min="15880" max="15880" width="37.28515625" style="586" customWidth="1"/>
    <col min="15881" max="15881" width="38.42578125" style="586" customWidth="1"/>
    <col min="15882" max="15882" width="40.7109375" style="586" customWidth="1"/>
    <col min="15883" max="15883" width="0" style="586" hidden="1" customWidth="1"/>
    <col min="15884" max="15884" width="38.42578125" style="586" customWidth="1"/>
    <col min="15885" max="15885" width="34.42578125" style="586" customWidth="1"/>
    <col min="15886" max="15890" width="40.7109375" style="586" customWidth="1"/>
    <col min="15891" max="15891" width="35" style="586" customWidth="1"/>
    <col min="15892" max="15892" width="38.42578125" style="586" customWidth="1"/>
    <col min="15893" max="15894" width="40.7109375" style="586" customWidth="1"/>
    <col min="15895" max="15895" width="34.42578125" style="586" customWidth="1"/>
    <col min="15896" max="15896" width="40.7109375" style="586" customWidth="1"/>
    <col min="15897" max="15897" width="17.85546875" style="586" customWidth="1"/>
    <col min="15898" max="15898" width="13.85546875" style="586" customWidth="1"/>
    <col min="15899" max="15906" width="11.42578125" style="586"/>
    <col min="15907" max="15907" width="13.28515625" style="586" customWidth="1"/>
    <col min="15908" max="15913" width="11.42578125" style="586"/>
    <col min="15914" max="15918" width="37.7109375" style="586" customWidth="1"/>
    <col min="15919" max="15926" width="30.140625" style="586" customWidth="1"/>
    <col min="15927" max="16127" width="11.42578125" style="586"/>
    <col min="16128" max="16128" width="13" style="586" bestFit="1" customWidth="1"/>
    <col min="16129" max="16129" width="11.42578125" style="586"/>
    <col min="16130" max="16130" width="42.85546875" style="586" customWidth="1"/>
    <col min="16131" max="16131" width="53.7109375" style="586" customWidth="1"/>
    <col min="16132" max="16132" width="18.5703125" style="586" customWidth="1"/>
    <col min="16133" max="16133" width="19.28515625" style="586" customWidth="1"/>
    <col min="16134" max="16134" width="28.5703125" style="586" customWidth="1"/>
    <col min="16135" max="16135" width="41.85546875" style="586" customWidth="1"/>
    <col min="16136" max="16136" width="37.28515625" style="586" customWidth="1"/>
    <col min="16137" max="16137" width="38.42578125" style="586" customWidth="1"/>
    <col min="16138" max="16138" width="40.7109375" style="586" customWidth="1"/>
    <col min="16139" max="16139" width="0" style="586" hidden="1" customWidth="1"/>
    <col min="16140" max="16140" width="38.42578125" style="586" customWidth="1"/>
    <col min="16141" max="16141" width="34.42578125" style="586" customWidth="1"/>
    <col min="16142" max="16146" width="40.7109375" style="586" customWidth="1"/>
    <col min="16147" max="16147" width="35" style="586" customWidth="1"/>
    <col min="16148" max="16148" width="38.42578125" style="586" customWidth="1"/>
    <col min="16149" max="16150" width="40.7109375" style="586" customWidth="1"/>
    <col min="16151" max="16151" width="34.42578125" style="586" customWidth="1"/>
    <col min="16152" max="16152" width="40.7109375" style="586" customWidth="1"/>
    <col min="16153" max="16153" width="17.85546875" style="586" customWidth="1"/>
    <col min="16154" max="16154" width="13.85546875" style="586" customWidth="1"/>
    <col min="16155" max="16162" width="11.42578125" style="586"/>
    <col min="16163" max="16163" width="13.28515625" style="586" customWidth="1"/>
    <col min="16164" max="16169" width="11.42578125" style="586"/>
    <col min="16170" max="16174" width="37.7109375" style="586" customWidth="1"/>
    <col min="16175" max="16182" width="30.140625" style="586" customWidth="1"/>
    <col min="16183" max="16384" width="11.42578125" style="586"/>
  </cols>
  <sheetData>
    <row r="1" spans="1:54" ht="39.75" customHeight="1">
      <c r="C1" s="691"/>
      <c r="D1" s="692"/>
      <c r="E1" s="693"/>
      <c r="F1" s="693"/>
      <c r="G1" s="693"/>
      <c r="AB1" s="695"/>
      <c r="AC1" s="695"/>
      <c r="AD1" s="696"/>
      <c r="AE1" s="696"/>
      <c r="AF1" s="697"/>
      <c r="AG1" s="698"/>
      <c r="AI1" s="698"/>
      <c r="AJ1" s="698"/>
      <c r="AP1" s="700"/>
      <c r="AQ1" s="700"/>
      <c r="AR1" s="700"/>
      <c r="AS1" s="700"/>
      <c r="AT1" s="700"/>
      <c r="AU1" s="700"/>
      <c r="AV1" s="700"/>
      <c r="AW1" s="700"/>
      <c r="AX1" s="700"/>
      <c r="AY1" s="700"/>
      <c r="AZ1" s="700"/>
      <c r="BA1" s="701"/>
      <c r="BB1" s="700"/>
    </row>
    <row r="2" spans="1:54" ht="39.75" customHeight="1">
      <c r="C2" s="702"/>
      <c r="D2" s="703"/>
      <c r="E2" s="693"/>
      <c r="F2" s="693"/>
      <c r="G2" s="693"/>
      <c r="AB2" s="695"/>
      <c r="AC2" s="695"/>
      <c r="AD2" s="696"/>
      <c r="AE2" s="696"/>
      <c r="AF2" s="697"/>
      <c r="AG2" s="698"/>
      <c r="AI2" s="698"/>
      <c r="AJ2" s="698"/>
      <c r="AP2" s="700"/>
      <c r="AQ2" s="700"/>
      <c r="AR2" s="700"/>
      <c r="AS2" s="700"/>
      <c r="AT2" s="700"/>
      <c r="AU2" s="700"/>
      <c r="AV2" s="700"/>
      <c r="AW2" s="700"/>
      <c r="AX2" s="700"/>
      <c r="AY2" s="700"/>
      <c r="AZ2" s="700"/>
      <c r="BA2" s="701"/>
      <c r="BB2" s="700"/>
    </row>
    <row r="3" spans="1:54" ht="39.75" customHeight="1">
      <c r="D3" s="693"/>
      <c r="E3" s="693"/>
      <c r="F3" s="693"/>
      <c r="AB3" s="695"/>
      <c r="AC3" s="695"/>
      <c r="AD3" s="696"/>
      <c r="AE3" s="696"/>
      <c r="AF3" s="697"/>
      <c r="AG3" s="698"/>
      <c r="AI3" s="698"/>
      <c r="AJ3" s="698"/>
      <c r="AP3" s="700"/>
      <c r="AQ3" s="700"/>
      <c r="AR3" s="700"/>
      <c r="AS3" s="700"/>
      <c r="AT3" s="700"/>
      <c r="AU3" s="700"/>
      <c r="AV3" s="700"/>
      <c r="AW3" s="700"/>
      <c r="AX3" s="700"/>
      <c r="AY3" s="700"/>
      <c r="AZ3" s="700"/>
      <c r="BA3" s="701"/>
      <c r="BB3" s="700"/>
    </row>
    <row r="4" spans="1:54" ht="39.75" customHeight="1">
      <c r="AB4" s="695"/>
      <c r="AC4" s="695"/>
      <c r="AD4" s="696"/>
      <c r="AE4" s="696"/>
      <c r="AF4" s="697"/>
      <c r="AG4" s="698"/>
      <c r="AI4" s="698"/>
      <c r="AJ4" s="698"/>
      <c r="AP4" s="700"/>
      <c r="AQ4" s="700"/>
      <c r="AR4" s="700"/>
      <c r="AS4" s="700"/>
      <c r="AT4" s="700"/>
      <c r="AU4" s="700"/>
      <c r="AV4" s="700"/>
      <c r="AW4" s="700"/>
      <c r="AX4" s="700"/>
      <c r="AY4" s="700"/>
      <c r="AZ4" s="700"/>
      <c r="BA4" s="701"/>
      <c r="BB4" s="700"/>
    </row>
    <row r="5" spans="1:54" s="708" customFormat="1" ht="41.25" customHeight="1">
      <c r="A5" s="704"/>
      <c r="B5" s="705"/>
      <c r="C5" s="705"/>
      <c r="D5" s="705"/>
      <c r="E5" s="705"/>
      <c r="F5" s="705"/>
      <c r="G5" s="705"/>
      <c r="H5" s="705"/>
      <c r="I5" s="705"/>
      <c r="J5" s="705"/>
      <c r="K5" s="705"/>
      <c r="L5" s="705"/>
      <c r="M5" s="705"/>
      <c r="N5" s="705"/>
      <c r="O5" s="705"/>
      <c r="P5" s="705"/>
      <c r="Q5" s="705"/>
      <c r="R5" s="705"/>
      <c r="S5" s="705"/>
      <c r="T5" s="705"/>
      <c r="U5" s="705"/>
      <c r="V5" s="705"/>
      <c r="W5" s="705"/>
      <c r="X5" s="706"/>
      <c r="Y5" s="707"/>
      <c r="AB5" s="695"/>
      <c r="AC5" s="695"/>
      <c r="AF5" s="697"/>
      <c r="AG5" s="698"/>
      <c r="AH5" s="709"/>
      <c r="AI5" s="698"/>
      <c r="AK5" s="710"/>
      <c r="AM5" s="710"/>
      <c r="AO5" s="710"/>
      <c r="AP5" s="711"/>
      <c r="AQ5" s="712"/>
      <c r="AR5" s="712"/>
      <c r="AS5" s="712"/>
      <c r="AT5" s="712"/>
      <c r="AU5" s="700"/>
      <c r="AV5" s="700"/>
      <c r="AW5" s="700"/>
      <c r="AX5" s="700"/>
      <c r="AY5" s="700"/>
      <c r="AZ5" s="700"/>
      <c r="BA5" s="701"/>
      <c r="BB5" s="700"/>
    </row>
    <row r="6" spans="1:54" s="708" customFormat="1" ht="45">
      <c r="A6" s="704"/>
      <c r="B6" s="713"/>
      <c r="C6" s="714" t="s">
        <v>1</v>
      </c>
      <c r="D6" s="715"/>
      <c r="E6" s="715"/>
      <c r="F6" s="715"/>
      <c r="G6" s="715"/>
      <c r="H6" s="716"/>
      <c r="I6" s="716"/>
      <c r="J6" s="717"/>
      <c r="K6" s="717"/>
      <c r="L6" s="717"/>
      <c r="M6" s="718"/>
      <c r="N6" s="717"/>
      <c r="O6" s="717"/>
      <c r="P6" s="717"/>
      <c r="Q6" s="717"/>
      <c r="R6" s="717"/>
      <c r="S6" s="717"/>
      <c r="T6" s="717"/>
      <c r="U6" s="717"/>
      <c r="V6" s="717"/>
      <c r="W6" s="717"/>
      <c r="X6" s="706"/>
      <c r="Y6" s="707"/>
      <c r="AB6" s="695"/>
      <c r="AC6" s="695"/>
      <c r="AD6" s="709"/>
      <c r="AE6" s="709"/>
      <c r="AF6" s="697"/>
      <c r="AG6" s="698"/>
      <c r="AH6" s="709"/>
      <c r="AI6" s="698"/>
      <c r="AJ6" s="709"/>
      <c r="AK6" s="710"/>
      <c r="AM6" s="710"/>
      <c r="AO6" s="710"/>
      <c r="AQ6" s="710"/>
    </row>
    <row r="7" spans="1:54" s="708" customFormat="1" ht="45">
      <c r="A7" s="704"/>
      <c r="B7" s="719"/>
      <c r="C7" s="1372" t="s">
        <v>811</v>
      </c>
      <c r="D7" s="715"/>
      <c r="E7" s="715"/>
      <c r="F7" s="715"/>
      <c r="G7" s="715"/>
      <c r="H7" s="720"/>
      <c r="I7" s="720"/>
      <c r="J7" s="720"/>
      <c r="K7" s="720"/>
      <c r="L7" s="720"/>
      <c r="M7" s="721"/>
      <c r="N7" s="720"/>
      <c r="O7" s="720"/>
      <c r="P7" s="720"/>
      <c r="Q7" s="720"/>
      <c r="R7" s="720"/>
      <c r="S7" s="720"/>
      <c r="T7" s="720"/>
      <c r="U7" s="720"/>
      <c r="V7" s="720"/>
      <c r="W7" s="720"/>
      <c r="X7" s="706"/>
      <c r="Y7" s="707"/>
      <c r="AB7" s="695"/>
      <c r="AC7" s="695"/>
      <c r="AD7" s="709"/>
      <c r="AE7" s="709"/>
      <c r="AF7" s="697"/>
      <c r="AG7" s="698"/>
      <c r="AH7" s="709"/>
      <c r="AI7" s="698"/>
      <c r="AJ7" s="709"/>
      <c r="AK7" s="710"/>
      <c r="AM7" s="710"/>
      <c r="AO7" s="710"/>
      <c r="AQ7" s="710"/>
    </row>
    <row r="8" spans="1:54" s="708" customFormat="1" ht="45">
      <c r="A8" s="704"/>
      <c r="B8" s="719"/>
      <c r="C8" s="1372" t="s">
        <v>810</v>
      </c>
      <c r="D8" s="715"/>
      <c r="E8" s="715"/>
      <c r="F8" s="715"/>
      <c r="G8" s="715"/>
      <c r="H8" s="720"/>
      <c r="I8" s="720"/>
      <c r="J8" s="720"/>
      <c r="K8" s="722"/>
      <c r="L8" s="720"/>
      <c r="M8" s="721"/>
      <c r="N8" s="720"/>
      <c r="O8" s="720"/>
      <c r="P8" s="720"/>
      <c r="Q8" s="720"/>
      <c r="R8" s="720"/>
      <c r="S8" s="720"/>
      <c r="T8" s="720"/>
      <c r="U8" s="720"/>
      <c r="V8" s="720"/>
      <c r="W8" s="720"/>
      <c r="X8" s="706"/>
      <c r="Y8" s="707"/>
      <c r="AB8" s="695"/>
      <c r="AC8" s="695"/>
      <c r="AD8" s="709"/>
      <c r="AE8" s="709"/>
      <c r="AF8" s="697"/>
      <c r="AG8" s="698"/>
      <c r="AH8" s="709"/>
      <c r="AI8" s="698"/>
      <c r="AJ8" s="709"/>
      <c r="AK8" s="710"/>
      <c r="AM8" s="710"/>
      <c r="AO8" s="710"/>
      <c r="AQ8" s="710"/>
    </row>
    <row r="9" spans="1:54" s="708" customFormat="1" ht="35.25">
      <c r="A9" s="704"/>
      <c r="B9" s="719"/>
      <c r="C9" s="723"/>
      <c r="D9" s="723"/>
      <c r="E9" s="723"/>
      <c r="F9" s="723"/>
      <c r="G9" s="723"/>
      <c r="H9" s="724"/>
      <c r="I9" s="724"/>
      <c r="J9" s="725"/>
      <c r="K9" s="725"/>
      <c r="L9" s="725"/>
      <c r="M9" s="726"/>
      <c r="N9" s="725"/>
      <c r="O9" s="720"/>
      <c r="P9" s="720"/>
      <c r="Q9" s="720"/>
      <c r="R9" s="720"/>
      <c r="S9" s="720"/>
      <c r="T9" s="720"/>
      <c r="U9" s="720"/>
      <c r="V9" s="720"/>
      <c r="W9" s="720"/>
      <c r="X9" s="706"/>
      <c r="Y9" s="707"/>
      <c r="AB9" s="695"/>
      <c r="AC9" s="695"/>
      <c r="AD9" s="709"/>
      <c r="AE9" s="709"/>
      <c r="AF9" s="697"/>
      <c r="AG9" s="698"/>
      <c r="AH9" s="709"/>
      <c r="AI9" s="698"/>
      <c r="AJ9" s="709"/>
      <c r="AK9" s="710"/>
      <c r="AM9" s="710"/>
      <c r="AO9" s="710"/>
      <c r="AQ9" s="710"/>
    </row>
    <row r="10" spans="1:54" s="734" customFormat="1" ht="53.25" customHeight="1">
      <c r="A10" s="727"/>
      <c r="B10" s="728"/>
      <c r="C10" s="1203" t="str">
        <f ca="1">CONCATENATE("تسييــــر"," ",YEAR(TODAY()))</f>
        <v>تسييــــر 2019</v>
      </c>
      <c r="D10" s="1371" t="s">
        <v>783</v>
      </c>
      <c r="E10" s="1201" t="str">
        <f ca="1">CONCATENATE("أجـــرة شهـــر"," ",الرئيسية!N8," ",YEAR(TODAY()))</f>
        <v>أجـــرة شهـــر جوان 2019</v>
      </c>
      <c r="F10" s="729"/>
      <c r="G10" s="729"/>
      <c r="H10" s="730"/>
      <c r="J10" s="731"/>
      <c r="K10" s="732"/>
      <c r="L10" s="732"/>
      <c r="M10" s="733"/>
      <c r="O10" s="735"/>
      <c r="P10" s="735"/>
      <c r="Q10" s="735"/>
      <c r="R10" s="735"/>
      <c r="S10" s="735"/>
      <c r="T10" s="735"/>
      <c r="U10" s="735"/>
      <c r="V10" s="735"/>
      <c r="W10" s="735"/>
      <c r="X10" s="736"/>
      <c r="Y10" s="737"/>
      <c r="AB10" s="695"/>
      <c r="AC10" s="695"/>
      <c r="AD10" s="697"/>
      <c r="AE10" s="697"/>
      <c r="AF10" s="697"/>
      <c r="AG10" s="698"/>
      <c r="AH10" s="697"/>
      <c r="AI10" s="698"/>
      <c r="AJ10" s="697"/>
      <c r="AK10" s="738"/>
      <c r="AM10" s="738"/>
      <c r="AO10" s="738"/>
      <c r="AQ10" s="738"/>
    </row>
    <row r="11" spans="1:54" s="734" customFormat="1" ht="53.25" customHeight="1">
      <c r="A11" s="727"/>
      <c r="B11" s="728"/>
      <c r="C11" s="1200" t="s">
        <v>21</v>
      </c>
      <c r="D11" s="1373" t="s">
        <v>809</v>
      </c>
      <c r="E11" s="739"/>
      <c r="F11" s="739"/>
      <c r="G11" s="739"/>
      <c r="H11" s="1204" t="s">
        <v>567</v>
      </c>
      <c r="I11" s="1205" t="s">
        <v>298</v>
      </c>
      <c r="J11" s="1197">
        <v>75</v>
      </c>
      <c r="K11" s="740"/>
      <c r="L11" s="740"/>
      <c r="M11" s="733"/>
      <c r="N11" s="732"/>
      <c r="O11" s="735"/>
      <c r="P11" s="735"/>
      <c r="Q11" s="735"/>
      <c r="R11" s="735"/>
      <c r="S11" s="735"/>
      <c r="T11" s="735"/>
      <c r="U11" s="735"/>
      <c r="V11" s="735"/>
      <c r="W11" s="735"/>
      <c r="X11" s="736"/>
      <c r="Y11" s="737"/>
      <c r="AB11" s="695"/>
      <c r="AC11" s="695"/>
      <c r="AD11" s="697"/>
      <c r="AE11" s="697"/>
      <c r="AF11" s="697"/>
      <c r="AG11" s="698"/>
      <c r="AH11" s="697"/>
      <c r="AI11" s="698"/>
      <c r="AJ11" s="697"/>
      <c r="AK11" s="738"/>
      <c r="AM11" s="738"/>
      <c r="AO11" s="738"/>
      <c r="AQ11" s="738"/>
    </row>
    <row r="12" spans="1:54" s="734" customFormat="1" ht="64.5" customHeight="1" thickBot="1">
      <c r="A12" s="727"/>
      <c r="B12" s="728"/>
      <c r="C12" s="1370" t="s">
        <v>812</v>
      </c>
      <c r="E12" s="1199" t="s">
        <v>43</v>
      </c>
      <c r="F12" s="741"/>
      <c r="G12" s="742"/>
      <c r="H12" s="1198" t="str">
        <f>LOOKUP(J11,'ورقة العمل'!Y2:Y12,'ورقة العمل'!X2:X12)</f>
        <v>بنك التنمية المحلية</v>
      </c>
      <c r="J12" s="743"/>
      <c r="K12" s="744"/>
      <c r="L12" s="745"/>
      <c r="N12" s="746"/>
      <c r="O12" s="732"/>
      <c r="P12" s="732"/>
      <c r="Q12" s="732"/>
      <c r="R12" s="732"/>
      <c r="S12" s="732"/>
      <c r="T12" s="732"/>
      <c r="U12" s="732"/>
      <c r="V12" s="732"/>
      <c r="W12" s="732"/>
      <c r="X12" s="736"/>
      <c r="Y12" s="737"/>
      <c r="AB12" s="695"/>
      <c r="AC12" s="695"/>
      <c r="AD12" s="697"/>
      <c r="AE12" s="697"/>
      <c r="AF12" s="697"/>
      <c r="AG12" s="698"/>
      <c r="AH12" s="697"/>
      <c r="AI12" s="698"/>
      <c r="AJ12" s="697"/>
      <c r="AK12" s="738"/>
      <c r="AM12" s="738"/>
      <c r="AO12" s="738"/>
      <c r="AQ12" s="738"/>
    </row>
    <row r="13" spans="1:54" s="751" customFormat="1" ht="71.25" customHeight="1" thickBot="1">
      <c r="A13" s="747"/>
      <c r="B13" s="1718" t="s">
        <v>19</v>
      </c>
      <c r="C13" s="1718" t="s">
        <v>42</v>
      </c>
      <c r="D13" s="1206"/>
      <c r="E13" s="1207"/>
      <c r="F13" s="1207"/>
      <c r="G13" s="1207"/>
      <c r="H13" s="1207"/>
      <c r="I13" s="1208"/>
      <c r="J13" s="1209"/>
      <c r="K13" s="1720" t="s">
        <v>44</v>
      </c>
      <c r="L13" s="1721"/>
      <c r="M13" s="1722"/>
      <c r="N13" s="748"/>
      <c r="O13" s="1202" t="s">
        <v>565</v>
      </c>
      <c r="P13" s="1219" t="s">
        <v>565</v>
      </c>
      <c r="Q13" s="1220"/>
      <c r="R13" s="1220"/>
      <c r="S13" s="1220"/>
      <c r="T13" s="1220"/>
      <c r="U13" s="1220"/>
      <c r="V13" s="1221"/>
      <c r="W13" s="1202" t="s">
        <v>565</v>
      </c>
      <c r="X13" s="1723" t="s">
        <v>23</v>
      </c>
      <c r="Y13" s="749"/>
      <c r="Z13" s="812" t="s">
        <v>568</v>
      </c>
      <c r="AB13" s="752"/>
      <c r="AC13" s="752"/>
      <c r="AD13" s="1195"/>
      <c r="AE13" s="749"/>
      <c r="AF13" s="698"/>
      <c r="AO13" s="753"/>
      <c r="AQ13" s="753"/>
    </row>
    <row r="14" spans="1:54" s="751" customFormat="1" ht="159" customHeight="1" thickBot="1">
      <c r="A14" s="747"/>
      <c r="B14" s="1719"/>
      <c r="C14" s="1719"/>
      <c r="D14" s="1210" t="s">
        <v>40</v>
      </c>
      <c r="E14" s="1210" t="s">
        <v>569</v>
      </c>
      <c r="F14" s="1382" t="s">
        <v>523</v>
      </c>
      <c r="G14" s="1210" t="s">
        <v>570</v>
      </c>
      <c r="H14" s="1210" t="s">
        <v>39</v>
      </c>
      <c r="I14" s="1211" t="s">
        <v>38</v>
      </c>
      <c r="J14" s="1212" t="s">
        <v>26</v>
      </c>
      <c r="K14" s="1213" t="s">
        <v>571</v>
      </c>
      <c r="L14" s="1214" t="s">
        <v>572</v>
      </c>
      <c r="M14" s="1215" t="s">
        <v>29</v>
      </c>
      <c r="N14" s="1216" t="s">
        <v>37</v>
      </c>
      <c r="O14" s="1217" t="s">
        <v>573</v>
      </c>
      <c r="P14" s="1212" t="s">
        <v>30</v>
      </c>
      <c r="Q14" s="1218" t="s">
        <v>709</v>
      </c>
      <c r="R14" s="1218" t="s">
        <v>710</v>
      </c>
      <c r="S14" s="1218" t="s">
        <v>711</v>
      </c>
      <c r="T14" s="1218" t="s">
        <v>585</v>
      </c>
      <c r="U14" s="1218" t="s">
        <v>712</v>
      </c>
      <c r="V14" s="1214" t="s">
        <v>31</v>
      </c>
      <c r="W14" s="1202" t="s">
        <v>45</v>
      </c>
      <c r="X14" s="1724"/>
      <c r="Y14" s="1196" t="str">
        <f>H12</f>
        <v>بنك التنمية المحلية</v>
      </c>
      <c r="Z14" s="702"/>
      <c r="AA14" s="703"/>
      <c r="AB14" s="752"/>
      <c r="AC14" s="752"/>
      <c r="AD14" s="698"/>
      <c r="AE14" s="749"/>
      <c r="AF14" s="698"/>
      <c r="AG14" s="1123" t="s">
        <v>705</v>
      </c>
      <c r="AH14" s="1119" t="s">
        <v>706</v>
      </c>
      <c r="AI14" s="1123" t="s">
        <v>707</v>
      </c>
      <c r="AJ14" s="65"/>
      <c r="AK14" s="35"/>
      <c r="AL14" s="34"/>
      <c r="AM14" s="35"/>
      <c r="AN14" s="34"/>
      <c r="AO14" s="753"/>
      <c r="AQ14" s="753"/>
    </row>
    <row r="15" spans="1:54" s="757" customFormat="1" ht="91.5" customHeight="1" thickBot="1">
      <c r="A15" s="754">
        <f>'VAC-TCMP'!A2</f>
        <v>1</v>
      </c>
      <c r="B15" s="1222">
        <v>1</v>
      </c>
      <c r="C15" s="1223" t="str">
        <f>LOOKUP(A15,'VAC-TCMP'!A:A,'VAC-TCMP'!B:B)</f>
        <v>علي علي</v>
      </c>
      <c r="D15" s="1223">
        <f>LOOKUP(A15,'VAC-TCMP'!A:A,'VAC-TCMP'!L:L)</f>
        <v>253532</v>
      </c>
      <c r="E15" s="1224" t="str">
        <f>LOOKUP(A15,'VAC-TCMP'!A:A,'VAC-TCMP'!O:O)</f>
        <v>د 5</v>
      </c>
      <c r="F15" s="1224">
        <f>LOOKUP(A15,'VAC-TCMP'!A:A,'VAC-TCMP'!P:P)</f>
        <v>288</v>
      </c>
      <c r="G15" s="1224" t="str">
        <f>LOOKUP(A15,'VAC-TCMP'!A:A,'VAC-TCMP'!Q:Q)</f>
        <v xml:space="preserve">20 X 1,40% </v>
      </c>
      <c r="H15" s="1225">
        <f>N15-K15-L15-J15-M15-I15</f>
        <v>22952.76</v>
      </c>
      <c r="I15" s="1225">
        <f>LOOKUP(A15,'ورقة العمل'!J:J,'ورقة العمل'!N:N)</f>
        <v>5000</v>
      </c>
      <c r="J15" s="1225">
        <f>ROUND( (N15-W15-M15-K15-L15 )*X15/30,2)</f>
        <v>1830.73</v>
      </c>
      <c r="K15" s="1225">
        <f>LOOKUP(A15,'VAC-TCMP'!A:A,'VAC-TCMP'!AJ:AJ)</f>
        <v>3039.13</v>
      </c>
      <c r="L15" s="1226">
        <f>LOOKUP(A15,'VAC-TCMP'!A:A,'VAC-TCMP'!AL:AL)</f>
        <v>1239</v>
      </c>
      <c r="M15" s="1226">
        <f>LOOKUP(A15,'VAC-TCMP'!A:A,'VAC-TCMP'!AM:AM)</f>
        <v>506.52</v>
      </c>
      <c r="N15" s="1225">
        <f>LOOKUP(A15,'VAC-TCMP'!A:A,'VAC-TCMP'!AH:AH)</f>
        <v>34568.14</v>
      </c>
      <c r="O15" s="1225">
        <f>LOOKUP(A15,'VAC-TCMP'!A:A,'VAC-TCMP'!AG:AG)</f>
        <v>16588.8</v>
      </c>
      <c r="P15" s="1225">
        <f>VLOOKUP(A15,BDVACT,'VAC-TCMP'!$A$2+25,FALSE)</f>
        <v>833</v>
      </c>
      <c r="Q15" s="1225">
        <f>VLOOKUP(A15,BDVACT,'VAC-TCMP'!$A$2+27,FALSE)</f>
        <v>0</v>
      </c>
      <c r="R15" s="1225">
        <f>VLOOKUP(A15,BDVACT,'VAC-TCMP'!$A$2+29,FALSE)</f>
        <v>4147.2</v>
      </c>
      <c r="S15" s="1225">
        <f>VLOOKUP(A15,BDVACT,'VAC-TCMP'!$A$2+28,FALSE)</f>
        <v>0</v>
      </c>
      <c r="T15" s="1225">
        <f>VLOOKUP(A15,BDVACT,'VAC-TCMP'!$A$2+26,FALSE)</f>
        <v>5700</v>
      </c>
      <c r="U15" s="1225">
        <f>VLOOKUP(A15,BDVACT,'VAC-TCMP'!$A$2+30,FALSE)</f>
        <v>1658.88</v>
      </c>
      <c r="V15" s="1225">
        <f>VLOOKUP(A15,BDVACT,'VAC-TCMP'!$A$2+31,FALSE)</f>
        <v>3317.76</v>
      </c>
      <c r="W15" s="1225">
        <f>(VLOOKUP(A15,BDVACT,'VAC-TCMP'!$A$2+20,FALSE))</f>
        <v>2322.5</v>
      </c>
      <c r="X15" s="755">
        <f>LOOKUP(A15,'ورقة العمل'!J:J,'ورقة العمل'!O:O)</f>
        <v>2</v>
      </c>
      <c r="Y15" s="756" t="str">
        <f>(VLOOKUP(A15,BDVACT,'VAC-TCMP'!$A$2+13,FALSE))</f>
        <v>بنك التنمية المحلية</v>
      </c>
      <c r="Z15" s="750" t="str">
        <f>$Z$13</f>
        <v>ك</v>
      </c>
      <c r="AB15" s="758"/>
      <c r="AC15" s="758"/>
      <c r="AD15" s="759"/>
      <c r="AE15" s="760"/>
      <c r="AF15" s="759"/>
      <c r="AG15" s="1124" t="str">
        <f>IF(Y15="لبنك الوطني الجزائري",B15,"")</f>
        <v/>
      </c>
      <c r="AH15" s="1124">
        <f>IF(Y15="بنك التنمية المحلية",B15,"")</f>
        <v>1</v>
      </c>
      <c r="AI15" s="1124" t="str">
        <f>IF(Y15="بنك الفلاحة و التنمية الريفية",B15,"")</f>
        <v/>
      </c>
      <c r="AJ15" s="1117" t="s">
        <v>708</v>
      </c>
      <c r="AK15" s="1116" t="s">
        <v>708</v>
      </c>
      <c r="AL15" s="48"/>
      <c r="AM15" s="49"/>
      <c r="AN15" s="48"/>
      <c r="AO15" s="761"/>
      <c r="AQ15" s="761"/>
    </row>
    <row r="16" spans="1:54" ht="91.5" customHeight="1">
      <c r="A16" s="754">
        <f>'VAC-TCMP'!A3</f>
        <v>2</v>
      </c>
      <c r="B16" s="1222" t="s">
        <v>16</v>
      </c>
      <c r="C16" s="1223" t="str">
        <f>LOOKUP(A16,'VAC-TCMP'!A:A,'VAC-TCMP'!B:B)</f>
        <v>أحمد بن أحمد</v>
      </c>
      <c r="D16" s="1223">
        <f>LOOKUP(A16,'VAC-TCMP'!A:A,'VAC-TCMP'!L:L)</f>
        <v>12214</v>
      </c>
      <c r="E16" s="1224" t="str">
        <f>LOOKUP(A16,'VAC-TCMP'!A:A,'VAC-TCMP'!O:O)</f>
        <v>د 5</v>
      </c>
      <c r="F16" s="1224">
        <f>LOOKUP(A16,'VAC-TCMP'!A:A,'VAC-TCMP'!P:P)</f>
        <v>288</v>
      </c>
      <c r="G16" s="1224" t="str">
        <f>LOOKUP(A16,'VAC-TCMP'!A:A,'VAC-TCMP'!Q:Q)</f>
        <v xml:space="preserve">11 X 1,40% </v>
      </c>
      <c r="H16" s="1225">
        <f t="shared" ref="H16:H36" si="0">N16-K16-L16-J16-M16-I16</f>
        <v>22547.58</v>
      </c>
      <c r="I16" s="1225">
        <f>LOOKUP(A16,'ورقة العمل'!J:J,'ورقة العمل'!N:N)</f>
        <v>5000</v>
      </c>
      <c r="J16" s="1225">
        <f t="shared" ref="J16:J36" si="1">ROUND( (N16-W16-M16-K16-L16 )*X16/30,2)</f>
        <v>860.26</v>
      </c>
      <c r="K16" s="1225">
        <f>LOOKUP(A16,'VAC-TCMP'!A:A,'VAC-TCMP'!AJ:AJ)</f>
        <v>2836.31</v>
      </c>
      <c r="L16" s="1226">
        <f>LOOKUP(A16,'VAC-TCMP'!A:A,'VAC-TCMP'!AL:AL)</f>
        <v>1070.4000000000001</v>
      </c>
      <c r="M16" s="1226">
        <f>LOOKUP(A16,'VAC-TCMP'!A:A,'VAC-TCMP'!AM:AM)</f>
        <v>0</v>
      </c>
      <c r="N16" s="1225">
        <f>LOOKUP(A16,'VAC-TCMP'!A:A,'VAC-TCMP'!AH:AH)</f>
        <v>32314.55</v>
      </c>
      <c r="O16" s="1225">
        <f>LOOKUP(A16,'VAC-TCMP'!A:A,'VAC-TCMP'!AG:AG)</f>
        <v>14955.84</v>
      </c>
      <c r="P16" s="1225">
        <f>VLOOKUP(A16,BDVACT,'VAC-TCMP'!$A$2+25,FALSE)</f>
        <v>833</v>
      </c>
      <c r="Q16" s="1225">
        <f>VLOOKUP(A16,BDVACT,'VAC-TCMP'!$A$2+27,FALSE)</f>
        <v>0</v>
      </c>
      <c r="R16" s="1225">
        <f>VLOOKUP(A16,BDVACT,'VAC-TCMP'!$A$2+29,FALSE)</f>
        <v>3738.96</v>
      </c>
      <c r="S16" s="1225">
        <f>VLOOKUP(A16,BDVACT,'VAC-TCMP'!$A$2+28,FALSE)</f>
        <v>0</v>
      </c>
      <c r="T16" s="1225">
        <f>VLOOKUP(A16,BDVACT,'VAC-TCMP'!$A$2+26,FALSE)</f>
        <v>5700</v>
      </c>
      <c r="U16" s="1225">
        <f>VLOOKUP(A16,BDVACT,'VAC-TCMP'!$A$2+30,FALSE)</f>
        <v>1495.58</v>
      </c>
      <c r="V16" s="1225">
        <f>VLOOKUP(A16,BDVACT,'VAC-TCMP'!$A$2+31,FALSE)</f>
        <v>2991.17</v>
      </c>
      <c r="W16" s="1225">
        <f>(VLOOKUP(A16,BDVACT,'VAC-TCMP'!$A$2+20,FALSE))</f>
        <v>2600</v>
      </c>
      <c r="X16" s="755">
        <f>LOOKUP(A16,'ورقة العمل'!J:J,'ورقة العمل'!O:O)</f>
        <v>1</v>
      </c>
      <c r="Y16" s="756" t="str">
        <f>(VLOOKUP(A16,BDVACT,'VAC-TCMP'!$A$2+13,FALSE))</f>
        <v>الخزينة الولائية</v>
      </c>
      <c r="Z16" s="750" t="str">
        <f t="shared" ref="Z16:Z36" si="2">$Z$13</f>
        <v>ك</v>
      </c>
      <c r="AB16" s="586"/>
      <c r="AC16" s="586"/>
      <c r="AG16" s="1124" t="str">
        <f t="shared" ref="AG16:AG36" si="3">IF(Y16="لبنك الوطني الجزائري",B16,"")</f>
        <v/>
      </c>
      <c r="AH16" s="1124" t="str">
        <f t="shared" ref="AH16:AH36" si="4">IF(Y16="بنك التنمية المحلية",B16,"")</f>
        <v/>
      </c>
      <c r="AI16" s="1124" t="str">
        <f t="shared" ref="AI16:AI36" si="5">IF(Y16="بنك الفلاحة و التنمية الريفية",B16,"")</f>
        <v/>
      </c>
    </row>
    <row r="17" spans="1:35" ht="91.5" customHeight="1">
      <c r="A17" s="754">
        <f>'VAC-TCMP'!A4</f>
        <v>3</v>
      </c>
      <c r="B17" s="1222">
        <v>1</v>
      </c>
      <c r="C17" s="1223" t="str">
        <f>LOOKUP(A17,'VAC-TCMP'!A:A,'VAC-TCMP'!B:B)</f>
        <v>عبد الحميد بن عبد الحميد</v>
      </c>
      <c r="D17" s="1223">
        <f>LOOKUP(A17,'VAC-TCMP'!A:A,'VAC-TCMP'!L:L)</f>
        <v>122121</v>
      </c>
      <c r="E17" s="1224" t="str">
        <f>LOOKUP(A17,'VAC-TCMP'!A:A,'VAC-TCMP'!O:O)</f>
        <v>د 2</v>
      </c>
      <c r="F17" s="1224">
        <f>LOOKUP(A17,'VAC-TCMP'!A:A,'VAC-TCMP'!P:P)</f>
        <v>219</v>
      </c>
      <c r="G17" s="1224" t="str">
        <f>LOOKUP(A17,'VAC-TCMP'!A:A,'VAC-TCMP'!Q:Q)</f>
        <v xml:space="preserve">7 X 1,40% </v>
      </c>
      <c r="H17" s="1225">
        <f t="shared" si="0"/>
        <v>24719.45</v>
      </c>
      <c r="I17" s="1225">
        <f>LOOKUP(A17,'ورقة العمل'!J:J,'ورقة العمل'!N:N)</f>
        <v>0</v>
      </c>
      <c r="J17" s="1225">
        <f t="shared" si="1"/>
        <v>0</v>
      </c>
      <c r="K17" s="1225">
        <f>LOOKUP(A17,'VAC-TCMP'!A:A,'VAC-TCMP'!AJ:AJ)</f>
        <v>2447.73</v>
      </c>
      <c r="L17" s="1226">
        <f>LOOKUP(A17,'VAC-TCMP'!A:A,'VAC-TCMP'!AL:AL)</f>
        <v>829.8</v>
      </c>
      <c r="M17" s="1226">
        <f>LOOKUP(A17,'VAC-TCMP'!A:A,'VAC-TCMP'!AM:AM)</f>
        <v>0</v>
      </c>
      <c r="N17" s="1225">
        <f>LOOKUP(A17,'VAC-TCMP'!A:A,'VAC-TCMP'!AH:AH)</f>
        <v>27996.98</v>
      </c>
      <c r="O17" s="1225">
        <f>LOOKUP(A17,'VAC-TCMP'!A:A,'VAC-TCMP'!AG:AG)</f>
        <v>10820.79</v>
      </c>
      <c r="P17" s="1225">
        <f>VLOOKUP(A17,BDVACT,'VAC-TCMP'!$A$2+25,FALSE)</f>
        <v>913.5</v>
      </c>
      <c r="Q17" s="1225">
        <f>VLOOKUP(A17,BDVACT,'VAC-TCMP'!$A$2+27,FALSE)</f>
        <v>0</v>
      </c>
      <c r="R17" s="1225">
        <f>VLOOKUP(A17,BDVACT,'VAC-TCMP'!$A$2+29,FALSE)</f>
        <v>0</v>
      </c>
      <c r="S17" s="1225">
        <f>VLOOKUP(A17,BDVACT,'VAC-TCMP'!$A$2+28,FALSE)</f>
        <v>2705.2</v>
      </c>
      <c r="T17" s="1225">
        <f>VLOOKUP(A17,BDVACT,'VAC-TCMP'!$A$2+26,FALSE)</f>
        <v>7400</v>
      </c>
      <c r="U17" s="1225">
        <f>VLOOKUP(A17,BDVACT,'VAC-TCMP'!$A$2+30,FALSE)</f>
        <v>1082.08</v>
      </c>
      <c r="V17" s="1225">
        <f>VLOOKUP(A17,BDVACT,'VAC-TCMP'!$A$2+31,FALSE)</f>
        <v>2164.16</v>
      </c>
      <c r="W17" s="1225">
        <f>(VLOOKUP(A17,BDVACT,'VAC-TCMP'!$A$2+20,FALSE))</f>
        <v>2911.25</v>
      </c>
      <c r="X17" s="755">
        <f>LOOKUP(A17,'ورقة العمل'!J:J,'ورقة العمل'!O:O)</f>
        <v>0</v>
      </c>
      <c r="Y17" s="756" t="str">
        <f>(VLOOKUP(A17,BDVACT,'VAC-TCMP'!$A$2+13,FALSE))</f>
        <v>الحساب الجاري البريدي</v>
      </c>
      <c r="Z17" s="750" t="str">
        <f t="shared" si="2"/>
        <v>ك</v>
      </c>
      <c r="AB17" s="586"/>
      <c r="AC17" s="586"/>
      <c r="AG17" s="1124" t="str">
        <f t="shared" si="3"/>
        <v/>
      </c>
      <c r="AH17" s="1124" t="str">
        <f t="shared" si="4"/>
        <v/>
      </c>
      <c r="AI17" s="1124" t="str">
        <f t="shared" si="5"/>
        <v/>
      </c>
    </row>
    <row r="18" spans="1:35" ht="91.5" customHeight="1">
      <c r="A18" s="754">
        <f>'VAC-TCMP'!A5</f>
        <v>4</v>
      </c>
      <c r="B18" s="1222">
        <v>2</v>
      </c>
      <c r="C18" s="1223" t="str">
        <f>LOOKUP(A18,'VAC-TCMP'!A:A,'VAC-TCMP'!B:B)</f>
        <v>جمال بن جمال</v>
      </c>
      <c r="D18" s="1223">
        <f>LOOKUP(A18,'VAC-TCMP'!A:A,'VAC-TCMP'!L:L)</f>
        <v>21245</v>
      </c>
      <c r="E18" s="1224" t="str">
        <f>LOOKUP(A18,'VAC-TCMP'!A:A,'VAC-TCMP'!O:O)</f>
        <v>د 2</v>
      </c>
      <c r="F18" s="1224">
        <f>LOOKUP(A18,'VAC-TCMP'!A:A,'VAC-TCMP'!P:P)</f>
        <v>219</v>
      </c>
      <c r="G18" s="1224" t="str">
        <f>LOOKUP(A18,'VAC-TCMP'!A:A,'VAC-TCMP'!Q:Q)</f>
        <v/>
      </c>
      <c r="H18" s="1225">
        <f t="shared" si="0"/>
        <v>22693.759999999998</v>
      </c>
      <c r="I18" s="1225">
        <f>LOOKUP(A18,'ورقة العمل'!J:J,'ورقة العمل'!N:N)</f>
        <v>0</v>
      </c>
      <c r="J18" s="1225">
        <f t="shared" si="1"/>
        <v>0</v>
      </c>
      <c r="K18" s="1225">
        <f>LOOKUP(A18,'VAC-TCMP'!A:A,'VAC-TCMP'!AJ:AJ)</f>
        <v>2230.9899999999998</v>
      </c>
      <c r="L18" s="1226">
        <f>LOOKUP(A18,'VAC-TCMP'!A:A,'VAC-TCMP'!AL:AL)</f>
        <v>664</v>
      </c>
      <c r="M18" s="1226">
        <f>LOOKUP(A18,'VAC-TCMP'!A:A,'VAC-TCMP'!AM:AM)</f>
        <v>0</v>
      </c>
      <c r="N18" s="1225">
        <f>LOOKUP(A18,'VAC-TCMP'!A:A,'VAC-TCMP'!AH:AH)</f>
        <v>25588.75</v>
      </c>
      <c r="O18" s="1225">
        <f>LOOKUP(A18,'VAC-TCMP'!A:A,'VAC-TCMP'!AG:AG)</f>
        <v>9855</v>
      </c>
      <c r="P18" s="1225">
        <f>VLOOKUP(A18,BDVACT,'VAC-TCMP'!$A$2+25,FALSE)</f>
        <v>913.5</v>
      </c>
      <c r="Q18" s="1225">
        <f>VLOOKUP(A18,BDVACT,'VAC-TCMP'!$A$2+27,FALSE)</f>
        <v>0</v>
      </c>
      <c r="R18" s="1225">
        <f>VLOOKUP(A18,BDVACT,'VAC-TCMP'!$A$2+29,FALSE)</f>
        <v>0</v>
      </c>
      <c r="S18" s="1225">
        <f>VLOOKUP(A18,BDVACT,'VAC-TCMP'!$A$2+28,FALSE)</f>
        <v>2463.75</v>
      </c>
      <c r="T18" s="1225">
        <f>VLOOKUP(A18,BDVACT,'VAC-TCMP'!$A$2+26,FALSE)</f>
        <v>7400</v>
      </c>
      <c r="U18" s="1225">
        <f>VLOOKUP(A18,BDVACT,'VAC-TCMP'!$A$2+30,FALSE)</f>
        <v>985.5</v>
      </c>
      <c r="V18" s="1225">
        <f>VLOOKUP(A18,BDVACT,'VAC-TCMP'!$A$2+31,FALSE)</f>
        <v>1971</v>
      </c>
      <c r="W18" s="1225">
        <f>(VLOOKUP(A18,BDVACT,'VAC-TCMP'!$A$2+20,FALSE))</f>
        <v>2000</v>
      </c>
      <c r="X18" s="755">
        <f>LOOKUP(A18,'ورقة العمل'!J:J,'ورقة العمل'!O:O)</f>
        <v>0</v>
      </c>
      <c r="Y18" s="756" t="str">
        <f>(VLOOKUP(A18,BDVACT,'VAC-TCMP'!$A$2+13,FALSE))</f>
        <v>الحساب الجاري البريدي</v>
      </c>
      <c r="Z18" s="750" t="str">
        <f t="shared" si="2"/>
        <v>ك</v>
      </c>
      <c r="AB18" s="586"/>
      <c r="AC18" s="586"/>
      <c r="AG18" s="1124" t="str">
        <f t="shared" si="3"/>
        <v/>
      </c>
      <c r="AH18" s="1124" t="str">
        <f t="shared" si="4"/>
        <v/>
      </c>
      <c r="AI18" s="1124" t="str">
        <f t="shared" si="5"/>
        <v/>
      </c>
    </row>
    <row r="19" spans="1:35" ht="91.5" customHeight="1">
      <c r="A19" s="754">
        <f>'VAC-TCMP'!A6</f>
        <v>5</v>
      </c>
      <c r="B19" s="1222">
        <v>2</v>
      </c>
      <c r="C19" s="1223" t="str">
        <f>LOOKUP(A19,'VAC-TCMP'!A:A,'VAC-TCMP'!B:B)</f>
        <v>سليمان بن سليمان</v>
      </c>
      <c r="D19" s="1223">
        <f>LOOKUP(A19,'VAC-TCMP'!A:A,'VAC-TCMP'!L:L)</f>
        <v>544534524</v>
      </c>
      <c r="E19" s="1224" t="str">
        <f>LOOKUP(A19,'VAC-TCMP'!A:A,'VAC-TCMP'!O:O)</f>
        <v>د 1</v>
      </c>
      <c r="F19" s="1224">
        <f>LOOKUP(A19,'VAC-TCMP'!A:A,'VAC-TCMP'!P:P)</f>
        <v>200</v>
      </c>
      <c r="G19" s="1224" t="str">
        <f>LOOKUP(A19,'VAC-TCMP'!A:A,'VAC-TCMP'!Q:Q)</f>
        <v xml:space="preserve">19 X 1,40% </v>
      </c>
      <c r="H19" s="1225">
        <f t="shared" si="0"/>
        <v>17755.84</v>
      </c>
      <c r="I19" s="1225">
        <f>LOOKUP(A19,'ورقة العمل'!J:J,'ورقة العمل'!N:N)</f>
        <v>5000</v>
      </c>
      <c r="J19" s="1225">
        <f t="shared" si="1"/>
        <v>1523.81</v>
      </c>
      <c r="K19" s="1225">
        <f>LOOKUP(A19,'VAC-TCMP'!A:A,'VAC-TCMP'!AJ:AJ)</f>
        <v>2402.75</v>
      </c>
      <c r="L19" s="1226">
        <f>LOOKUP(A19,'VAC-TCMP'!A:A,'VAC-TCMP'!AL:AL)</f>
        <v>814.8</v>
      </c>
      <c r="M19" s="1226">
        <f>LOOKUP(A19,'VAC-TCMP'!A:A,'VAC-TCMP'!AM:AM)</f>
        <v>0</v>
      </c>
      <c r="N19" s="1225">
        <f>LOOKUP(A19,'VAC-TCMP'!A:A,'VAC-TCMP'!AH:AH)</f>
        <v>27497.200000000001</v>
      </c>
      <c r="O19" s="1225">
        <f>LOOKUP(A19,'VAC-TCMP'!A:A,'VAC-TCMP'!AG:AG)</f>
        <v>11394</v>
      </c>
      <c r="P19" s="1225">
        <f>VLOOKUP(A19,BDVACT,'VAC-TCMP'!$A$2+25,FALSE)</f>
        <v>714</v>
      </c>
      <c r="Q19" s="1225">
        <f>VLOOKUP(A19,BDVACT,'VAC-TCMP'!$A$2+27,FALSE)</f>
        <v>0</v>
      </c>
      <c r="R19" s="1225">
        <f>VLOOKUP(A19,BDVACT,'VAC-TCMP'!$A$2+29,FALSE)</f>
        <v>0</v>
      </c>
      <c r="S19" s="1225">
        <f>VLOOKUP(A19,BDVACT,'VAC-TCMP'!$A$2+28,FALSE)</f>
        <v>2848.5</v>
      </c>
      <c r="T19" s="1225">
        <f>VLOOKUP(A19,BDVACT,'VAC-TCMP'!$A$2+26,FALSE)</f>
        <v>7700</v>
      </c>
      <c r="U19" s="1225">
        <f>VLOOKUP(A19,BDVACT,'VAC-TCMP'!$A$2+30,FALSE)</f>
        <v>1139.4000000000001</v>
      </c>
      <c r="V19" s="1225">
        <f>VLOOKUP(A19,BDVACT,'VAC-TCMP'!$A$2+31,FALSE)</f>
        <v>2278.8000000000002</v>
      </c>
      <c r="W19" s="1225">
        <f>(VLOOKUP(A19,BDVACT,'VAC-TCMP'!$A$2+20,FALSE))</f>
        <v>1422.5</v>
      </c>
      <c r="X19" s="755">
        <f>LOOKUP(A19,'ورقة العمل'!J:J,'ورقة العمل'!O:O)</f>
        <v>2</v>
      </c>
      <c r="Y19" s="756" t="str">
        <f>(VLOOKUP(A19,BDVACT,'VAC-TCMP'!$A$2+13,FALSE))</f>
        <v>الحساب الجاري البريدي</v>
      </c>
      <c r="Z19" s="750" t="str">
        <f t="shared" si="2"/>
        <v>ك</v>
      </c>
      <c r="AG19" s="1124" t="str">
        <f t="shared" si="3"/>
        <v/>
      </c>
      <c r="AH19" s="1124" t="str">
        <f t="shared" si="4"/>
        <v/>
      </c>
      <c r="AI19" s="1124" t="str">
        <f t="shared" si="5"/>
        <v/>
      </c>
    </row>
    <row r="20" spans="1:35" ht="91.5" customHeight="1">
      <c r="A20" s="754">
        <f>'VAC-TCMP'!A7</f>
        <v>6</v>
      </c>
      <c r="B20" s="1222">
        <v>2</v>
      </c>
      <c r="C20" s="1223" t="str">
        <f>LOOKUP(A20,'VAC-TCMP'!A:A,'VAC-TCMP'!B:B)</f>
        <v>الوافي بن الوافي</v>
      </c>
      <c r="D20" s="1223">
        <f>LOOKUP(A20,'VAC-TCMP'!A:A,'VAC-TCMP'!L:L)</f>
        <v>54454</v>
      </c>
      <c r="E20" s="1224" t="str">
        <f>LOOKUP(A20,'VAC-TCMP'!A:A,'VAC-TCMP'!O:O)</f>
        <v>د 1</v>
      </c>
      <c r="F20" s="1224">
        <f>LOOKUP(A20,'VAC-TCMP'!A:A,'VAC-TCMP'!P:P)</f>
        <v>200</v>
      </c>
      <c r="G20" s="1224" t="str">
        <f>LOOKUP(A20,'VAC-TCMP'!A:A,'VAC-TCMP'!Q:Q)</f>
        <v xml:space="preserve">20 X 1,40% </v>
      </c>
      <c r="H20" s="1225">
        <f t="shared" si="0"/>
        <v>19171.099999999999</v>
      </c>
      <c r="I20" s="1225">
        <f>LOOKUP(A20,'ورقة العمل'!J:J,'ورقة العمل'!N:N)</f>
        <v>5000</v>
      </c>
      <c r="J20" s="1225">
        <f t="shared" si="1"/>
        <v>0</v>
      </c>
      <c r="K20" s="1225">
        <f>LOOKUP(A20,'VAC-TCMP'!A:A,'VAC-TCMP'!AJ:AJ)</f>
        <v>2391.3000000000002</v>
      </c>
      <c r="L20" s="1226">
        <f>LOOKUP(A20,'VAC-TCMP'!A:A,'VAC-TCMP'!AL:AL)</f>
        <v>807.6</v>
      </c>
      <c r="M20" s="1226">
        <f>LOOKUP(A20,'VAC-TCMP'!A:A,'VAC-TCMP'!AM:AM)</f>
        <v>0</v>
      </c>
      <c r="N20" s="1225">
        <f>LOOKUP(A20,'VAC-TCMP'!A:A,'VAC-TCMP'!AH:AH)</f>
        <v>27370</v>
      </c>
      <c r="O20" s="1225">
        <f>LOOKUP(A20,'VAC-TCMP'!A:A,'VAC-TCMP'!AG:AG)</f>
        <v>11520</v>
      </c>
      <c r="P20" s="1225">
        <f>VLOOKUP(A20,BDVACT,'VAC-TCMP'!$A$2+25,FALSE)</f>
        <v>714</v>
      </c>
      <c r="Q20" s="1225">
        <f>VLOOKUP(A20,BDVACT,'VAC-TCMP'!$A$2+27,FALSE)</f>
        <v>0</v>
      </c>
      <c r="R20" s="1225">
        <f>VLOOKUP(A20,BDVACT,'VAC-TCMP'!$A$2+29,FALSE)</f>
        <v>0</v>
      </c>
      <c r="S20" s="1225">
        <f>VLOOKUP(A20,BDVACT,'VAC-TCMP'!$A$2+28,FALSE)</f>
        <v>2880</v>
      </c>
      <c r="T20" s="1225">
        <f>VLOOKUP(A20,BDVACT,'VAC-TCMP'!$A$2+26,FALSE)</f>
        <v>7700</v>
      </c>
      <c r="U20" s="1225">
        <f>VLOOKUP(A20,BDVACT,'VAC-TCMP'!$A$2+30,FALSE)</f>
        <v>1152</v>
      </c>
      <c r="V20" s="1225">
        <f>VLOOKUP(A20,BDVACT,'VAC-TCMP'!$A$2+31,FALSE)</f>
        <v>2304</v>
      </c>
      <c r="W20" s="1225">
        <f>(VLOOKUP(A20,BDVACT,'VAC-TCMP'!$A$2+20,FALSE))</f>
        <v>1100</v>
      </c>
      <c r="X20" s="755">
        <f>LOOKUP(A20,'ورقة العمل'!J:J,'ورقة العمل'!O:O)</f>
        <v>0</v>
      </c>
      <c r="Y20" s="756" t="str">
        <f>(VLOOKUP(A20,BDVACT,'VAC-TCMP'!$A$2+13,FALSE))</f>
        <v>بنك التنمية المحلية</v>
      </c>
      <c r="Z20" s="750" t="str">
        <f t="shared" si="2"/>
        <v>ك</v>
      </c>
      <c r="AG20" s="1124" t="str">
        <f t="shared" si="3"/>
        <v/>
      </c>
      <c r="AH20" s="1124">
        <f t="shared" si="4"/>
        <v>2</v>
      </c>
      <c r="AI20" s="1124" t="str">
        <f t="shared" si="5"/>
        <v/>
      </c>
    </row>
    <row r="21" spans="1:35" ht="91.5" customHeight="1">
      <c r="A21" s="754">
        <f>'VAC-TCMP'!A8</f>
        <v>7</v>
      </c>
      <c r="B21" s="1222">
        <v>3</v>
      </c>
      <c r="C21" s="1223" t="str">
        <f>LOOKUP(A21,'VAC-TCMP'!A:A,'VAC-TCMP'!B:B)</f>
        <v>مصطفى بن مصطفى</v>
      </c>
      <c r="D21" s="1223">
        <f>LOOKUP(A21,'VAC-TCMP'!A:A,'VAC-TCMP'!L:L)</f>
        <v>1121212</v>
      </c>
      <c r="E21" s="1224" t="str">
        <f>LOOKUP(A21,'VAC-TCMP'!A:A,'VAC-TCMP'!O:O)</f>
        <v>د 1</v>
      </c>
      <c r="F21" s="1224">
        <f>LOOKUP(A21,'VAC-TCMP'!A:A,'VAC-TCMP'!P:P)</f>
        <v>200</v>
      </c>
      <c r="G21" s="1224" t="str">
        <f>LOOKUP(A21,'VAC-TCMP'!A:A,'VAC-TCMP'!Q:Q)</f>
        <v xml:space="preserve">15 X 1,40% </v>
      </c>
      <c r="H21" s="1225">
        <f t="shared" si="0"/>
        <v>19124.96</v>
      </c>
      <c r="I21" s="1225">
        <f>LOOKUP(A21,'ورقة العمل'!J:J,'ورقة العمل'!N:N)</f>
        <v>5000</v>
      </c>
      <c r="J21" s="1225">
        <f t="shared" si="1"/>
        <v>0</v>
      </c>
      <c r="K21" s="1225">
        <f>LOOKUP(A21,'VAC-TCMP'!A:A,'VAC-TCMP'!AJ:AJ)</f>
        <v>2386.44</v>
      </c>
      <c r="L21" s="1226">
        <f>LOOKUP(A21,'VAC-TCMP'!A:A,'VAC-TCMP'!AL:AL)</f>
        <v>804.6</v>
      </c>
      <c r="M21" s="1226">
        <f>LOOKUP(A21,'VAC-TCMP'!A:A,'VAC-TCMP'!AM:AM)</f>
        <v>0</v>
      </c>
      <c r="N21" s="1225">
        <f>LOOKUP(A21,'VAC-TCMP'!A:A,'VAC-TCMP'!AH:AH)</f>
        <v>27316</v>
      </c>
      <c r="O21" s="1225">
        <f>LOOKUP(A21,'VAC-TCMP'!A:A,'VAC-TCMP'!AG:AG)</f>
        <v>10890</v>
      </c>
      <c r="P21" s="1225">
        <f>VLOOKUP(A21,BDVACT,'VAC-TCMP'!$A$2+25,FALSE)</f>
        <v>714</v>
      </c>
      <c r="Q21" s="1225">
        <f>VLOOKUP(A21,BDVACT,'VAC-TCMP'!$A$2+27,FALSE)</f>
        <v>0</v>
      </c>
      <c r="R21" s="1225">
        <f>VLOOKUP(A21,BDVACT,'VAC-TCMP'!$A$2+29,FALSE)</f>
        <v>0</v>
      </c>
      <c r="S21" s="1225">
        <f>VLOOKUP(A21,BDVACT,'VAC-TCMP'!$A$2+28,FALSE)</f>
        <v>2722.5</v>
      </c>
      <c r="T21" s="1225">
        <f>VLOOKUP(A21,BDVACT,'VAC-TCMP'!$A$2+26,FALSE)</f>
        <v>7700</v>
      </c>
      <c r="U21" s="1225">
        <f>VLOOKUP(A21,BDVACT,'VAC-TCMP'!$A$2+30,FALSE)</f>
        <v>1089</v>
      </c>
      <c r="V21" s="1225">
        <f>VLOOKUP(A21,BDVACT,'VAC-TCMP'!$A$2+31,FALSE)</f>
        <v>2178</v>
      </c>
      <c r="W21" s="1225">
        <f>(VLOOKUP(A21,BDVACT,'VAC-TCMP'!$A$2+20,FALSE))</f>
        <v>2022.5</v>
      </c>
      <c r="X21" s="755">
        <f>LOOKUP(A21,'ورقة العمل'!J:J,'ورقة العمل'!O:O)</f>
        <v>0</v>
      </c>
      <c r="Y21" s="756" t="str">
        <f>(VLOOKUP(A21,BDVACT,'VAC-TCMP'!$A$2+13,FALSE))</f>
        <v>بنك التنمية المحلية</v>
      </c>
      <c r="Z21" s="750" t="str">
        <f t="shared" si="2"/>
        <v>ك</v>
      </c>
      <c r="AG21" s="1124" t="str">
        <f t="shared" si="3"/>
        <v/>
      </c>
      <c r="AH21" s="1124">
        <f t="shared" si="4"/>
        <v>3</v>
      </c>
      <c r="AI21" s="1124" t="str">
        <f t="shared" si="5"/>
        <v/>
      </c>
    </row>
    <row r="22" spans="1:35" ht="91.5" customHeight="1">
      <c r="A22" s="754">
        <f>'VAC-TCMP'!A9</f>
        <v>8</v>
      </c>
      <c r="B22" s="1222">
        <v>4</v>
      </c>
      <c r="C22" s="1223" t="str">
        <f>LOOKUP(A22,'VAC-TCMP'!A:A,'VAC-TCMP'!B:B)</f>
        <v>سليم بن سليم</v>
      </c>
      <c r="D22" s="1223">
        <f>LOOKUP(A22,'VAC-TCMP'!A:A,'VAC-TCMP'!L:L)</f>
        <v>1111111111</v>
      </c>
      <c r="E22" s="1224" t="str">
        <f>LOOKUP(A22,'VAC-TCMP'!A:A,'VAC-TCMP'!O:O)</f>
        <v>د 1</v>
      </c>
      <c r="F22" s="1224">
        <f>LOOKUP(A22,'VAC-TCMP'!A:A,'VAC-TCMP'!P:P)</f>
        <v>200</v>
      </c>
      <c r="G22" s="1224" t="str">
        <f>LOOKUP(A22,'VAC-TCMP'!A:A,'VAC-TCMP'!Q:Q)</f>
        <v xml:space="preserve">14 X 1,40% </v>
      </c>
      <c r="H22" s="1225">
        <f t="shared" si="0"/>
        <v>22625.16</v>
      </c>
      <c r="I22" s="1225">
        <f>LOOKUP(A22,'ورقة العمل'!J:J,'ورقة العمل'!N:N)</f>
        <v>0</v>
      </c>
      <c r="J22" s="1225">
        <f t="shared" si="1"/>
        <v>0</v>
      </c>
      <c r="K22" s="1225">
        <f>LOOKUP(A22,'VAC-TCMP'!A:A,'VAC-TCMP'!AJ:AJ)</f>
        <v>2312.84</v>
      </c>
      <c r="L22" s="1226">
        <f>LOOKUP(A22,'VAC-TCMP'!A:A,'VAC-TCMP'!AL:AL)</f>
        <v>760.2</v>
      </c>
      <c r="M22" s="1226">
        <f>LOOKUP(A22,'VAC-TCMP'!A:A,'VAC-TCMP'!AM:AM)</f>
        <v>0</v>
      </c>
      <c r="N22" s="1225">
        <f>LOOKUP(A22,'VAC-TCMP'!A:A,'VAC-TCMP'!AH:AH)</f>
        <v>25698.2</v>
      </c>
      <c r="O22" s="1225">
        <f>LOOKUP(A22,'VAC-TCMP'!A:A,'VAC-TCMP'!AG:AG)</f>
        <v>10764</v>
      </c>
      <c r="P22" s="1225">
        <f>VLOOKUP(A22,BDVACT,'VAC-TCMP'!$A$2+25,FALSE)</f>
        <v>714</v>
      </c>
      <c r="Q22" s="1225">
        <f>VLOOKUP(A22,BDVACT,'VAC-TCMP'!$A$2+27,FALSE)</f>
        <v>0</v>
      </c>
      <c r="R22" s="1225">
        <f>VLOOKUP(A22,BDVACT,'VAC-TCMP'!$A$2+29,FALSE)</f>
        <v>0</v>
      </c>
      <c r="S22" s="1225">
        <f>VLOOKUP(A22,BDVACT,'VAC-TCMP'!$A$2+28,FALSE)</f>
        <v>2691</v>
      </c>
      <c r="T22" s="1225">
        <f>VLOOKUP(A22,BDVACT,'VAC-TCMP'!$A$2+26,FALSE)</f>
        <v>7700</v>
      </c>
      <c r="U22" s="1225">
        <f>VLOOKUP(A22,BDVACT,'VAC-TCMP'!$A$2+30,FALSE)</f>
        <v>1076.4000000000001</v>
      </c>
      <c r="V22" s="1225">
        <f>VLOOKUP(A22,BDVACT,'VAC-TCMP'!$A$2+31,FALSE)</f>
        <v>2152.8000000000002</v>
      </c>
      <c r="W22" s="1225">
        <f>(VLOOKUP(A22,BDVACT,'VAC-TCMP'!$A$2+20,FALSE))</f>
        <v>600</v>
      </c>
      <c r="X22" s="755">
        <f>LOOKUP(A22,'ورقة العمل'!J:J,'ورقة العمل'!O:O)</f>
        <v>0</v>
      </c>
      <c r="Y22" s="756" t="str">
        <f>(VLOOKUP(A22,BDVACT,'VAC-TCMP'!$A$2+13,FALSE))</f>
        <v>بنك التنمية المحلية</v>
      </c>
      <c r="Z22" s="750" t="str">
        <f t="shared" si="2"/>
        <v>ك</v>
      </c>
      <c r="AG22" s="1124" t="str">
        <f t="shared" si="3"/>
        <v/>
      </c>
      <c r="AH22" s="1124">
        <f t="shared" si="4"/>
        <v>4</v>
      </c>
      <c r="AI22" s="1124" t="str">
        <f t="shared" si="5"/>
        <v/>
      </c>
    </row>
    <row r="23" spans="1:35" ht="91.5" customHeight="1">
      <c r="A23" s="754">
        <f>'VAC-TCMP'!A10</f>
        <v>9</v>
      </c>
      <c r="B23" s="1222">
        <v>6</v>
      </c>
      <c r="C23" s="1223" t="str">
        <f>LOOKUP(A23,'VAC-TCMP'!A:A,'VAC-TCMP'!B:B)</f>
        <v>جميل بن جميل</v>
      </c>
      <c r="D23" s="1223">
        <f>LOOKUP(A23,'VAC-TCMP'!A:A,'VAC-TCMP'!L:L)</f>
        <v>222222222</v>
      </c>
      <c r="E23" s="1224" t="str">
        <f>LOOKUP(A23,'VAC-TCMP'!A:A,'VAC-TCMP'!O:O)</f>
        <v>د 1</v>
      </c>
      <c r="F23" s="1224">
        <f>LOOKUP(A23,'VAC-TCMP'!A:A,'VAC-TCMP'!P:P)</f>
        <v>200</v>
      </c>
      <c r="G23" s="1224" t="str">
        <f>LOOKUP(A23,'VAC-TCMP'!A:A,'VAC-TCMP'!Q:Q)</f>
        <v xml:space="preserve">10 X 1,40% </v>
      </c>
      <c r="H23" s="1225">
        <f t="shared" si="0"/>
        <v>19680.28</v>
      </c>
      <c r="I23" s="1225">
        <f>LOOKUP(A23,'ورقة العمل'!J:J,'ورقة العمل'!N:N)</f>
        <v>5000</v>
      </c>
      <c r="J23" s="1225">
        <f t="shared" si="1"/>
        <v>0</v>
      </c>
      <c r="K23" s="1225">
        <f>LOOKUP(A23,'VAC-TCMP'!A:A,'VAC-TCMP'!AJ:AJ)</f>
        <v>2444.86</v>
      </c>
      <c r="L23" s="1226">
        <f>LOOKUP(A23,'VAC-TCMP'!A:A,'VAC-TCMP'!AL:AL)</f>
        <v>840</v>
      </c>
      <c r="M23" s="1226">
        <f>LOOKUP(A23,'VAC-TCMP'!A:A,'VAC-TCMP'!AM:AM)</f>
        <v>0</v>
      </c>
      <c r="N23" s="1225">
        <f>LOOKUP(A23,'VAC-TCMP'!A:A,'VAC-TCMP'!AH:AH)</f>
        <v>27965.14</v>
      </c>
      <c r="O23" s="1225">
        <f>LOOKUP(A23,'VAC-TCMP'!A:A,'VAC-TCMP'!AG:AG)</f>
        <v>11274.39</v>
      </c>
      <c r="P23" s="1225">
        <f>VLOOKUP(A23,BDVACT,'VAC-TCMP'!$A$2+25,FALSE)</f>
        <v>714</v>
      </c>
      <c r="Q23" s="1225">
        <f>VLOOKUP(A23,BDVACT,'VAC-TCMP'!$A$2+27,FALSE)</f>
        <v>0</v>
      </c>
      <c r="R23" s="1225">
        <f>VLOOKUP(A23,BDVACT,'VAC-TCMP'!$A$2+29,FALSE)</f>
        <v>0</v>
      </c>
      <c r="S23" s="1225">
        <f>VLOOKUP(A23,BDVACT,'VAC-TCMP'!$A$2+28,FALSE)</f>
        <v>2565</v>
      </c>
      <c r="T23" s="1225">
        <f>VLOOKUP(A23,BDVACT,'VAC-TCMP'!$A$2+26,FALSE)</f>
        <v>7700</v>
      </c>
      <c r="U23" s="1225">
        <f>VLOOKUP(A23,BDVACT,'VAC-TCMP'!$A$2+30,FALSE)</f>
        <v>1026</v>
      </c>
      <c r="V23" s="1225">
        <f>VLOOKUP(A23,BDVACT,'VAC-TCMP'!$A$2+31,FALSE)</f>
        <v>2052</v>
      </c>
      <c r="W23" s="1225">
        <f>(VLOOKUP(A23,BDVACT,'VAC-TCMP'!$A$2+20,FALSE))</f>
        <v>2633.75</v>
      </c>
      <c r="X23" s="755">
        <f>LOOKUP(A23,'ورقة العمل'!J:J,'ورقة العمل'!O:O)</f>
        <v>0</v>
      </c>
      <c r="Y23" s="756" t="str">
        <f>(VLOOKUP(A23,BDVACT,'VAC-TCMP'!$A$2+13,FALSE))</f>
        <v>الحساب الجاري البريدي</v>
      </c>
      <c r="Z23" s="750" t="str">
        <f t="shared" si="2"/>
        <v>ك</v>
      </c>
      <c r="AG23" s="1124" t="str">
        <f t="shared" si="3"/>
        <v/>
      </c>
      <c r="AH23" s="1124" t="str">
        <f t="shared" si="4"/>
        <v/>
      </c>
      <c r="AI23" s="1124" t="str">
        <f t="shared" si="5"/>
        <v/>
      </c>
    </row>
    <row r="24" spans="1:35" ht="91.5" customHeight="1">
      <c r="A24" s="754">
        <f>'VAC-TCMP'!A11</f>
        <v>10</v>
      </c>
      <c r="B24" s="1222">
        <v>5</v>
      </c>
      <c r="C24" s="1223" t="str">
        <f>LOOKUP(A24,'VAC-TCMP'!A:A,'VAC-TCMP'!B:B)</f>
        <v>مبيىاكمتنيبىامني</v>
      </c>
      <c r="D24" s="1223">
        <f>LOOKUP(A24,'VAC-TCMP'!A:A,'VAC-TCMP'!L:L)</f>
        <v>1212114</v>
      </c>
      <c r="E24" s="1224" t="str">
        <f>LOOKUP(A24,'VAC-TCMP'!A:A,'VAC-TCMP'!O:O)</f>
        <v>د 1</v>
      </c>
      <c r="F24" s="1224">
        <f>LOOKUP(A24,'VAC-TCMP'!A:A,'VAC-TCMP'!P:P)</f>
        <v>200</v>
      </c>
      <c r="G24" s="1224" t="str">
        <f>LOOKUP(A24,'VAC-TCMP'!A:A,'VAC-TCMP'!Q:Q)</f>
        <v xml:space="preserve">10 X 1,40% </v>
      </c>
      <c r="H24" s="1225">
        <f t="shared" si="0"/>
        <v>23594.560000000001</v>
      </c>
      <c r="I24" s="1225">
        <f>LOOKUP(A24,'ورقة العمل'!J:J,'ورقة العمل'!N:N)</f>
        <v>0</v>
      </c>
      <c r="J24" s="1225">
        <f t="shared" si="1"/>
        <v>0</v>
      </c>
      <c r="K24" s="1225">
        <f>LOOKUP(A24,'VAC-TCMP'!A:A,'VAC-TCMP'!AJ:AJ)</f>
        <v>2414.83</v>
      </c>
      <c r="L24" s="1226">
        <f>LOOKUP(A24,'VAC-TCMP'!A:A,'VAC-TCMP'!AL:AL)</f>
        <v>822</v>
      </c>
      <c r="M24" s="1226">
        <f>LOOKUP(A24,'VAC-TCMP'!A:A,'VAC-TCMP'!AM:AM)</f>
        <v>0</v>
      </c>
      <c r="N24" s="1225">
        <f>LOOKUP(A24,'VAC-TCMP'!A:A,'VAC-TCMP'!AH:AH)</f>
        <v>26831.39</v>
      </c>
      <c r="O24" s="1225">
        <f>LOOKUP(A24,'VAC-TCMP'!A:A,'VAC-TCMP'!AG:AG)</f>
        <v>11274.39</v>
      </c>
      <c r="P24" s="1225">
        <f>VLOOKUP(A24,BDVACT,'VAC-TCMP'!$A$2+25,FALSE)</f>
        <v>714</v>
      </c>
      <c r="Q24" s="1225">
        <f>VLOOKUP(A24,BDVACT,'VAC-TCMP'!$A$2+27,FALSE)</f>
        <v>0</v>
      </c>
      <c r="R24" s="1225">
        <f>VLOOKUP(A24,BDVACT,'VAC-TCMP'!$A$2+29,FALSE)</f>
        <v>0</v>
      </c>
      <c r="S24" s="1225">
        <f>VLOOKUP(A24,BDVACT,'VAC-TCMP'!$A$2+28,FALSE)</f>
        <v>2565</v>
      </c>
      <c r="T24" s="1225">
        <f>VLOOKUP(A24,BDVACT,'VAC-TCMP'!$A$2+26,FALSE)</f>
        <v>7700</v>
      </c>
      <c r="U24" s="1225">
        <f>VLOOKUP(A24,BDVACT,'VAC-TCMP'!$A$2+30,FALSE)</f>
        <v>1026</v>
      </c>
      <c r="V24" s="1225">
        <f>VLOOKUP(A24,BDVACT,'VAC-TCMP'!$A$2+31,FALSE)</f>
        <v>2052</v>
      </c>
      <c r="W24" s="1225">
        <f>(VLOOKUP(A24,BDVACT,'VAC-TCMP'!$A$2+20,FALSE))</f>
        <v>1500</v>
      </c>
      <c r="X24" s="755">
        <f>LOOKUP(A24,'ورقة العمل'!J:J,'ورقة العمل'!O:O)</f>
        <v>0</v>
      </c>
      <c r="Y24" s="756" t="str">
        <f>(VLOOKUP(A24,BDVACT,'VAC-TCMP'!$A$2+13,FALSE))</f>
        <v>بنك التنمية المحلية</v>
      </c>
      <c r="Z24" s="750" t="str">
        <f t="shared" si="2"/>
        <v>ك</v>
      </c>
      <c r="AG24" s="1124" t="str">
        <f t="shared" si="3"/>
        <v/>
      </c>
      <c r="AH24" s="1124">
        <f t="shared" si="4"/>
        <v>5</v>
      </c>
      <c r="AI24" s="1124" t="str">
        <f t="shared" si="5"/>
        <v/>
      </c>
    </row>
    <row r="25" spans="1:35" ht="91.5" customHeight="1">
      <c r="A25" s="754">
        <f>'VAC-TCMP'!A12</f>
        <v>11</v>
      </c>
      <c r="B25" s="1222">
        <v>6</v>
      </c>
      <c r="C25" s="1223" t="str">
        <f>LOOKUP(A25,'VAC-TCMP'!A:A,'VAC-TCMP'!B:B)</f>
        <v>يمنباسىكامنىلبا</v>
      </c>
      <c r="D25" s="1223">
        <f>LOOKUP(A25,'VAC-TCMP'!A:A,'VAC-TCMP'!L:L)</f>
        <v>424242</v>
      </c>
      <c r="E25" s="1224" t="str">
        <f>LOOKUP(A25,'VAC-TCMP'!A:A,'VAC-TCMP'!O:O)</f>
        <v>د 1</v>
      </c>
      <c r="F25" s="1224">
        <f>LOOKUP(A25,'VAC-TCMP'!A:A,'VAC-TCMP'!P:P)</f>
        <v>200</v>
      </c>
      <c r="G25" s="1224" t="str">
        <f>LOOKUP(A25,'VAC-TCMP'!A:A,'VAC-TCMP'!Q:Q)</f>
        <v xml:space="preserve">9 X 1,40% </v>
      </c>
      <c r="H25" s="1225">
        <f t="shared" si="0"/>
        <v>21076.9</v>
      </c>
      <c r="I25" s="1225">
        <f>LOOKUP(A25,'ورقة العمل'!J:J,'ورقة العمل'!N:N)</f>
        <v>0</v>
      </c>
      <c r="J25" s="1225">
        <f t="shared" si="1"/>
        <v>2796.45</v>
      </c>
      <c r="K25" s="1225">
        <f>LOOKUP(A25,'VAC-TCMP'!A:A,'VAC-TCMP'!AJ:AJ)</f>
        <v>2359.9499999999998</v>
      </c>
      <c r="L25" s="1226">
        <f>LOOKUP(A25,'VAC-TCMP'!A:A,'VAC-TCMP'!AL:AL)</f>
        <v>788.4</v>
      </c>
      <c r="M25" s="1226">
        <f>LOOKUP(A25,'VAC-TCMP'!A:A,'VAC-TCMP'!AM:AM)</f>
        <v>0</v>
      </c>
      <c r="N25" s="1225">
        <f>LOOKUP(A25,'VAC-TCMP'!A:A,'VAC-TCMP'!AH:AH)</f>
        <v>27021.7</v>
      </c>
      <c r="O25" s="1225">
        <f>LOOKUP(A25,'VAC-TCMP'!A:A,'VAC-TCMP'!AG:AG)</f>
        <v>10134</v>
      </c>
      <c r="P25" s="1225">
        <f>VLOOKUP(A25,BDVACT,'VAC-TCMP'!$A$2+25,FALSE)</f>
        <v>714</v>
      </c>
      <c r="Q25" s="1225">
        <f>VLOOKUP(A25,BDVACT,'VAC-TCMP'!$A$2+27,FALSE)</f>
        <v>0</v>
      </c>
      <c r="R25" s="1225">
        <f>VLOOKUP(A25,BDVACT,'VAC-TCMP'!$A$2+29,FALSE)</f>
        <v>0</v>
      </c>
      <c r="S25" s="1225">
        <f>VLOOKUP(A25,BDVACT,'VAC-TCMP'!$A$2+28,FALSE)</f>
        <v>2533.5</v>
      </c>
      <c r="T25" s="1225">
        <f>VLOOKUP(A25,BDVACT,'VAC-TCMP'!$A$2+26,FALSE)</f>
        <v>7700</v>
      </c>
      <c r="U25" s="1225">
        <f>VLOOKUP(A25,BDVACT,'VAC-TCMP'!$A$2+30,FALSE)</f>
        <v>1013.4</v>
      </c>
      <c r="V25" s="1225">
        <f>VLOOKUP(A25,BDVACT,'VAC-TCMP'!$A$2+31,FALSE)</f>
        <v>2026.8</v>
      </c>
      <c r="W25" s="1225">
        <f>(VLOOKUP(A25,BDVACT,'VAC-TCMP'!$A$2+20,FALSE))</f>
        <v>2900</v>
      </c>
      <c r="X25" s="755">
        <f>LOOKUP(A25,'ورقة العمل'!J:J,'ورقة العمل'!O:O)</f>
        <v>4</v>
      </c>
      <c r="Y25" s="756" t="str">
        <f>(VLOOKUP(A25,BDVACT,'VAC-TCMP'!$A$2+13,FALSE))</f>
        <v>بنك التنمية المحلية</v>
      </c>
      <c r="Z25" s="750" t="str">
        <f t="shared" si="2"/>
        <v>ك</v>
      </c>
      <c r="AG25" s="1124" t="str">
        <f t="shared" si="3"/>
        <v/>
      </c>
      <c r="AH25" s="1124">
        <f t="shared" si="4"/>
        <v>6</v>
      </c>
      <c r="AI25" s="1124" t="str">
        <f t="shared" si="5"/>
        <v/>
      </c>
    </row>
    <row r="26" spans="1:35" ht="91.5" customHeight="1">
      <c r="A26" s="754">
        <f>'VAC-TCMP'!A13</f>
        <v>12</v>
      </c>
      <c r="B26" s="1222">
        <v>7</v>
      </c>
      <c r="C26" s="1223" t="str">
        <f>LOOKUP(A26,'VAC-TCMP'!A:A,'VAC-TCMP'!B:B)</f>
        <v>مىلاورؤةلارؤوةلا</v>
      </c>
      <c r="D26" s="1223">
        <f>LOOKUP(A26,'VAC-TCMP'!A:A,'VAC-TCMP'!L:L)</f>
        <v>42525424</v>
      </c>
      <c r="E26" s="1224" t="str">
        <f>LOOKUP(A26,'VAC-TCMP'!A:A,'VAC-TCMP'!O:O)</f>
        <v>د 1</v>
      </c>
      <c r="F26" s="1224">
        <f>LOOKUP(A26,'VAC-TCMP'!A:A,'VAC-TCMP'!P:P)</f>
        <v>200</v>
      </c>
      <c r="G26" s="1224" t="str">
        <f>LOOKUP(A26,'VAC-TCMP'!A:A,'VAC-TCMP'!Q:Q)</f>
        <v xml:space="preserve">3 X 1,40% </v>
      </c>
      <c r="H26" s="1225">
        <f t="shared" si="0"/>
        <v>22896.65</v>
      </c>
      <c r="I26" s="1225">
        <f>LOOKUP(A26,'ورقة العمل'!J:J,'ورقة العمل'!N:N)</f>
        <v>0</v>
      </c>
      <c r="J26" s="1225">
        <f t="shared" si="1"/>
        <v>0</v>
      </c>
      <c r="K26" s="1225">
        <f>LOOKUP(A26,'VAC-TCMP'!A:A,'VAC-TCMP'!AJ:AJ)</f>
        <v>2255.5</v>
      </c>
      <c r="L26" s="1226">
        <f>LOOKUP(A26,'VAC-TCMP'!A:A,'VAC-TCMP'!AL:AL)</f>
        <v>709</v>
      </c>
      <c r="M26" s="1226">
        <f>LOOKUP(A26,'VAC-TCMP'!A:A,'VAC-TCMP'!AM:AM)</f>
        <v>0</v>
      </c>
      <c r="N26" s="1225">
        <f>LOOKUP(A26,'VAC-TCMP'!A:A,'VAC-TCMP'!AH:AH)</f>
        <v>25861.15</v>
      </c>
      <c r="O26" s="1225">
        <f>LOOKUP(A26,'VAC-TCMP'!A:A,'VAC-TCMP'!AG:AG)</f>
        <v>9378</v>
      </c>
      <c r="P26" s="1225">
        <f>VLOOKUP(A26,BDVACT,'VAC-TCMP'!$A$2+25,FALSE)</f>
        <v>714</v>
      </c>
      <c r="Q26" s="1225">
        <f>VLOOKUP(A26,BDVACT,'VAC-TCMP'!$A$2+27,FALSE)</f>
        <v>0</v>
      </c>
      <c r="R26" s="1225">
        <f>VLOOKUP(A26,BDVACT,'VAC-TCMP'!$A$2+29,FALSE)</f>
        <v>0</v>
      </c>
      <c r="S26" s="1225">
        <f>VLOOKUP(A26,BDVACT,'VAC-TCMP'!$A$2+28,FALSE)</f>
        <v>2344.5</v>
      </c>
      <c r="T26" s="1225">
        <f>VLOOKUP(A26,BDVACT,'VAC-TCMP'!$A$2+26,FALSE)</f>
        <v>7700</v>
      </c>
      <c r="U26" s="1225">
        <f>VLOOKUP(A26,BDVACT,'VAC-TCMP'!$A$2+30,FALSE)</f>
        <v>937.8</v>
      </c>
      <c r="V26" s="1225">
        <f>VLOOKUP(A26,BDVACT,'VAC-TCMP'!$A$2+31,FALSE)</f>
        <v>1875.6</v>
      </c>
      <c r="W26" s="1225">
        <f>(VLOOKUP(A26,BDVACT,'VAC-TCMP'!$A$2+20,FALSE))</f>
        <v>2911.25</v>
      </c>
      <c r="X26" s="755">
        <f>LOOKUP(A26,'ورقة العمل'!J:J,'ورقة العمل'!O:O)</f>
        <v>0</v>
      </c>
      <c r="Y26" s="756" t="str">
        <f>(VLOOKUP(A26,BDVACT,'VAC-TCMP'!$A$2+13,FALSE))</f>
        <v>بنك التنمية المحلية</v>
      </c>
      <c r="Z26" s="750" t="str">
        <f t="shared" si="2"/>
        <v>ك</v>
      </c>
      <c r="AG26" s="1124" t="str">
        <f t="shared" si="3"/>
        <v/>
      </c>
      <c r="AH26" s="1124">
        <f t="shared" si="4"/>
        <v>7</v>
      </c>
      <c r="AI26" s="1124" t="str">
        <f t="shared" si="5"/>
        <v/>
      </c>
    </row>
    <row r="27" spans="1:35" ht="91.5" customHeight="1">
      <c r="A27" s="754">
        <f>'VAC-TCMP'!A14</f>
        <v>13</v>
      </c>
      <c r="B27" s="1222">
        <v>2</v>
      </c>
      <c r="C27" s="1223" t="str">
        <f>LOOKUP(A27,'VAC-TCMP'!A:A,'VAC-TCMP'!B:B)</f>
        <v>لالالالالالالا</v>
      </c>
      <c r="D27" s="1223">
        <f>LOOKUP(A27,'VAC-TCMP'!A:A,'VAC-TCMP'!L:L)</f>
        <v>147587587</v>
      </c>
      <c r="E27" s="1224" t="str">
        <f>LOOKUP(A27,'VAC-TCMP'!A:A,'VAC-TCMP'!O:O)</f>
        <v>د 1</v>
      </c>
      <c r="F27" s="1224">
        <f>LOOKUP(A27,'VAC-TCMP'!A:A,'VAC-TCMP'!P:P)</f>
        <v>200</v>
      </c>
      <c r="G27" s="1224" t="str">
        <f>LOOKUP(A27,'VAC-TCMP'!A:A,'VAC-TCMP'!Q:Q)</f>
        <v xml:space="preserve">12 X 1,40% </v>
      </c>
      <c r="H27" s="1225">
        <f t="shared" si="0"/>
        <v>20680.21</v>
      </c>
      <c r="I27" s="1225">
        <f>LOOKUP(A27,'ورقة العمل'!J:J,'ورقة العمل'!N:N)</f>
        <v>5000</v>
      </c>
      <c r="J27" s="1225">
        <f t="shared" si="1"/>
        <v>0</v>
      </c>
      <c r="K27" s="1225">
        <f>LOOKUP(A27,'VAC-TCMP'!A:A,'VAC-TCMP'!AJ:AJ)</f>
        <v>2550.11</v>
      </c>
      <c r="L27" s="1226">
        <f>LOOKUP(A27,'VAC-TCMP'!A:A,'VAC-TCMP'!AL:AL)</f>
        <v>904.2</v>
      </c>
      <c r="M27" s="1226">
        <f>LOOKUP(A27,'VAC-TCMP'!A:A,'VAC-TCMP'!AM:AM)</f>
        <v>0</v>
      </c>
      <c r="N27" s="1225">
        <f>LOOKUP(A27,'VAC-TCMP'!A:A,'VAC-TCMP'!AH:AH)</f>
        <v>29134.52</v>
      </c>
      <c r="O27" s="1225">
        <f>LOOKUP(A27,'VAC-TCMP'!A:A,'VAC-TCMP'!AG:AG)</f>
        <v>11427.67</v>
      </c>
      <c r="P27" s="1225">
        <f>VLOOKUP(A27,BDVACT,'VAC-TCMP'!$A$2+25,FALSE)</f>
        <v>714</v>
      </c>
      <c r="Q27" s="1225">
        <f>VLOOKUP(A27,BDVACT,'VAC-TCMP'!$A$2+27,FALSE)</f>
        <v>0</v>
      </c>
      <c r="R27" s="1225">
        <f>VLOOKUP(A27,BDVACT,'VAC-TCMP'!$A$2+29,FALSE)</f>
        <v>0</v>
      </c>
      <c r="S27" s="1225">
        <f>VLOOKUP(A27,BDVACT,'VAC-TCMP'!$A$2+28,FALSE)</f>
        <v>2628</v>
      </c>
      <c r="T27" s="1225">
        <f>VLOOKUP(A27,BDVACT,'VAC-TCMP'!$A$2+26,FALSE)</f>
        <v>7700</v>
      </c>
      <c r="U27" s="1225">
        <f>VLOOKUP(A27,BDVACT,'VAC-TCMP'!$A$2+30,FALSE)</f>
        <v>1051.2</v>
      </c>
      <c r="V27" s="1225">
        <f>VLOOKUP(A27,BDVACT,'VAC-TCMP'!$A$2+31,FALSE)</f>
        <v>2102.4</v>
      </c>
      <c r="W27" s="1225">
        <f>(VLOOKUP(A27,BDVACT,'VAC-TCMP'!$A$2+20,FALSE))</f>
        <v>3511.25</v>
      </c>
      <c r="X27" s="755">
        <f>LOOKUP(A27,'ورقة العمل'!J:J,'ورقة العمل'!O:O)</f>
        <v>0</v>
      </c>
      <c r="Y27" s="756" t="str">
        <f>(VLOOKUP(A27,BDVACT,'VAC-TCMP'!$A$2+13,FALSE))</f>
        <v>الخزينة الولائية</v>
      </c>
      <c r="Z27" s="750" t="str">
        <f t="shared" si="2"/>
        <v>ك</v>
      </c>
      <c r="AB27" s="586"/>
      <c r="AC27" s="586"/>
      <c r="AG27" s="1124" t="str">
        <f t="shared" si="3"/>
        <v/>
      </c>
      <c r="AH27" s="1124" t="str">
        <f t="shared" si="4"/>
        <v/>
      </c>
      <c r="AI27" s="1124" t="str">
        <f t="shared" si="5"/>
        <v/>
      </c>
    </row>
    <row r="28" spans="1:35" ht="91.5" customHeight="1">
      <c r="A28" s="754">
        <f>'VAC-TCMP'!A15</f>
        <v>14</v>
      </c>
      <c r="B28" s="1222">
        <v>3</v>
      </c>
      <c r="C28" s="1223" t="str">
        <f>LOOKUP(A28,'VAC-TCMP'!A:A,'VAC-TCMP'!B:B)</f>
        <v>لللللللللل</v>
      </c>
      <c r="D28" s="1223">
        <f>LOOKUP(A28,'VAC-TCMP'!A:A,'VAC-TCMP'!L:L)</f>
        <v>35434</v>
      </c>
      <c r="E28" s="1224" t="str">
        <f>LOOKUP(A28,'VAC-TCMP'!A:A,'VAC-TCMP'!O:O)</f>
        <v>د 1</v>
      </c>
      <c r="F28" s="1224">
        <f>LOOKUP(A28,'VAC-TCMP'!A:A,'VAC-TCMP'!P:P)</f>
        <v>200</v>
      </c>
      <c r="G28" s="1224" t="str">
        <f>LOOKUP(A28,'VAC-TCMP'!A:A,'VAC-TCMP'!Q:Q)</f>
        <v xml:space="preserve">15 X 1,40% </v>
      </c>
      <c r="H28" s="1225">
        <f t="shared" si="0"/>
        <v>20645.28</v>
      </c>
      <c r="I28" s="1225">
        <f>LOOKUP(A28,'ورقة العمل'!J:J,'ورقة العمل'!N:N)</f>
        <v>5000</v>
      </c>
      <c r="J28" s="1225">
        <f t="shared" si="1"/>
        <v>0</v>
      </c>
      <c r="K28" s="1225">
        <f>LOOKUP(A28,'VAC-TCMP'!A:A,'VAC-TCMP'!AJ:AJ)</f>
        <v>2546.42</v>
      </c>
      <c r="L28" s="1226">
        <f>LOOKUP(A28,'VAC-TCMP'!A:A,'VAC-TCMP'!AL:AL)</f>
        <v>901.8</v>
      </c>
      <c r="M28" s="1226">
        <f>LOOKUP(A28,'VAC-TCMP'!A:A,'VAC-TCMP'!AM:AM)</f>
        <v>0</v>
      </c>
      <c r="N28" s="1225">
        <f>LOOKUP(A28,'VAC-TCMP'!A:A,'VAC-TCMP'!AH:AH)</f>
        <v>29093.5</v>
      </c>
      <c r="O28" s="1225">
        <f>LOOKUP(A28,'VAC-TCMP'!A:A,'VAC-TCMP'!AG:AG)</f>
        <v>10890</v>
      </c>
      <c r="P28" s="1225">
        <f>VLOOKUP(A28,BDVACT,'VAC-TCMP'!$A$2+25,FALSE)</f>
        <v>714</v>
      </c>
      <c r="Q28" s="1225">
        <f>VLOOKUP(A28,BDVACT,'VAC-TCMP'!$A$2+27,FALSE)</f>
        <v>0</v>
      </c>
      <c r="R28" s="1225">
        <f>VLOOKUP(A28,BDVACT,'VAC-TCMP'!$A$2+29,FALSE)</f>
        <v>0</v>
      </c>
      <c r="S28" s="1225">
        <f>VLOOKUP(A28,BDVACT,'VAC-TCMP'!$A$2+28,FALSE)</f>
        <v>2722.5</v>
      </c>
      <c r="T28" s="1225">
        <f>VLOOKUP(A28,BDVACT,'VAC-TCMP'!$A$2+26,FALSE)</f>
        <v>7700</v>
      </c>
      <c r="U28" s="1225">
        <f>VLOOKUP(A28,BDVACT,'VAC-TCMP'!$A$2+30,FALSE)</f>
        <v>1089</v>
      </c>
      <c r="V28" s="1225">
        <f>VLOOKUP(A28,BDVACT,'VAC-TCMP'!$A$2+31,FALSE)</f>
        <v>2178</v>
      </c>
      <c r="W28" s="1225">
        <f>(VLOOKUP(A28,BDVACT,'VAC-TCMP'!$A$2+20,FALSE))</f>
        <v>3800</v>
      </c>
      <c r="X28" s="755">
        <f>LOOKUP(A28,'ورقة العمل'!J:J,'ورقة العمل'!O:O)</f>
        <v>0</v>
      </c>
      <c r="Y28" s="756" t="str">
        <f>(VLOOKUP(A28,BDVACT,'VAC-TCMP'!$A$2+13,FALSE))</f>
        <v>الخزينة الولائية</v>
      </c>
      <c r="Z28" s="750" t="str">
        <f t="shared" si="2"/>
        <v>ك</v>
      </c>
      <c r="AB28" s="586"/>
      <c r="AC28" s="586"/>
      <c r="AG28" s="1124" t="str">
        <f t="shared" si="3"/>
        <v/>
      </c>
      <c r="AH28" s="1124" t="str">
        <f t="shared" si="4"/>
        <v/>
      </c>
      <c r="AI28" s="1124" t="str">
        <f t="shared" si="5"/>
        <v/>
      </c>
    </row>
    <row r="29" spans="1:35" ht="91.5" customHeight="1">
      <c r="A29" s="754">
        <f>'VAC-TCMP'!A16</f>
        <v>15</v>
      </c>
      <c r="B29" s="1222">
        <v>3</v>
      </c>
      <c r="C29" s="1223" t="str">
        <f>LOOKUP(A29,'VAC-TCMP'!A:A,'VAC-TCMP'!B:B)</f>
        <v>قثققققثثقققثققثقث</v>
      </c>
      <c r="D29" s="1223">
        <f>LOOKUP(A29,'VAC-TCMP'!A:A,'VAC-TCMP'!L:L)</f>
        <v>885585885</v>
      </c>
      <c r="E29" s="1224" t="str">
        <f>LOOKUP(A29,'VAC-TCMP'!A:A,'VAC-TCMP'!O:O)</f>
        <v>د 1</v>
      </c>
      <c r="F29" s="1224">
        <f>LOOKUP(A29,'VAC-TCMP'!A:A,'VAC-TCMP'!P:P)</f>
        <v>200</v>
      </c>
      <c r="G29" s="1224" t="str">
        <f>LOOKUP(A29,'VAC-TCMP'!A:A,'VAC-TCMP'!Q:Q)</f>
        <v xml:space="preserve">8 X 1,40% </v>
      </c>
      <c r="H29" s="1225">
        <f t="shared" si="0"/>
        <v>14984.59</v>
      </c>
      <c r="I29" s="1225">
        <f>LOOKUP(A29,'ورقة العمل'!J:J,'ورقة العمل'!N:N)</f>
        <v>5000</v>
      </c>
      <c r="J29" s="1225">
        <f t="shared" si="1"/>
        <v>3474.67</v>
      </c>
      <c r="K29" s="1225">
        <f>LOOKUP(A29,'VAC-TCMP'!A:A,'VAC-TCMP'!AJ:AJ)</f>
        <v>2316.39</v>
      </c>
      <c r="L29" s="1226">
        <f>LOOKUP(A29,'VAC-TCMP'!A:A,'VAC-TCMP'!AL:AL)</f>
        <v>762</v>
      </c>
      <c r="M29" s="1226">
        <f>LOOKUP(A29,'VAC-TCMP'!A:A,'VAC-TCMP'!AM:AM)</f>
        <v>0</v>
      </c>
      <c r="N29" s="1225">
        <f>LOOKUP(A29,'VAC-TCMP'!A:A,'VAC-TCMP'!AH:AH)</f>
        <v>26537.65</v>
      </c>
      <c r="O29" s="1225">
        <f>LOOKUP(A29,'VAC-TCMP'!A:A,'VAC-TCMP'!AG:AG)</f>
        <v>10008</v>
      </c>
      <c r="P29" s="1225">
        <f>VLOOKUP(A29,BDVACT,'VAC-TCMP'!$A$2+25,FALSE)</f>
        <v>714</v>
      </c>
      <c r="Q29" s="1225">
        <f>VLOOKUP(A29,BDVACT,'VAC-TCMP'!$A$2+27,FALSE)</f>
        <v>0</v>
      </c>
      <c r="R29" s="1225">
        <f>VLOOKUP(A29,BDVACT,'VAC-TCMP'!$A$2+29,FALSE)</f>
        <v>0</v>
      </c>
      <c r="S29" s="1225">
        <f>VLOOKUP(A29,BDVACT,'VAC-TCMP'!$A$2+28,FALSE)</f>
        <v>2502</v>
      </c>
      <c r="T29" s="1225">
        <f>VLOOKUP(A29,BDVACT,'VAC-TCMP'!$A$2+26,FALSE)</f>
        <v>7700</v>
      </c>
      <c r="U29" s="1225">
        <f>VLOOKUP(A29,BDVACT,'VAC-TCMP'!$A$2+30,FALSE)</f>
        <v>1000.8</v>
      </c>
      <c r="V29" s="1225">
        <f>VLOOKUP(A29,BDVACT,'VAC-TCMP'!$A$2+31,FALSE)</f>
        <v>2001.6</v>
      </c>
      <c r="W29" s="1225">
        <f>(VLOOKUP(A29,BDVACT,'VAC-TCMP'!$A$2+20,FALSE))</f>
        <v>2611.25</v>
      </c>
      <c r="X29" s="755">
        <f>LOOKUP(A29,'ورقة العمل'!J:J,'ورقة العمل'!O:O)</f>
        <v>5</v>
      </c>
      <c r="Y29" s="756" t="str">
        <f>(VLOOKUP(A29,BDVACT,'VAC-TCMP'!$A$2+13,FALSE))</f>
        <v>الحساب الجاري البريدي</v>
      </c>
      <c r="Z29" s="750" t="str">
        <f t="shared" si="2"/>
        <v>ك</v>
      </c>
      <c r="AB29" s="586"/>
      <c r="AC29" s="586"/>
      <c r="AG29" s="1124" t="str">
        <f t="shared" si="3"/>
        <v/>
      </c>
      <c r="AH29" s="1124" t="str">
        <f t="shared" si="4"/>
        <v/>
      </c>
      <c r="AI29" s="1124" t="str">
        <f t="shared" si="5"/>
        <v/>
      </c>
    </row>
    <row r="30" spans="1:35" ht="91.5" customHeight="1">
      <c r="A30" s="754">
        <f>'VAC-TCMP'!A17</f>
        <v>16</v>
      </c>
      <c r="B30" s="1222">
        <v>4</v>
      </c>
      <c r="C30" s="1223" t="str">
        <f>LOOKUP(A30,'VAC-TCMP'!A:A,'VAC-TCMP'!B:B)</f>
        <v>لبلبيليبلبيلبيلبي</v>
      </c>
      <c r="D30" s="1223">
        <f>LOOKUP(A30,'VAC-TCMP'!A:A,'VAC-TCMP'!L:L)</f>
        <v>575757575</v>
      </c>
      <c r="E30" s="1224" t="str">
        <f>LOOKUP(A30,'VAC-TCMP'!A:A,'VAC-TCMP'!O:O)</f>
        <v>د 1</v>
      </c>
      <c r="F30" s="1224">
        <f>LOOKUP(A30,'VAC-TCMP'!A:A,'VAC-TCMP'!P:P)</f>
        <v>200</v>
      </c>
      <c r="G30" s="1224" t="str">
        <f>LOOKUP(A30,'VAC-TCMP'!A:A,'VAC-TCMP'!Q:Q)</f>
        <v xml:space="preserve">7 X 1,40% </v>
      </c>
      <c r="H30" s="1225">
        <f t="shared" si="0"/>
        <v>16012.8</v>
      </c>
      <c r="I30" s="1225">
        <f>LOOKUP(A30,'ورقة العمل'!J:J,'ورقة العمل'!N:N)</f>
        <v>5000</v>
      </c>
      <c r="J30" s="1225">
        <f t="shared" si="1"/>
        <v>0</v>
      </c>
      <c r="K30" s="1225">
        <f>LOOKUP(A30,'VAC-TCMP'!A:A,'VAC-TCMP'!AJ:AJ)</f>
        <v>2135.8000000000002</v>
      </c>
      <c r="L30" s="1226">
        <f>LOOKUP(A30,'VAC-TCMP'!A:A,'VAC-TCMP'!AL:AL)</f>
        <v>588</v>
      </c>
      <c r="M30" s="1226">
        <f>LOOKUP(A30,'VAC-TCMP'!A:A,'VAC-TCMP'!AM:AM)</f>
        <v>0</v>
      </c>
      <c r="N30" s="1225">
        <f>LOOKUP(A30,'VAC-TCMP'!A:A,'VAC-TCMP'!AH:AH)</f>
        <v>23736.6</v>
      </c>
      <c r="O30" s="1225">
        <f>LOOKUP(A30,'VAC-TCMP'!A:A,'VAC-TCMP'!AG:AG)</f>
        <v>9882</v>
      </c>
      <c r="P30" s="1225">
        <f>VLOOKUP(A30,BDVACT,'VAC-TCMP'!$A$2+25,FALSE)</f>
        <v>714</v>
      </c>
      <c r="Q30" s="1225">
        <f>VLOOKUP(A30,BDVACT,'VAC-TCMP'!$A$2+27,FALSE)</f>
        <v>0</v>
      </c>
      <c r="R30" s="1225">
        <f>VLOOKUP(A30,BDVACT,'VAC-TCMP'!$A$2+29,FALSE)</f>
        <v>0</v>
      </c>
      <c r="S30" s="1225">
        <f>VLOOKUP(A30,BDVACT,'VAC-TCMP'!$A$2+28,FALSE)</f>
        <v>2470.5</v>
      </c>
      <c r="T30" s="1225">
        <f>VLOOKUP(A30,BDVACT,'VAC-TCMP'!$A$2+26,FALSE)</f>
        <v>7700</v>
      </c>
      <c r="U30" s="1225">
        <f>VLOOKUP(A30,BDVACT,'VAC-TCMP'!$A$2+30,FALSE)</f>
        <v>988.2</v>
      </c>
      <c r="V30" s="1225">
        <f>VLOOKUP(A30,BDVACT,'VAC-TCMP'!$A$2+31,FALSE)</f>
        <v>1976.4</v>
      </c>
      <c r="W30" s="1225">
        <f>(VLOOKUP(A30,BDVACT,'VAC-TCMP'!$A$2+20,FALSE))</f>
        <v>5.5</v>
      </c>
      <c r="X30" s="755">
        <f>LOOKUP(A30,'ورقة العمل'!J:J,'ورقة العمل'!O:O)</f>
        <v>0</v>
      </c>
      <c r="Y30" s="756" t="str">
        <f>(VLOOKUP(A30,BDVACT,'VAC-TCMP'!$A$2+13,FALSE))</f>
        <v>الحساب الجاري البريدي</v>
      </c>
      <c r="Z30" s="750" t="str">
        <f t="shared" si="2"/>
        <v>ك</v>
      </c>
      <c r="AB30" s="586"/>
      <c r="AC30" s="586"/>
      <c r="AG30" s="1124" t="str">
        <f t="shared" si="3"/>
        <v/>
      </c>
      <c r="AH30" s="1124" t="str">
        <f t="shared" si="4"/>
        <v/>
      </c>
      <c r="AI30" s="1124" t="str">
        <f t="shared" si="5"/>
        <v/>
      </c>
    </row>
    <row r="31" spans="1:35" ht="91.5" customHeight="1">
      <c r="A31" s="754">
        <f>'VAC-TCMP'!A18</f>
        <v>17</v>
      </c>
      <c r="B31" s="1222">
        <v>5</v>
      </c>
      <c r="C31" s="1223" t="str">
        <f>LOOKUP(A31,'VAC-TCMP'!A:A,'VAC-TCMP'!B:B)</f>
        <v>ؤوةلاىرؤزولاى</v>
      </c>
      <c r="D31" s="1223">
        <f>LOOKUP(A31,'VAC-TCMP'!A:A,'VAC-TCMP'!L:L)</f>
        <v>447747</v>
      </c>
      <c r="E31" s="1224" t="str">
        <f>LOOKUP(A31,'VAC-TCMP'!A:A,'VAC-TCMP'!O:O)</f>
        <v>د 1</v>
      </c>
      <c r="F31" s="1224">
        <f>LOOKUP(A31,'VAC-TCMP'!A:A,'VAC-TCMP'!P:P)</f>
        <v>200</v>
      </c>
      <c r="G31" s="1224" t="str">
        <f>LOOKUP(A31,'VAC-TCMP'!A:A,'VAC-TCMP'!Q:Q)</f>
        <v xml:space="preserve">6 X 1,40% </v>
      </c>
      <c r="H31" s="1225">
        <f t="shared" si="0"/>
        <v>21893.58</v>
      </c>
      <c r="I31" s="1225">
        <f>LOOKUP(A31,'ورقة العمل'!J:J,'ورقة العمل'!N:N)</f>
        <v>0</v>
      </c>
      <c r="J31" s="1225">
        <f t="shared" si="1"/>
        <v>0</v>
      </c>
      <c r="K31" s="1225">
        <f>LOOKUP(A31,'VAC-TCMP'!A:A,'VAC-TCMP'!AJ:AJ)</f>
        <v>2145.2199999999998</v>
      </c>
      <c r="L31" s="1226">
        <f>LOOKUP(A31,'VAC-TCMP'!A:A,'VAC-TCMP'!AL:AL)</f>
        <v>597</v>
      </c>
      <c r="M31" s="1226">
        <f>LOOKUP(A31,'VAC-TCMP'!A:A,'VAC-TCMP'!AM:AM)</f>
        <v>0</v>
      </c>
      <c r="N31" s="1225">
        <f>LOOKUP(A31,'VAC-TCMP'!A:A,'VAC-TCMP'!AH:AH)</f>
        <v>24635.8</v>
      </c>
      <c r="O31" s="1225">
        <f>LOOKUP(A31,'VAC-TCMP'!A:A,'VAC-TCMP'!AG:AG)</f>
        <v>9756</v>
      </c>
      <c r="P31" s="1225">
        <f>VLOOKUP(A31,BDVACT,'VAC-TCMP'!$A$2+25,FALSE)</f>
        <v>714</v>
      </c>
      <c r="Q31" s="1225">
        <f>VLOOKUP(A31,BDVACT,'VAC-TCMP'!$A$2+27,FALSE)</f>
        <v>0</v>
      </c>
      <c r="R31" s="1225">
        <f>VLOOKUP(A31,BDVACT,'VAC-TCMP'!$A$2+29,FALSE)</f>
        <v>0</v>
      </c>
      <c r="S31" s="1225">
        <f>VLOOKUP(A31,BDVACT,'VAC-TCMP'!$A$2+28,FALSE)</f>
        <v>2439</v>
      </c>
      <c r="T31" s="1225">
        <f>VLOOKUP(A31,BDVACT,'VAC-TCMP'!$A$2+26,FALSE)</f>
        <v>7700</v>
      </c>
      <c r="U31" s="1225">
        <f>VLOOKUP(A31,BDVACT,'VAC-TCMP'!$A$2+30,FALSE)</f>
        <v>975.6</v>
      </c>
      <c r="V31" s="1225">
        <f>VLOOKUP(A31,BDVACT,'VAC-TCMP'!$A$2+31,FALSE)</f>
        <v>1951.2</v>
      </c>
      <c r="W31" s="1225">
        <f>(VLOOKUP(A31,BDVACT,'VAC-TCMP'!$A$2+20,FALSE))</f>
        <v>1100</v>
      </c>
      <c r="X31" s="755">
        <f>LOOKUP(A31,'ورقة العمل'!J:J,'ورقة العمل'!O:O)</f>
        <v>0</v>
      </c>
      <c r="Y31" s="756" t="str">
        <f>(VLOOKUP(A31,BDVACT,'VAC-TCMP'!$A$2+13,FALSE))</f>
        <v>الحساب الجاري البريدي</v>
      </c>
      <c r="Z31" s="750" t="str">
        <f t="shared" si="2"/>
        <v>ك</v>
      </c>
      <c r="AB31" s="586"/>
      <c r="AC31" s="586"/>
      <c r="AG31" s="1124" t="str">
        <f t="shared" si="3"/>
        <v/>
      </c>
      <c r="AH31" s="1124" t="str">
        <f t="shared" si="4"/>
        <v/>
      </c>
      <c r="AI31" s="1124" t="str">
        <f t="shared" si="5"/>
        <v/>
      </c>
    </row>
    <row r="32" spans="1:35" ht="91.5" customHeight="1">
      <c r="A32" s="754">
        <f>'VAC-TCMP'!A19</f>
        <v>18</v>
      </c>
      <c r="B32" s="1222">
        <v>6</v>
      </c>
      <c r="C32" s="1223" t="str">
        <f>LOOKUP(A32,'VAC-TCMP'!A:A,'VAC-TCMP'!B:B)</f>
        <v>ةوزرؤىلاوةزىؤرء</v>
      </c>
      <c r="D32" s="1223">
        <f>LOOKUP(A32,'VAC-TCMP'!A:A,'VAC-TCMP'!L:L)</f>
        <v>4</v>
      </c>
      <c r="E32" s="1224" t="str">
        <f>LOOKUP(A32,'VAC-TCMP'!A:A,'VAC-TCMP'!O:O)</f>
        <v>د 1</v>
      </c>
      <c r="F32" s="1224">
        <f>LOOKUP(A32,'VAC-TCMP'!A:A,'VAC-TCMP'!P:P)</f>
        <v>200</v>
      </c>
      <c r="G32" s="1224" t="str">
        <f>LOOKUP(A32,'VAC-TCMP'!A:A,'VAC-TCMP'!Q:Q)</f>
        <v xml:space="preserve">6 X 1,40% </v>
      </c>
      <c r="H32" s="1225">
        <f t="shared" si="0"/>
        <v>20847.580000000002</v>
      </c>
      <c r="I32" s="1225">
        <f>LOOKUP(A32,'ورقة العمل'!J:J,'ورقة العمل'!N:N)</f>
        <v>0</v>
      </c>
      <c r="J32" s="1225">
        <f t="shared" si="1"/>
        <v>0</v>
      </c>
      <c r="K32" s="1225">
        <f>LOOKUP(A32,'VAC-TCMP'!A:A,'VAC-TCMP'!AJ:AJ)</f>
        <v>2118.2199999999998</v>
      </c>
      <c r="L32" s="1226">
        <f>LOOKUP(A32,'VAC-TCMP'!A:A,'VAC-TCMP'!AL:AL)</f>
        <v>570</v>
      </c>
      <c r="M32" s="1226">
        <f>LOOKUP(A32,'VAC-TCMP'!A:A,'VAC-TCMP'!AM:AM)</f>
        <v>0</v>
      </c>
      <c r="N32" s="1225">
        <f>LOOKUP(A32,'VAC-TCMP'!A:A,'VAC-TCMP'!AH:AH)</f>
        <v>23535.8</v>
      </c>
      <c r="O32" s="1225">
        <f>LOOKUP(A32,'VAC-TCMP'!A:A,'VAC-TCMP'!AG:AG)</f>
        <v>9756</v>
      </c>
      <c r="P32" s="1225">
        <f>VLOOKUP(A32,BDVACT,'VAC-TCMP'!$A$2+25,FALSE)</f>
        <v>714</v>
      </c>
      <c r="Q32" s="1225">
        <f>VLOOKUP(A32,BDVACT,'VAC-TCMP'!$A$2+27,FALSE)</f>
        <v>0</v>
      </c>
      <c r="R32" s="1225">
        <f>VLOOKUP(A32,BDVACT,'VAC-TCMP'!$A$2+29,FALSE)</f>
        <v>0</v>
      </c>
      <c r="S32" s="1225">
        <f>VLOOKUP(A32,BDVACT,'VAC-TCMP'!$A$2+28,FALSE)</f>
        <v>2439</v>
      </c>
      <c r="T32" s="1225">
        <f>VLOOKUP(A32,BDVACT,'VAC-TCMP'!$A$2+26,FALSE)</f>
        <v>7700</v>
      </c>
      <c r="U32" s="1225">
        <f>VLOOKUP(A32,BDVACT,'VAC-TCMP'!$A$2+30,FALSE)</f>
        <v>975.6</v>
      </c>
      <c r="V32" s="1225">
        <f>VLOOKUP(A32,BDVACT,'VAC-TCMP'!$A$2+31,FALSE)</f>
        <v>1951.2</v>
      </c>
      <c r="W32" s="1225">
        <f>(VLOOKUP(A32,BDVACT,'VAC-TCMP'!$A$2+20,FALSE))</f>
        <v>0</v>
      </c>
      <c r="X32" s="755">
        <f>LOOKUP(A32,'ورقة العمل'!J:J,'ورقة العمل'!O:O)</f>
        <v>0</v>
      </c>
      <c r="Y32" s="756" t="str">
        <f>(VLOOKUP(A32,BDVACT,'VAC-TCMP'!$A$2+13,FALSE))</f>
        <v>الحساب الجاري البريدي</v>
      </c>
      <c r="Z32" s="750" t="str">
        <f t="shared" si="2"/>
        <v>ك</v>
      </c>
      <c r="AB32" s="586"/>
      <c r="AC32" s="586"/>
      <c r="AG32" s="1124" t="str">
        <f t="shared" si="3"/>
        <v/>
      </c>
      <c r="AH32" s="1124" t="str">
        <f t="shared" si="4"/>
        <v/>
      </c>
      <c r="AI32" s="1124" t="str">
        <f t="shared" si="5"/>
        <v/>
      </c>
    </row>
    <row r="33" spans="1:48" ht="91.5" customHeight="1">
      <c r="A33" s="754">
        <f>'VAC-TCMP'!A20</f>
        <v>19</v>
      </c>
      <c r="B33" s="1222">
        <v>7</v>
      </c>
      <c r="C33" s="1223" t="str">
        <f>LOOKUP(A33,'VAC-TCMP'!A:A,'VAC-TCMP'!B:B)</f>
        <v>ظوزةلاؤءروةلارؤلا</v>
      </c>
      <c r="D33" s="1223">
        <f>LOOKUP(A33,'VAC-TCMP'!A:A,'VAC-TCMP'!L:L)</f>
        <v>7474</v>
      </c>
      <c r="E33" s="1224" t="str">
        <f>LOOKUP(A33,'VAC-TCMP'!A:A,'VAC-TCMP'!O:O)</f>
        <v>د 1</v>
      </c>
      <c r="F33" s="1224">
        <f>LOOKUP(A33,'VAC-TCMP'!A:A,'VAC-TCMP'!P:P)</f>
        <v>200</v>
      </c>
      <c r="G33" s="1224" t="str">
        <f>LOOKUP(A33,'VAC-TCMP'!A:A,'VAC-TCMP'!Q:Q)</f>
        <v xml:space="preserve">5 X 1,40% </v>
      </c>
      <c r="H33" s="1225">
        <f t="shared" si="0"/>
        <v>14998.25</v>
      </c>
      <c r="I33" s="1225">
        <f>LOOKUP(A33,'ورقة العمل'!J:J,'ورقة العمل'!N:N)</f>
        <v>5000</v>
      </c>
      <c r="J33" s="1225">
        <f t="shared" si="1"/>
        <v>689.6</v>
      </c>
      <c r="K33" s="1225">
        <f>LOOKUP(A33,'VAC-TCMP'!A:A,'VAC-TCMP'!AJ:AJ)</f>
        <v>2100.65</v>
      </c>
      <c r="L33" s="1226">
        <f>LOOKUP(A33,'VAC-TCMP'!A:A,'VAC-TCMP'!AL:AL)</f>
        <v>552</v>
      </c>
      <c r="M33" s="1226">
        <f>LOOKUP(A33,'VAC-TCMP'!A:A,'VAC-TCMP'!AM:AM)</f>
        <v>0</v>
      </c>
      <c r="N33" s="1225">
        <f>LOOKUP(A33,'VAC-TCMP'!A:A,'VAC-TCMP'!AH:AH)</f>
        <v>23340.5</v>
      </c>
      <c r="O33" s="1225">
        <f>LOOKUP(A33,'VAC-TCMP'!A:A,'VAC-TCMP'!AG:AG)</f>
        <v>9630</v>
      </c>
      <c r="P33" s="1225">
        <f>VLOOKUP(A33,BDVACT,'VAC-TCMP'!$A$2+25,FALSE)</f>
        <v>714</v>
      </c>
      <c r="Q33" s="1225">
        <f>VLOOKUP(A33,BDVACT,'VAC-TCMP'!$A$2+27,FALSE)</f>
        <v>0</v>
      </c>
      <c r="R33" s="1225">
        <f>VLOOKUP(A33,BDVACT,'VAC-TCMP'!$A$2+29,FALSE)</f>
        <v>0</v>
      </c>
      <c r="S33" s="1225">
        <f>VLOOKUP(A33,BDVACT,'VAC-TCMP'!$A$2+28,FALSE)</f>
        <v>2407.5</v>
      </c>
      <c r="T33" s="1225">
        <f>VLOOKUP(A33,BDVACT,'VAC-TCMP'!$A$2+26,FALSE)</f>
        <v>7700</v>
      </c>
      <c r="U33" s="1225">
        <f>VLOOKUP(A33,BDVACT,'VAC-TCMP'!$A$2+30,FALSE)</f>
        <v>963</v>
      </c>
      <c r="V33" s="1225">
        <f>VLOOKUP(A33,BDVACT,'VAC-TCMP'!$A$2+31,FALSE)</f>
        <v>1926</v>
      </c>
      <c r="W33" s="1225">
        <f>(VLOOKUP(A33,BDVACT,'VAC-TCMP'!$A$2+20,FALSE))</f>
        <v>0</v>
      </c>
      <c r="X33" s="755">
        <f>LOOKUP(A33,'ورقة العمل'!J:J,'ورقة العمل'!O:O)</f>
        <v>1</v>
      </c>
      <c r="Y33" s="756" t="str">
        <f>(VLOOKUP(A33,BDVACT,'VAC-TCMP'!$A$2+13,FALSE))</f>
        <v>الحساب الجاري البريدي</v>
      </c>
      <c r="Z33" s="750" t="str">
        <f t="shared" si="2"/>
        <v>ك</v>
      </c>
      <c r="AB33" s="586"/>
      <c r="AC33" s="586"/>
      <c r="AG33" s="1124" t="str">
        <f t="shared" si="3"/>
        <v/>
      </c>
      <c r="AH33" s="1124" t="str">
        <f t="shared" si="4"/>
        <v/>
      </c>
      <c r="AI33" s="1124" t="str">
        <f t="shared" si="5"/>
        <v/>
      </c>
    </row>
    <row r="34" spans="1:48" ht="91.5" customHeight="1">
      <c r="A34" s="754">
        <f>'VAC-TCMP'!A21</f>
        <v>20</v>
      </c>
      <c r="B34" s="1222">
        <v>8</v>
      </c>
      <c r="C34" s="1223" t="str">
        <f>LOOKUP(A34,'VAC-TCMP'!A:A,'VAC-TCMP'!B:B)</f>
        <v>ؤرزوءظةلانتكلمسنات</v>
      </c>
      <c r="D34" s="1223">
        <f>LOOKUP(A34,'VAC-TCMP'!A:A,'VAC-TCMP'!L:L)</f>
        <v>7</v>
      </c>
      <c r="E34" s="1224" t="str">
        <f>LOOKUP(A34,'VAC-TCMP'!A:A,'VAC-TCMP'!O:O)</f>
        <v>د 1</v>
      </c>
      <c r="F34" s="1224">
        <f>LOOKUP(A34,'VAC-TCMP'!A:A,'VAC-TCMP'!P:P)</f>
        <v>200</v>
      </c>
      <c r="G34" s="1224" t="str">
        <f>LOOKUP(A34,'VAC-TCMP'!A:A,'VAC-TCMP'!Q:Q)</f>
        <v xml:space="preserve">10 X 1,40% </v>
      </c>
      <c r="H34" s="1225">
        <f t="shared" si="0"/>
        <v>19297.07</v>
      </c>
      <c r="I34" s="1225">
        <f>LOOKUP(A34,'ورقة العمل'!J:J,'ورقة العمل'!N:N)</f>
        <v>5000</v>
      </c>
      <c r="J34" s="1225">
        <f t="shared" si="1"/>
        <v>0</v>
      </c>
      <c r="K34" s="1225">
        <f>LOOKUP(A34,'VAC-TCMP'!A:A,'VAC-TCMP'!AJ:AJ)</f>
        <v>2404.5300000000002</v>
      </c>
      <c r="L34" s="1226">
        <f>LOOKUP(A34,'VAC-TCMP'!A:A,'VAC-TCMP'!AL:AL)</f>
        <v>815.4</v>
      </c>
      <c r="M34" s="1226">
        <f>LOOKUP(A34,'VAC-TCMP'!A:A,'VAC-TCMP'!AM:AM)</f>
        <v>0</v>
      </c>
      <c r="N34" s="1225">
        <f>LOOKUP(A34,'VAC-TCMP'!A:A,'VAC-TCMP'!AH:AH)</f>
        <v>27517</v>
      </c>
      <c r="O34" s="1225">
        <f>LOOKUP(A34,'VAC-TCMP'!A:A,'VAC-TCMP'!AG:AG)</f>
        <v>10260</v>
      </c>
      <c r="P34" s="1225">
        <f>VLOOKUP(A34,BDVACT,'VAC-TCMP'!$A$2+25,FALSE)</f>
        <v>714</v>
      </c>
      <c r="Q34" s="1225">
        <f>VLOOKUP(A34,BDVACT,'VAC-TCMP'!$A$2+27,FALSE)</f>
        <v>0</v>
      </c>
      <c r="R34" s="1225">
        <f>VLOOKUP(A34,BDVACT,'VAC-TCMP'!$A$2+29,FALSE)</f>
        <v>0</v>
      </c>
      <c r="S34" s="1225">
        <f>VLOOKUP(A34,BDVACT,'VAC-TCMP'!$A$2+28,FALSE)</f>
        <v>2565</v>
      </c>
      <c r="T34" s="1225">
        <f>VLOOKUP(A34,BDVACT,'VAC-TCMP'!$A$2+26,FALSE)</f>
        <v>7700</v>
      </c>
      <c r="U34" s="1225">
        <f>VLOOKUP(A34,BDVACT,'VAC-TCMP'!$A$2+30,FALSE)</f>
        <v>1026</v>
      </c>
      <c r="V34" s="1225">
        <f>VLOOKUP(A34,BDVACT,'VAC-TCMP'!$A$2+31,FALSE)</f>
        <v>2052</v>
      </c>
      <c r="W34" s="1225">
        <f>(VLOOKUP(A34,BDVACT,'VAC-TCMP'!$A$2+20,FALSE))</f>
        <v>3200</v>
      </c>
      <c r="X34" s="755">
        <f>LOOKUP(A34,'ورقة العمل'!J:J,'ورقة العمل'!O:O)</f>
        <v>0</v>
      </c>
      <c r="Y34" s="756" t="str">
        <f>(VLOOKUP(A34,BDVACT,'VAC-TCMP'!$A$2+13,FALSE))</f>
        <v>الحساب الجاري البريدي</v>
      </c>
      <c r="Z34" s="750" t="str">
        <f t="shared" si="2"/>
        <v>ك</v>
      </c>
      <c r="AB34" s="586"/>
      <c r="AC34" s="586"/>
      <c r="AG34" s="1124" t="str">
        <f t="shared" si="3"/>
        <v/>
      </c>
      <c r="AH34" s="1124" t="str">
        <f t="shared" si="4"/>
        <v/>
      </c>
      <c r="AI34" s="1124" t="str">
        <f t="shared" si="5"/>
        <v/>
      </c>
    </row>
    <row r="35" spans="1:48" ht="91.5" customHeight="1">
      <c r="A35" s="754">
        <f>'VAC-TCMP'!A22</f>
        <v>21</v>
      </c>
      <c r="B35" s="1222">
        <v>4</v>
      </c>
      <c r="C35" s="1223" t="str">
        <f>LOOKUP(A35,'VAC-TCMP'!A:A,'VAC-TCMP'!B:B)</f>
        <v>منؤرءىلارؤ نمؤلارنلا</v>
      </c>
      <c r="D35" s="1223">
        <f>LOOKUP(A35,'VAC-TCMP'!A:A,'VAC-TCMP'!L:L)</f>
        <v>77</v>
      </c>
      <c r="E35" s="1224" t="str">
        <f>LOOKUP(A35,'VAC-TCMP'!A:A,'VAC-TCMP'!O:O)</f>
        <v>د 1</v>
      </c>
      <c r="F35" s="1224">
        <f>LOOKUP(A35,'VAC-TCMP'!A:A,'VAC-TCMP'!P:P)</f>
        <v>200</v>
      </c>
      <c r="G35" s="1224" t="str">
        <f>LOOKUP(A35,'VAC-TCMP'!A:A,'VAC-TCMP'!Q:Q)</f>
        <v xml:space="preserve">16 X 1,40% </v>
      </c>
      <c r="H35" s="1225">
        <f t="shared" si="0"/>
        <v>19291.88</v>
      </c>
      <c r="I35" s="1225">
        <f>LOOKUP(A35,'ورقة العمل'!J:J,'ورقة العمل'!N:N)</f>
        <v>5000</v>
      </c>
      <c r="J35" s="1225">
        <f t="shared" si="1"/>
        <v>0</v>
      </c>
      <c r="K35" s="1225">
        <f>LOOKUP(A35,'VAC-TCMP'!A:A,'VAC-TCMP'!AJ:AJ)</f>
        <v>2404.02</v>
      </c>
      <c r="L35" s="1226">
        <f>LOOKUP(A35,'VAC-TCMP'!A:A,'VAC-TCMP'!AL:AL)</f>
        <v>815.4</v>
      </c>
      <c r="M35" s="1226">
        <f>LOOKUP(A35,'VAC-TCMP'!A:A,'VAC-TCMP'!AM:AM)</f>
        <v>0</v>
      </c>
      <c r="N35" s="1225">
        <f>LOOKUP(A35,'VAC-TCMP'!A:A,'VAC-TCMP'!AH:AH)</f>
        <v>27511.3</v>
      </c>
      <c r="O35" s="1225">
        <f>LOOKUP(A35,'VAC-TCMP'!A:A,'VAC-TCMP'!AG:AG)</f>
        <v>11016</v>
      </c>
      <c r="P35" s="1225">
        <f>VLOOKUP(A35,BDVACT,'VAC-TCMP'!$A$2+25,FALSE)</f>
        <v>714</v>
      </c>
      <c r="Q35" s="1225">
        <f>VLOOKUP(A35,BDVACT,'VAC-TCMP'!$A$2+27,FALSE)</f>
        <v>0</v>
      </c>
      <c r="R35" s="1225">
        <f>VLOOKUP(A35,BDVACT,'VAC-TCMP'!$A$2+29,FALSE)</f>
        <v>0</v>
      </c>
      <c r="S35" s="1225">
        <f>VLOOKUP(A35,BDVACT,'VAC-TCMP'!$A$2+28,FALSE)</f>
        <v>2754</v>
      </c>
      <c r="T35" s="1225">
        <f>VLOOKUP(A35,BDVACT,'VAC-TCMP'!$A$2+26,FALSE)</f>
        <v>7700</v>
      </c>
      <c r="U35" s="1225">
        <f>VLOOKUP(A35,BDVACT,'VAC-TCMP'!$A$2+30,FALSE)</f>
        <v>1101.5999999999999</v>
      </c>
      <c r="V35" s="1225">
        <f>VLOOKUP(A35,BDVACT,'VAC-TCMP'!$A$2+31,FALSE)</f>
        <v>2203.1999999999998</v>
      </c>
      <c r="W35" s="1225">
        <f>(VLOOKUP(A35,BDVACT,'VAC-TCMP'!$A$2+20,FALSE))</f>
        <v>2022.5</v>
      </c>
      <c r="X35" s="755">
        <f>LOOKUP(A35,'ورقة العمل'!J:J,'ورقة العمل'!O:O)</f>
        <v>0</v>
      </c>
      <c r="Y35" s="756" t="str">
        <f>(VLOOKUP(A35,BDVACT,'VAC-TCMP'!$A$2+13,FALSE))</f>
        <v>الخزينة الولائية</v>
      </c>
      <c r="Z35" s="750" t="str">
        <f t="shared" si="2"/>
        <v>ك</v>
      </c>
      <c r="AB35" s="586"/>
      <c r="AC35" s="586"/>
      <c r="AG35" s="1124" t="str">
        <f t="shared" si="3"/>
        <v/>
      </c>
      <c r="AH35" s="1124" t="str">
        <f t="shared" si="4"/>
        <v/>
      </c>
      <c r="AI35" s="1124" t="str">
        <f t="shared" si="5"/>
        <v/>
      </c>
    </row>
    <row r="36" spans="1:48" ht="91.5" customHeight="1">
      <c r="A36" s="754">
        <f>'VAC-TCMP'!A23</f>
        <v>22</v>
      </c>
      <c r="B36" s="1222">
        <v>9</v>
      </c>
      <c r="C36" s="1223" t="str">
        <f>LOOKUP(A36,'VAC-TCMP'!A:A,'VAC-TCMP'!B:B)</f>
        <v>ةوىلاؤةرءلاىزوؤةىروةى</v>
      </c>
      <c r="D36" s="1223">
        <f>LOOKUP(A36,'VAC-TCMP'!A:A,'VAC-TCMP'!L:L)</f>
        <v>43454</v>
      </c>
      <c r="E36" s="1224" t="str">
        <f>LOOKUP(A36,'VAC-TCMP'!A:A,'VAC-TCMP'!O:O)</f>
        <v>د 1</v>
      </c>
      <c r="F36" s="1224">
        <f>LOOKUP(A36,'VAC-TCMP'!A:A,'VAC-TCMP'!P:P)</f>
        <v>200</v>
      </c>
      <c r="G36" s="1224" t="str">
        <f>LOOKUP(A36,'VAC-TCMP'!A:A,'VAC-TCMP'!Q:Q)</f>
        <v/>
      </c>
      <c r="H36" s="1225">
        <f t="shared" si="0"/>
        <v>21197.71</v>
      </c>
      <c r="I36" s="1225">
        <f>LOOKUP(A36,'ورقة العمل'!J:J,'ورقة العمل'!N:N)</f>
        <v>0</v>
      </c>
      <c r="J36" s="1225">
        <f t="shared" si="1"/>
        <v>0</v>
      </c>
      <c r="K36" s="1225">
        <f>LOOKUP(A36,'VAC-TCMP'!A:A,'VAC-TCMP'!AJ:AJ)</f>
        <v>2068.79</v>
      </c>
      <c r="L36" s="1226">
        <f>LOOKUP(A36,'VAC-TCMP'!A:A,'VAC-TCMP'!AL:AL)</f>
        <v>520</v>
      </c>
      <c r="M36" s="1226">
        <f>LOOKUP(A36,'VAC-TCMP'!A:A,'VAC-TCMP'!AM:AM)</f>
        <v>0</v>
      </c>
      <c r="N36" s="1225">
        <f>LOOKUP(A36,'VAC-TCMP'!A:A,'VAC-TCMP'!AH:AH)</f>
        <v>23786.5</v>
      </c>
      <c r="O36" s="1225">
        <f>LOOKUP(A36,'VAC-TCMP'!A:A,'VAC-TCMP'!AG:AG)</f>
        <v>9000</v>
      </c>
      <c r="P36" s="1225">
        <f>VLOOKUP(A36,BDVACT,'VAC-TCMP'!$A$2+25,FALSE)</f>
        <v>714</v>
      </c>
      <c r="Q36" s="1225">
        <f>VLOOKUP(A36,BDVACT,'VAC-TCMP'!$A$2+27,FALSE)</f>
        <v>0</v>
      </c>
      <c r="R36" s="1225">
        <f>VLOOKUP(A36,BDVACT,'VAC-TCMP'!$A$2+29,FALSE)</f>
        <v>0</v>
      </c>
      <c r="S36" s="1225">
        <f>VLOOKUP(A36,BDVACT,'VAC-TCMP'!$A$2+28,FALSE)</f>
        <v>2250</v>
      </c>
      <c r="T36" s="1225">
        <f>VLOOKUP(A36,BDVACT,'VAC-TCMP'!$A$2+26,FALSE)</f>
        <v>7700</v>
      </c>
      <c r="U36" s="1225">
        <f>VLOOKUP(A36,BDVACT,'VAC-TCMP'!$A$2+30,FALSE)</f>
        <v>900</v>
      </c>
      <c r="V36" s="1225">
        <f>VLOOKUP(A36,BDVACT,'VAC-TCMP'!$A$2+31,FALSE)</f>
        <v>1800</v>
      </c>
      <c r="W36" s="1225">
        <f>(VLOOKUP(A36,BDVACT,'VAC-TCMP'!$A$2+20,FALSE))</f>
        <v>1422.5</v>
      </c>
      <c r="X36" s="755">
        <f>LOOKUP(A36,'ورقة العمل'!J:J,'ورقة العمل'!O:O)</f>
        <v>0</v>
      </c>
      <c r="Y36" s="756" t="str">
        <f>(VLOOKUP(A36,BDVACT,'VAC-TCMP'!$A$2+13,FALSE))</f>
        <v>الحساب الجاري البريدي</v>
      </c>
      <c r="Z36" s="750" t="str">
        <f t="shared" si="2"/>
        <v>ك</v>
      </c>
      <c r="AB36" s="586"/>
      <c r="AC36" s="586"/>
      <c r="AG36" s="1124" t="str">
        <f t="shared" si="3"/>
        <v/>
      </c>
      <c r="AH36" s="1124" t="str">
        <f t="shared" si="4"/>
        <v/>
      </c>
      <c r="AI36" s="1124" t="str">
        <f t="shared" si="5"/>
        <v/>
      </c>
    </row>
    <row r="37" spans="1:48" s="1230" customFormat="1" ht="91.5" customHeight="1" thickBot="1">
      <c r="A37" s="1227"/>
      <c r="B37" s="1222"/>
      <c r="C37" s="1223"/>
      <c r="D37" s="1223"/>
      <c r="E37" s="1224"/>
      <c r="F37" s="1224"/>
      <c r="G37" s="1224"/>
      <c r="H37" s="1225"/>
      <c r="I37" s="1225"/>
      <c r="J37" s="1225"/>
      <c r="K37" s="1225"/>
      <c r="L37" s="1226"/>
      <c r="M37" s="1226"/>
      <c r="N37" s="1225"/>
      <c r="O37" s="1225"/>
      <c r="P37" s="1225"/>
      <c r="Q37" s="1225"/>
      <c r="R37" s="1225"/>
      <c r="S37" s="1225"/>
      <c r="T37" s="1225"/>
      <c r="U37" s="1225"/>
      <c r="V37" s="1225"/>
      <c r="W37" s="1225"/>
      <c r="X37" s="1225"/>
      <c r="Y37" s="1228"/>
      <c r="Z37" s="1229"/>
      <c r="AD37" s="1231"/>
      <c r="AE37" s="1231"/>
      <c r="AF37" s="1231"/>
      <c r="AG37" s="1232"/>
      <c r="AH37" s="1232"/>
      <c r="AI37" s="1232"/>
      <c r="AJ37" s="1231"/>
    </row>
    <row r="38" spans="1:48" s="1238" customFormat="1" ht="132" customHeight="1" thickBot="1">
      <c r="A38" s="1233"/>
      <c r="B38" s="1725" t="s">
        <v>32</v>
      </c>
      <c r="C38" s="1726"/>
      <c r="D38" s="1726"/>
      <c r="E38" s="1726"/>
      <c r="F38" s="1726"/>
      <c r="G38" s="1727"/>
      <c r="H38" s="1234">
        <f>SUMIF(Y15:Y37,Y38,H15:H37)</f>
        <v>151442.09</v>
      </c>
      <c r="I38" s="1234">
        <f>SUMIF(Y15:Y37,Y38,I15:I37)</f>
        <v>15000</v>
      </c>
      <c r="J38" s="1235">
        <f>SUMIF(Y15:Y37,Y38,J15:J37)</f>
        <v>4627.18</v>
      </c>
      <c r="K38" s="1234">
        <f>SUMIF(Y15:Y37,Y38,K15:K37)</f>
        <v>17159.990000000002</v>
      </c>
      <c r="L38" s="1234">
        <f>SUMIF(Y15:Y37,Y38,L15:L37)</f>
        <v>5930.8</v>
      </c>
      <c r="M38" s="1235">
        <f>SUMIF(Y15:Y37,Y38,M15:M37)</f>
        <v>506.52</v>
      </c>
      <c r="N38" s="1235">
        <f>SUMIF(Y15:Y37,Y38,N15:N37)</f>
        <v>194666.58</v>
      </c>
      <c r="O38" s="1235">
        <f>SUMIF(Y15:Y37,Y38,O15:O37)</f>
        <v>80549.19</v>
      </c>
      <c r="P38" s="1235">
        <f>SUMIF(Y15:Y37,Y38,P15:P37)</f>
        <v>5117</v>
      </c>
      <c r="Q38" s="1235">
        <f>SUMIF(Y15:Y37,Y38,Q15:Q37)</f>
        <v>0</v>
      </c>
      <c r="R38" s="1235">
        <f>SUMIF(Y15:Y37,Y38,R15:R37)</f>
        <v>4147.2</v>
      </c>
      <c r="S38" s="1235">
        <f>SUMIF(Y15:Y37,Y38,S15:S37)</f>
        <v>15736.5</v>
      </c>
      <c r="T38" s="1235">
        <f>SUMIF(Y15:Y37,Y38,T15:T37)</f>
        <v>51900</v>
      </c>
      <c r="U38" s="1235">
        <f>SUMIF(Y15:Y37,Y38,U15:U37)</f>
        <v>7953.48</v>
      </c>
      <c r="V38" s="1235">
        <f>SUMIF(Y15:Y37,Y38,V15:V37)</f>
        <v>15906.96</v>
      </c>
      <c r="W38" s="1235">
        <f>SUMIF(Y15:Y37,Y38,W15:W37)</f>
        <v>13356.25</v>
      </c>
      <c r="X38" s="1235"/>
      <c r="Y38" s="1236" t="s">
        <v>561</v>
      </c>
      <c r="Z38" s="1237">
        <f>AD1</f>
        <v>0</v>
      </c>
      <c r="AD38" s="1239"/>
      <c r="AE38" s="1240"/>
      <c r="AF38" s="1239"/>
      <c r="AG38" s="1241"/>
      <c r="AH38" s="1239"/>
      <c r="AI38" s="1241"/>
      <c r="AJ38" s="1239"/>
      <c r="AK38" s="1242"/>
      <c r="AM38" s="1242"/>
      <c r="AO38" s="1242"/>
      <c r="AQ38" s="1242"/>
      <c r="AU38" s="1243"/>
      <c r="AV38" s="1243"/>
    </row>
    <row r="39" spans="1:48" s="708" customFormat="1" ht="88.5" customHeight="1">
      <c r="A39" s="704"/>
      <c r="B39" s="720"/>
      <c r="C39" s="1256" t="s">
        <v>574</v>
      </c>
      <c r="D39" s="1257">
        <f>N38</f>
        <v>194666.58</v>
      </c>
      <c r="E39" s="769" t="s">
        <v>575</v>
      </c>
      <c r="F39" s="720"/>
      <c r="G39" s="770" t="str">
        <f>[1]!Arreta(E43)</f>
        <v>مائتين وتسعة وثلاثون ألف وتسعمائة وأربعة وتسعون دينار جزائري وستة عشر سنتيما</v>
      </c>
      <c r="H39" s="722"/>
      <c r="I39" s="722"/>
      <c r="J39" s="720"/>
      <c r="K39" s="722"/>
      <c r="L39" s="722"/>
      <c r="M39" s="721"/>
      <c r="N39" s="722"/>
      <c r="O39" s="720"/>
      <c r="P39" s="720"/>
      <c r="Q39" s="720"/>
      <c r="R39" s="720"/>
      <c r="S39" s="720"/>
      <c r="T39" s="720"/>
      <c r="U39" s="720"/>
      <c r="V39" s="720"/>
      <c r="W39" s="720"/>
      <c r="X39" s="706"/>
      <c r="Y39" s="813" t="s">
        <v>561</v>
      </c>
      <c r="AD39" s="709"/>
      <c r="AE39" s="771"/>
      <c r="AF39" s="709"/>
      <c r="AG39" s="707"/>
      <c r="AH39" s="709"/>
      <c r="AI39" s="707"/>
      <c r="AJ39" s="709"/>
      <c r="AK39" s="710"/>
      <c r="AM39" s="710"/>
      <c r="AO39" s="710"/>
      <c r="AQ39" s="710"/>
      <c r="AU39" s="772"/>
      <c r="AV39" s="772"/>
    </row>
    <row r="40" spans="1:48" s="708" customFormat="1" ht="67.5" customHeight="1">
      <c r="A40" s="704"/>
      <c r="B40" s="720"/>
      <c r="C40" s="1728" t="s">
        <v>713</v>
      </c>
      <c r="D40" s="1728"/>
      <c r="E40" s="1729">
        <f>ROUND((N38-W38)*23.75%,2)</f>
        <v>43061.2</v>
      </c>
      <c r="F40" s="1729"/>
      <c r="G40" s="1258"/>
      <c r="H40" s="722"/>
      <c r="I40" s="722"/>
      <c r="J40" s="720"/>
      <c r="K40" s="722"/>
      <c r="L40" s="722"/>
      <c r="M40" s="721"/>
      <c r="N40" s="722"/>
      <c r="O40" s="720"/>
      <c r="P40" s="720"/>
      <c r="Q40" s="720"/>
      <c r="R40" s="720"/>
      <c r="S40" s="720"/>
      <c r="T40" s="720"/>
      <c r="U40" s="720"/>
      <c r="V40" s="720"/>
      <c r="W40" s="720"/>
      <c r="X40" s="706"/>
      <c r="Y40" s="813" t="s">
        <v>561</v>
      </c>
      <c r="AD40" s="709"/>
      <c r="AE40" s="771"/>
      <c r="AF40" s="709"/>
      <c r="AG40" s="707"/>
      <c r="AH40" s="709"/>
      <c r="AI40" s="707"/>
      <c r="AJ40" s="709"/>
      <c r="AK40" s="710"/>
      <c r="AM40" s="710"/>
      <c r="AO40" s="710"/>
      <c r="AQ40" s="710"/>
      <c r="AU40" s="772"/>
      <c r="AV40" s="772"/>
    </row>
    <row r="41" spans="1:48" s="708" customFormat="1" ht="67.5" customHeight="1">
      <c r="A41" s="704"/>
      <c r="B41" s="720"/>
      <c r="C41" s="1728" t="s">
        <v>714</v>
      </c>
      <c r="D41" s="1728"/>
      <c r="E41" s="1730">
        <f>ROUND((N38-W38)*1%,2)</f>
        <v>1813.1</v>
      </c>
      <c r="F41" s="1730"/>
      <c r="G41" s="1258"/>
      <c r="H41" s="722"/>
      <c r="I41" s="722"/>
      <c r="J41" s="720"/>
      <c r="K41" s="722"/>
      <c r="L41" s="722"/>
      <c r="M41" s="721"/>
      <c r="N41" s="722"/>
      <c r="O41" s="720"/>
      <c r="P41" s="720"/>
      <c r="Q41" s="720"/>
      <c r="R41" s="720"/>
      <c r="S41" s="720"/>
      <c r="T41" s="720"/>
      <c r="U41" s="720"/>
      <c r="V41" s="720"/>
      <c r="W41" s="720"/>
      <c r="X41" s="706"/>
      <c r="Y41" s="813" t="s">
        <v>561</v>
      </c>
      <c r="AD41" s="709"/>
      <c r="AE41" s="771"/>
      <c r="AF41" s="709"/>
      <c r="AG41" s="707"/>
      <c r="AH41" s="709"/>
      <c r="AI41" s="707"/>
      <c r="AJ41" s="709"/>
      <c r="AK41" s="710"/>
      <c r="AM41" s="710"/>
      <c r="AO41" s="710"/>
      <c r="AQ41" s="710"/>
      <c r="AU41" s="772"/>
      <c r="AV41" s="772"/>
    </row>
    <row r="42" spans="1:48" s="708" customFormat="1" ht="67.5" customHeight="1" thickBot="1">
      <c r="A42" s="704"/>
      <c r="B42" s="720"/>
      <c r="C42" s="1728" t="s">
        <v>715</v>
      </c>
      <c r="D42" s="1728"/>
      <c r="E42" s="1731">
        <f>ROUND((N38-W38)*0.25%,2)</f>
        <v>453.28</v>
      </c>
      <c r="F42" s="1731"/>
      <c r="G42" s="1258"/>
      <c r="H42" s="722"/>
      <c r="I42" s="722"/>
      <c r="J42" s="1341">
        <f>الرئيسية!$N$10</f>
        <v>43617</v>
      </c>
      <c r="K42" s="722"/>
      <c r="L42" s="722"/>
      <c r="M42" s="721"/>
      <c r="N42" s="722"/>
      <c r="O42" s="720"/>
      <c r="P42" s="720"/>
      <c r="Q42" s="720"/>
      <c r="R42" s="720"/>
      <c r="S42" s="720"/>
      <c r="T42" s="720"/>
      <c r="U42" s="720"/>
      <c r="V42" s="720"/>
      <c r="W42" s="720"/>
      <c r="X42" s="706"/>
      <c r="Y42" s="813" t="s">
        <v>561</v>
      </c>
      <c r="AD42" s="709"/>
      <c r="AE42" s="771"/>
      <c r="AF42" s="709"/>
      <c r="AG42" s="707"/>
      <c r="AH42" s="709"/>
      <c r="AI42" s="707"/>
      <c r="AJ42" s="709"/>
      <c r="AK42" s="710"/>
      <c r="AM42" s="710"/>
      <c r="AO42" s="710"/>
      <c r="AQ42" s="710"/>
      <c r="AU42" s="772"/>
      <c r="AV42" s="772"/>
    </row>
    <row r="43" spans="1:48" s="708" customFormat="1" ht="88.5">
      <c r="A43" s="704"/>
      <c r="B43" s="719"/>
      <c r="D43" s="774"/>
      <c r="E43" s="1732">
        <f>E40+E41+E42+D39</f>
        <v>239994.16</v>
      </c>
      <c r="F43" s="1732"/>
      <c r="G43" s="1732"/>
      <c r="H43" s="720"/>
      <c r="I43" s="720"/>
      <c r="J43" s="720"/>
      <c r="K43" s="720"/>
      <c r="L43" s="720"/>
      <c r="M43" s="775"/>
      <c r="N43" s="722"/>
      <c r="O43" s="776"/>
      <c r="P43" s="720"/>
      <c r="Q43" s="720"/>
      <c r="R43" s="720"/>
      <c r="S43" s="720"/>
      <c r="T43" s="777"/>
      <c r="U43" s="720"/>
      <c r="V43" s="720"/>
      <c r="W43" s="720"/>
      <c r="X43" s="706"/>
      <c r="Y43" s="813" t="s">
        <v>561</v>
      </c>
      <c r="AD43" s="709"/>
      <c r="AE43" s="709"/>
      <c r="AF43" s="709"/>
      <c r="AG43" s="707"/>
      <c r="AH43" s="709"/>
      <c r="AI43" s="707"/>
      <c r="AJ43" s="709"/>
      <c r="AK43" s="710"/>
      <c r="AM43" s="710"/>
      <c r="AO43" s="710"/>
      <c r="AQ43" s="710"/>
      <c r="AU43" s="772"/>
      <c r="AV43" s="772"/>
    </row>
    <row r="44" spans="1:48" ht="27.75">
      <c r="F44" s="623"/>
      <c r="Y44" s="813"/>
      <c r="AB44" s="586"/>
      <c r="AC44" s="586"/>
    </row>
    <row r="45" spans="1:48" ht="28.5" thickBot="1">
      <c r="Y45" s="813"/>
      <c r="AB45" s="586"/>
      <c r="AC45" s="586"/>
    </row>
    <row r="46" spans="1:48" s="1238" customFormat="1" ht="132" customHeight="1" thickBot="1">
      <c r="A46" s="1233"/>
      <c r="B46" s="1714" t="s">
        <v>32</v>
      </c>
      <c r="C46" s="1715"/>
      <c r="D46" s="1715"/>
      <c r="E46" s="1715"/>
      <c r="F46" s="1715"/>
      <c r="G46" s="1716"/>
      <c r="H46" s="1234">
        <f>SUMIF(Y15:Y37,Y46,H15:H37)</f>
        <v>83164.95</v>
      </c>
      <c r="I46" s="1234">
        <f>SUMIF(Y15:Y37,Y46,I15:I37)</f>
        <v>20000</v>
      </c>
      <c r="J46" s="1235">
        <f>SUMIF(Y15:Y37,Y46,J15:J37)</f>
        <v>860.26</v>
      </c>
      <c r="K46" s="1234">
        <f>SUMIF(Y15:Y37,Y46,K15:K37)</f>
        <v>10336.86</v>
      </c>
      <c r="L46" s="1234">
        <f>SUMIF(Y15:Y37,Y46,L15:L37)</f>
        <v>3691.8</v>
      </c>
      <c r="M46" s="1235">
        <f>SUMIF(Y15:Y37,Y46,M15:M37)</f>
        <v>0</v>
      </c>
      <c r="N46" s="1235">
        <f>SUMIF(Y15:Y37,Y46,N15:N37)</f>
        <v>118053.87</v>
      </c>
      <c r="O46" s="1235">
        <f>SUMIF(Y15:Y37,Y46,O15:O37)</f>
        <v>48289.51</v>
      </c>
      <c r="P46" s="1235">
        <f>SUMIF(Y15:Y37,Y46,P15:P37)</f>
        <v>2975</v>
      </c>
      <c r="Q46" s="1235">
        <f>SUMIF(Y15:Y37,Y46,Q15:Q37)</f>
        <v>0</v>
      </c>
      <c r="R46" s="1235">
        <f>SUMIF(Y15:Y37,Y46,R15:R37)</f>
        <v>3738.96</v>
      </c>
      <c r="S46" s="1235">
        <f>SUMIF(Y15:Y37,Y46,S15:S37)</f>
        <v>8104.5</v>
      </c>
      <c r="T46" s="1235">
        <f>SUMIF(Y15:Y37,Y46,T15:T37)</f>
        <v>28800</v>
      </c>
      <c r="U46" s="1235">
        <f>SUMIF(Y15:Y37,Y46,U15:U37)</f>
        <v>4737.38</v>
      </c>
      <c r="V46" s="1244">
        <f>SUMIF(Y15:Y37,Y46,V15:V37)</f>
        <v>9475</v>
      </c>
      <c r="W46" s="1235">
        <f>SUMIF(Y15:Y37,Y46,W15:W37)</f>
        <v>11933.75</v>
      </c>
      <c r="X46" s="1235"/>
      <c r="Y46" s="1236" t="s">
        <v>550</v>
      </c>
      <c r="Z46" s="1237">
        <f>Z38+1</f>
        <v>1</v>
      </c>
      <c r="AD46" s="1239"/>
      <c r="AE46" s="1240"/>
      <c r="AF46" s="1239"/>
      <c r="AG46" s="1241"/>
      <c r="AH46" s="1239"/>
      <c r="AI46" s="1241"/>
      <c r="AJ46" s="1239"/>
      <c r="AK46" s="1242"/>
      <c r="AM46" s="1242"/>
      <c r="AO46" s="1242"/>
      <c r="AQ46" s="1242"/>
      <c r="AU46" s="1243"/>
      <c r="AV46" s="1243"/>
    </row>
    <row r="47" spans="1:48" s="708" customFormat="1" ht="88.5" customHeight="1">
      <c r="A47" s="704"/>
      <c r="B47" s="720"/>
      <c r="C47" s="767" t="s">
        <v>574</v>
      </c>
      <c r="D47" s="768">
        <f>N46</f>
        <v>118053.87</v>
      </c>
      <c r="E47" s="769" t="s">
        <v>575</v>
      </c>
      <c r="F47" s="720"/>
      <c r="G47" s="770" t="str">
        <f>[1]!Arreta(E51)</f>
        <v>مائة وأربعة وأربعون ألف وخمسمائة وثلاثة وثمانون دينار جزائري وتسعون سنتيما</v>
      </c>
      <c r="H47" s="722"/>
      <c r="I47" s="722"/>
      <c r="J47" s="720"/>
      <c r="K47" s="722"/>
      <c r="L47" s="722"/>
      <c r="M47" s="721"/>
      <c r="N47" s="722"/>
      <c r="O47" s="720"/>
      <c r="P47" s="720"/>
      <c r="Q47" s="720"/>
      <c r="R47" s="720"/>
      <c r="S47" s="720"/>
      <c r="T47" s="720"/>
      <c r="U47" s="720"/>
      <c r="V47" s="720"/>
      <c r="W47" s="720"/>
      <c r="X47" s="706"/>
      <c r="Y47" s="813" t="s">
        <v>550</v>
      </c>
      <c r="AD47" s="709"/>
      <c r="AE47" s="771"/>
      <c r="AF47" s="709"/>
      <c r="AG47" s="707"/>
      <c r="AH47" s="709"/>
      <c r="AI47" s="707"/>
      <c r="AJ47" s="709"/>
      <c r="AK47" s="710"/>
      <c r="AM47" s="710"/>
      <c r="AO47" s="710"/>
      <c r="AQ47" s="710"/>
      <c r="AU47" s="772"/>
      <c r="AV47" s="772"/>
    </row>
    <row r="48" spans="1:48" s="708" customFormat="1" ht="67.5" customHeight="1">
      <c r="A48" s="704"/>
      <c r="B48" s="720"/>
      <c r="C48" s="1711" t="s">
        <v>576</v>
      </c>
      <c r="D48" s="1711"/>
      <c r="E48" s="1717">
        <f>ROUND((N46-W46)*23.75%,2)</f>
        <v>25203.53</v>
      </c>
      <c r="F48" s="1717"/>
      <c r="G48" s="773"/>
      <c r="H48" s="722"/>
      <c r="I48" s="722"/>
      <c r="J48" s="720"/>
      <c r="K48" s="722"/>
      <c r="L48" s="722"/>
      <c r="M48" s="721"/>
      <c r="N48" s="722"/>
      <c r="O48" s="720"/>
      <c r="P48" s="720"/>
      <c r="Q48" s="720"/>
      <c r="R48" s="720"/>
      <c r="S48" s="720"/>
      <c r="T48" s="720"/>
      <c r="U48" s="720"/>
      <c r="V48" s="720"/>
      <c r="W48" s="720"/>
      <c r="X48" s="706"/>
      <c r="Y48" s="813" t="s">
        <v>550</v>
      </c>
      <c r="AD48" s="709"/>
      <c r="AE48" s="771"/>
      <c r="AF48" s="709"/>
      <c r="AG48" s="707"/>
      <c r="AH48" s="709"/>
      <c r="AI48" s="707"/>
      <c r="AJ48" s="709"/>
      <c r="AK48" s="710"/>
      <c r="AM48" s="710"/>
      <c r="AO48" s="710"/>
      <c r="AQ48" s="710"/>
      <c r="AU48" s="772"/>
      <c r="AV48" s="772"/>
    </row>
    <row r="49" spans="1:48" s="708" customFormat="1" ht="67.5" customHeight="1">
      <c r="A49" s="704"/>
      <c r="B49" s="720"/>
      <c r="C49" s="1711" t="s">
        <v>577</v>
      </c>
      <c r="D49" s="1711"/>
      <c r="E49" s="1717">
        <f>ROUND((N46-W46)*1%,2)</f>
        <v>1061.2</v>
      </c>
      <c r="F49" s="1717"/>
      <c r="G49" s="773"/>
      <c r="H49" s="722"/>
      <c r="I49" s="722"/>
      <c r="J49" s="720"/>
      <c r="K49" s="722"/>
      <c r="L49" s="722"/>
      <c r="M49" s="721"/>
      <c r="N49" s="722"/>
      <c r="O49" s="720"/>
      <c r="P49" s="720"/>
      <c r="Q49" s="720"/>
      <c r="R49" s="720"/>
      <c r="S49" s="720"/>
      <c r="T49" s="720"/>
      <c r="U49" s="720"/>
      <c r="V49" s="720"/>
      <c r="W49" s="720"/>
      <c r="X49" s="706"/>
      <c r="Y49" s="813" t="s">
        <v>550</v>
      </c>
      <c r="AD49" s="709"/>
      <c r="AE49" s="771"/>
      <c r="AF49" s="709"/>
      <c r="AG49" s="707"/>
      <c r="AH49" s="709"/>
      <c r="AI49" s="707"/>
      <c r="AJ49" s="709"/>
      <c r="AK49" s="710"/>
      <c r="AM49" s="710"/>
      <c r="AO49" s="710"/>
      <c r="AQ49" s="710"/>
      <c r="AU49" s="772"/>
      <c r="AV49" s="772"/>
    </row>
    <row r="50" spans="1:48" s="708" customFormat="1" ht="67.5" customHeight="1" thickBot="1">
      <c r="A50" s="704"/>
      <c r="B50" s="720"/>
      <c r="C50" s="1711" t="s">
        <v>578</v>
      </c>
      <c r="D50" s="1711"/>
      <c r="E50" s="1712">
        <f>ROUND((N46-W46)*0.25%,2)</f>
        <v>265.3</v>
      </c>
      <c r="F50" s="1712"/>
      <c r="G50" s="773"/>
      <c r="H50" s="722"/>
      <c r="I50" s="722"/>
      <c r="J50" s="1341">
        <f>الرئيسية!$N$10</f>
        <v>43617</v>
      </c>
      <c r="K50" s="722"/>
      <c r="L50" s="722"/>
      <c r="M50" s="721"/>
      <c r="N50" s="722"/>
      <c r="O50" s="720"/>
      <c r="P50" s="720"/>
      <c r="Q50" s="720"/>
      <c r="R50" s="720"/>
      <c r="S50" s="720"/>
      <c r="T50" s="720"/>
      <c r="U50" s="720"/>
      <c r="V50" s="720"/>
      <c r="W50" s="720"/>
      <c r="X50" s="706"/>
      <c r="Y50" s="813" t="s">
        <v>550</v>
      </c>
      <c r="AD50" s="709"/>
      <c r="AE50" s="771"/>
      <c r="AF50" s="709"/>
      <c r="AG50" s="707"/>
      <c r="AH50" s="709"/>
      <c r="AI50" s="707"/>
      <c r="AJ50" s="709"/>
      <c r="AK50" s="710"/>
      <c r="AM50" s="710"/>
      <c r="AO50" s="710"/>
      <c r="AQ50" s="710"/>
      <c r="AU50" s="772"/>
      <c r="AV50" s="772"/>
    </row>
    <row r="51" spans="1:48" s="708" customFormat="1" ht="89.25" thickBot="1">
      <c r="A51" s="704"/>
      <c r="B51" s="719"/>
      <c r="D51" s="774"/>
      <c r="E51" s="1713">
        <f>E48+E49+E50+D47</f>
        <v>144583.9</v>
      </c>
      <c r="F51" s="1713"/>
      <c r="G51" s="1713"/>
      <c r="H51" s="720"/>
      <c r="I51" s="720"/>
      <c r="J51" s="720"/>
      <c r="K51" s="720"/>
      <c r="L51" s="720"/>
      <c r="M51" s="775"/>
      <c r="N51" s="722"/>
      <c r="O51" s="776"/>
      <c r="P51" s="720"/>
      <c r="Q51" s="720"/>
      <c r="R51" s="720"/>
      <c r="S51" s="720"/>
      <c r="T51" s="777"/>
      <c r="U51" s="720"/>
      <c r="V51" s="720"/>
      <c r="W51" s="720"/>
      <c r="X51" s="706"/>
      <c r="Y51" s="813" t="s">
        <v>550</v>
      </c>
      <c r="AD51" s="709"/>
      <c r="AE51" s="709"/>
      <c r="AF51" s="709"/>
      <c r="AG51" s="707"/>
      <c r="AH51" s="709"/>
      <c r="AI51" s="707"/>
      <c r="AJ51" s="709"/>
      <c r="AK51" s="710"/>
      <c r="AM51" s="710"/>
      <c r="AO51" s="710"/>
      <c r="AQ51" s="710"/>
      <c r="AU51" s="772"/>
      <c r="AV51" s="772"/>
    </row>
    <row r="52" spans="1:48" s="1238" customFormat="1" ht="132" customHeight="1" thickBot="1">
      <c r="A52" s="1233"/>
      <c r="B52" s="1714" t="s">
        <v>32</v>
      </c>
      <c r="C52" s="1715"/>
      <c r="D52" s="1715"/>
      <c r="E52" s="1715"/>
      <c r="F52" s="1715"/>
      <c r="G52" s="1716"/>
      <c r="H52" s="1234">
        <f>SUMIF(Y15:Y37,Y52,H15:H37)</f>
        <v>214080.91</v>
      </c>
      <c r="I52" s="1234">
        <f>SUMIF(Y15:Y37,Y52,I15:I37)</f>
        <v>30000</v>
      </c>
      <c r="J52" s="1235">
        <f>SUMIF(Y15:Y37,Y52,J15:J37)</f>
        <v>5688.08</v>
      </c>
      <c r="K52" s="1234">
        <f>SUMIF(Y15:Y37,Y52,K15:K37)</f>
        <v>24815.93</v>
      </c>
      <c r="L52" s="1234">
        <f>SUMIF(Y15:Y37,Y52,L15:L37)</f>
        <v>7553</v>
      </c>
      <c r="M52" s="1235">
        <f>SUMIF(Y15:Y37,Y52,M15:M37)</f>
        <v>0</v>
      </c>
      <c r="N52" s="1235">
        <f>SUMIF(Y15:Y37,Y52,N15:N37)</f>
        <v>282137.92</v>
      </c>
      <c r="O52" s="1235">
        <f>SUMIF(Y15:Y37,Y52,O15:O37)</f>
        <v>111636.18</v>
      </c>
      <c r="P52" s="1235">
        <f>SUMIF(Y15:Y37,Y52,P15:P37)</f>
        <v>8253</v>
      </c>
      <c r="Q52" s="1235">
        <f>SUMIF(Y15:Y37,Y52,Q15:Q37)</f>
        <v>0</v>
      </c>
      <c r="R52" s="1235">
        <f>SUMIF(Y15:Y37,Y52,R15:R37)</f>
        <v>0</v>
      </c>
      <c r="S52" s="1235">
        <f>SUMIF(Y15:Y37,Y52,S15:S37)</f>
        <v>27655.45</v>
      </c>
      <c r="T52" s="1235">
        <f>SUMIF(Y15:Y37,Y52,T15:T37)</f>
        <v>84100</v>
      </c>
      <c r="U52" s="1235">
        <f>SUMIF(Y15:Y37,Y52,U15:U37)</f>
        <v>11062.18</v>
      </c>
      <c r="V52" s="1235">
        <f>SUMIF(Y15:Y37,Y52,V15:V37)</f>
        <v>22124.36</v>
      </c>
      <c r="W52" s="1235">
        <f>SUMIF(Y15:Y37,Y52,W15:W37)</f>
        <v>17306.75</v>
      </c>
      <c r="X52" s="1235"/>
      <c r="Y52" s="1236" t="s">
        <v>562</v>
      </c>
      <c r="Z52" s="1237">
        <f>Z46+1</f>
        <v>2</v>
      </c>
      <c r="AB52" s="1245"/>
      <c r="AC52" s="1245"/>
      <c r="AD52" s="1239"/>
      <c r="AE52" s="1240"/>
      <c r="AF52" s="1239"/>
      <c r="AG52" s="1241"/>
      <c r="AH52" s="1239"/>
      <c r="AI52" s="1241"/>
      <c r="AJ52" s="1239"/>
      <c r="AK52" s="1242"/>
      <c r="AM52" s="1242"/>
      <c r="AO52" s="1242"/>
      <c r="AQ52" s="1242"/>
      <c r="AU52" s="1243"/>
      <c r="AV52" s="1243"/>
    </row>
    <row r="53" spans="1:48" s="708" customFormat="1" ht="88.5" customHeight="1">
      <c r="A53" s="704"/>
      <c r="B53" s="720"/>
      <c r="C53" s="767" t="s">
        <v>574</v>
      </c>
      <c r="D53" s="768">
        <f>N52</f>
        <v>282137.92</v>
      </c>
      <c r="E53" s="769" t="s">
        <v>575</v>
      </c>
      <c r="F53" s="720"/>
      <c r="G53" s="770" t="str">
        <f>[1]!Arreta(E57)</f>
        <v>ثلاثمائة وثمانية وأربعون ألف وثلاثمائة وخمسة وأربعون دينار جزائري وواحد وسبعون سنتيما</v>
      </c>
      <c r="H53" s="722"/>
      <c r="I53" s="722"/>
      <c r="J53" s="720"/>
      <c r="K53" s="722"/>
      <c r="L53" s="722"/>
      <c r="M53" s="721"/>
      <c r="N53" s="722"/>
      <c r="O53" s="720"/>
      <c r="P53" s="720"/>
      <c r="Q53" s="720"/>
      <c r="R53" s="720"/>
      <c r="S53" s="720"/>
      <c r="T53" s="720"/>
      <c r="U53" s="720"/>
      <c r="V53" s="720"/>
      <c r="W53" s="720"/>
      <c r="X53" s="706"/>
      <c r="Y53" s="813" t="s">
        <v>562</v>
      </c>
      <c r="AB53" s="778"/>
      <c r="AC53" s="778"/>
      <c r="AD53" s="709"/>
      <c r="AE53" s="771"/>
      <c r="AF53" s="709"/>
      <c r="AG53" s="707"/>
      <c r="AH53" s="709"/>
      <c r="AI53" s="707"/>
      <c r="AJ53" s="709"/>
      <c r="AK53" s="710"/>
      <c r="AM53" s="710"/>
      <c r="AO53" s="710"/>
      <c r="AQ53" s="710"/>
      <c r="AU53" s="772"/>
      <c r="AV53" s="772"/>
    </row>
    <row r="54" spans="1:48" s="708" customFormat="1" ht="67.5" customHeight="1">
      <c r="A54" s="704"/>
      <c r="B54" s="720"/>
      <c r="C54" s="1711" t="s">
        <v>576</v>
      </c>
      <c r="D54" s="1711"/>
      <c r="E54" s="1717">
        <f>ROUND((N52-W52)*23.75%,2)</f>
        <v>62897.4</v>
      </c>
      <c r="F54" s="1717"/>
      <c r="G54" s="773"/>
      <c r="H54" s="722"/>
      <c r="I54" s="722"/>
      <c r="J54" s="720"/>
      <c r="K54" s="722"/>
      <c r="L54" s="722"/>
      <c r="M54" s="721"/>
      <c r="N54" s="722"/>
      <c r="O54" s="720"/>
      <c r="P54" s="720"/>
      <c r="Q54" s="720"/>
      <c r="R54" s="720"/>
      <c r="S54" s="720"/>
      <c r="T54" s="720"/>
      <c r="U54" s="720"/>
      <c r="V54" s="720"/>
      <c r="W54" s="720"/>
      <c r="X54" s="706"/>
      <c r="Y54" s="813" t="s">
        <v>562</v>
      </c>
      <c r="AB54" s="778"/>
      <c r="AC54" s="778"/>
      <c r="AD54" s="709"/>
      <c r="AE54" s="771"/>
      <c r="AF54" s="709"/>
      <c r="AG54" s="707"/>
      <c r="AH54" s="709"/>
      <c r="AI54" s="707"/>
      <c r="AJ54" s="709"/>
      <c r="AK54" s="710"/>
      <c r="AM54" s="710"/>
      <c r="AO54" s="710"/>
      <c r="AQ54" s="710"/>
      <c r="AU54" s="772"/>
      <c r="AV54" s="772"/>
    </row>
    <row r="55" spans="1:48" s="708" customFormat="1" ht="67.5" customHeight="1">
      <c r="A55" s="704"/>
      <c r="B55" s="720"/>
      <c r="C55" s="1711" t="s">
        <v>577</v>
      </c>
      <c r="D55" s="1711"/>
      <c r="E55" s="1717">
        <f>ROUND((N52-W52)*1%,2)</f>
        <v>2648.31</v>
      </c>
      <c r="F55" s="1717"/>
      <c r="G55" s="773"/>
      <c r="H55" s="722"/>
      <c r="I55" s="722"/>
      <c r="J55" s="720"/>
      <c r="K55" s="722"/>
      <c r="L55" s="722"/>
      <c r="M55" s="721"/>
      <c r="N55" s="722"/>
      <c r="O55" s="720"/>
      <c r="P55" s="720"/>
      <c r="Q55" s="720"/>
      <c r="R55" s="720"/>
      <c r="S55" s="720"/>
      <c r="T55" s="720"/>
      <c r="U55" s="720"/>
      <c r="V55" s="720"/>
      <c r="W55" s="720"/>
      <c r="X55" s="706"/>
      <c r="Y55" s="813" t="s">
        <v>562</v>
      </c>
      <c r="AB55" s="778"/>
      <c r="AC55" s="778"/>
      <c r="AD55" s="709"/>
      <c r="AE55" s="771"/>
      <c r="AF55" s="709"/>
      <c r="AG55" s="707"/>
      <c r="AH55" s="709"/>
      <c r="AI55" s="707"/>
      <c r="AJ55" s="709"/>
      <c r="AK55" s="710"/>
      <c r="AM55" s="710"/>
      <c r="AO55" s="710"/>
      <c r="AQ55" s="710"/>
      <c r="AU55" s="772"/>
      <c r="AV55" s="772"/>
    </row>
    <row r="56" spans="1:48" s="708" customFormat="1" ht="67.5" customHeight="1" thickBot="1">
      <c r="A56" s="704"/>
      <c r="B56" s="720"/>
      <c r="C56" s="1711" t="s">
        <v>578</v>
      </c>
      <c r="D56" s="1711"/>
      <c r="E56" s="1712">
        <f>ROUND((N52-W52)*0.25%,2)</f>
        <v>662.08</v>
      </c>
      <c r="F56" s="1712"/>
      <c r="G56" s="773"/>
      <c r="H56" s="722"/>
      <c r="I56" s="722"/>
      <c r="J56" s="1341">
        <f>الرئيسية!$N$10</f>
        <v>43617</v>
      </c>
      <c r="K56" s="722"/>
      <c r="L56" s="722"/>
      <c r="M56" s="721"/>
      <c r="N56" s="722"/>
      <c r="O56" s="720"/>
      <c r="P56" s="720"/>
      <c r="Q56" s="720"/>
      <c r="R56" s="720"/>
      <c r="S56" s="720"/>
      <c r="T56" s="720"/>
      <c r="U56" s="720"/>
      <c r="V56" s="720"/>
      <c r="W56" s="720"/>
      <c r="X56" s="706"/>
      <c r="Y56" s="813" t="s">
        <v>562</v>
      </c>
      <c r="AB56" s="778"/>
      <c r="AC56" s="778"/>
      <c r="AD56" s="709"/>
      <c r="AE56" s="771"/>
      <c r="AF56" s="709"/>
      <c r="AG56" s="707"/>
      <c r="AH56" s="709"/>
      <c r="AI56" s="707"/>
      <c r="AJ56" s="709"/>
      <c r="AK56" s="710"/>
      <c r="AM56" s="710"/>
      <c r="AO56" s="710"/>
      <c r="AQ56" s="710"/>
      <c r="AU56" s="772"/>
      <c r="AV56" s="772"/>
    </row>
    <row r="57" spans="1:48" s="708" customFormat="1" ht="89.25" thickBot="1">
      <c r="A57" s="704"/>
      <c r="B57" s="719"/>
      <c r="D57" s="774"/>
      <c r="E57" s="1713">
        <f>E54+E55+E56+D53</f>
        <v>348345.71</v>
      </c>
      <c r="F57" s="1713"/>
      <c r="G57" s="1713"/>
      <c r="H57" s="720"/>
      <c r="I57" s="720"/>
      <c r="J57" s="720"/>
      <c r="K57" s="720"/>
      <c r="L57" s="720"/>
      <c r="M57" s="775"/>
      <c r="N57" s="722"/>
      <c r="O57" s="776"/>
      <c r="P57" s="720"/>
      <c r="Q57" s="720"/>
      <c r="R57" s="720"/>
      <c r="S57" s="720"/>
      <c r="T57" s="777"/>
      <c r="U57" s="720"/>
      <c r="V57" s="720"/>
      <c r="W57" s="720"/>
      <c r="X57" s="706"/>
      <c r="Y57" s="813" t="s">
        <v>562</v>
      </c>
      <c r="AB57" s="778"/>
      <c r="AC57" s="778"/>
      <c r="AD57" s="709"/>
      <c r="AE57" s="709"/>
      <c r="AF57" s="709"/>
      <c r="AG57" s="707"/>
      <c r="AH57" s="709"/>
      <c r="AI57" s="707"/>
      <c r="AJ57" s="709"/>
      <c r="AK57" s="710"/>
      <c r="AM57" s="710"/>
      <c r="AO57" s="710"/>
      <c r="AQ57" s="710"/>
      <c r="AU57" s="772"/>
      <c r="AV57" s="772"/>
    </row>
    <row r="58" spans="1:48" s="1250" customFormat="1" ht="132" customHeight="1" thickBot="1">
      <c r="A58" s="1246"/>
      <c r="B58" s="1708" t="s">
        <v>32</v>
      </c>
      <c r="C58" s="1709"/>
      <c r="D58" s="1709"/>
      <c r="E58" s="1709"/>
      <c r="F58" s="1709"/>
      <c r="G58" s="1710"/>
      <c r="H58" s="1247">
        <f>SUMIF(Y15:Y37,Y58,H15:H37)</f>
        <v>0</v>
      </c>
      <c r="I58" s="1247">
        <f>SUMIF(Y15:Y37,Y58,I15:I37)</f>
        <v>0</v>
      </c>
      <c r="J58" s="1247">
        <f>SUMIF(Y15:Y37,Y58,J15:J37)</f>
        <v>0</v>
      </c>
      <c r="K58" s="1247">
        <f>SUMIF(Y15:Y37,Y58,K15:K37)</f>
        <v>0</v>
      </c>
      <c r="L58" s="1247">
        <f>SUMIF(Y15:Y37,Y58,L15:L37)</f>
        <v>0</v>
      </c>
      <c r="M58" s="1247">
        <f>SUMIF(Y15:Y37,Y58,M15:M37)</f>
        <v>0</v>
      </c>
      <c r="N58" s="1247">
        <f>SUMIF(Y15:Y37,Y58,N15:N37)</f>
        <v>0</v>
      </c>
      <c r="O58" s="1247">
        <f>SUMIF(Y15:Y37,Y58,O15:O37)</f>
        <v>0</v>
      </c>
      <c r="P58" s="1247">
        <f>SUMIF(Y15:Y37,Y58,P15:P37)</f>
        <v>0</v>
      </c>
      <c r="Q58" s="1247">
        <f>SUMIF(Y15:Y37,Y58,Q15:Q37)</f>
        <v>0</v>
      </c>
      <c r="R58" s="1247">
        <f>SUMIF(Y15:Y37,Y58,R15:R37)</f>
        <v>0</v>
      </c>
      <c r="S58" s="1247">
        <f>SUMIF(Y15:Y37,Y58,S15:S37)</f>
        <v>0</v>
      </c>
      <c r="T58" s="1247">
        <f>SUMIF(Y15:Y37,Y58,T15:T37)</f>
        <v>0</v>
      </c>
      <c r="U58" s="1247">
        <f>SUMIF(Y15:Y37,Y58,U15:U37)</f>
        <v>0</v>
      </c>
      <c r="V58" s="1247">
        <f>SUMIF(Y15:Y37,Y58,V15:V37)</f>
        <v>0</v>
      </c>
      <c r="W58" s="1247">
        <f>SUMIF(Y15:Y37,Y58,W15:W37)</f>
        <v>0</v>
      </c>
      <c r="X58" s="1247"/>
      <c r="Y58" s="1248" t="s">
        <v>549</v>
      </c>
      <c r="Z58" s="1249">
        <f>Z52+1</f>
        <v>3</v>
      </c>
      <c r="AD58" s="1251"/>
      <c r="AE58" s="1252"/>
      <c r="AF58" s="1251"/>
      <c r="AG58" s="1253"/>
      <c r="AH58" s="1251"/>
      <c r="AI58" s="1253"/>
      <c r="AJ58" s="1251"/>
      <c r="AK58" s="1254"/>
      <c r="AM58" s="1254"/>
      <c r="AO58" s="1254"/>
      <c r="AQ58" s="1254"/>
      <c r="AU58" s="1255"/>
      <c r="AV58" s="1255"/>
    </row>
    <row r="59" spans="1:48" s="919" customFormat="1" ht="88.5" customHeight="1">
      <c r="A59" s="910"/>
      <c r="B59" s="911"/>
      <c r="C59" s="912" t="s">
        <v>574</v>
      </c>
      <c r="D59" s="913">
        <f>N58</f>
        <v>0</v>
      </c>
      <c r="E59" s="914" t="s">
        <v>575</v>
      </c>
      <c r="F59" s="911"/>
      <c r="G59" s="915" t="str">
        <f>[1]!Arreta(E63)</f>
        <v/>
      </c>
      <c r="H59" s="916"/>
      <c r="I59" s="916"/>
      <c r="J59" s="911"/>
      <c r="K59" s="916"/>
      <c r="L59" s="916"/>
      <c r="M59" s="917"/>
      <c r="N59" s="916"/>
      <c r="O59" s="911"/>
      <c r="P59" s="911"/>
      <c r="Q59" s="911"/>
      <c r="R59" s="911"/>
      <c r="S59" s="911"/>
      <c r="T59" s="911"/>
      <c r="U59" s="911"/>
      <c r="V59" s="911"/>
      <c r="W59" s="911"/>
      <c r="X59" s="918"/>
      <c r="Y59" s="909" t="s">
        <v>549</v>
      </c>
      <c r="AD59" s="920"/>
      <c r="AE59" s="921"/>
      <c r="AF59" s="920"/>
      <c r="AG59" s="922"/>
      <c r="AH59" s="920"/>
      <c r="AI59" s="922"/>
      <c r="AJ59" s="920"/>
      <c r="AK59" s="923"/>
      <c r="AM59" s="923"/>
      <c r="AO59" s="923"/>
      <c r="AQ59" s="923"/>
      <c r="AU59" s="924"/>
      <c r="AV59" s="924"/>
    </row>
    <row r="60" spans="1:48" s="919" customFormat="1" ht="67.5" customHeight="1">
      <c r="A60" s="910"/>
      <c r="B60" s="911"/>
      <c r="C60" s="1704" t="s">
        <v>576</v>
      </c>
      <c r="D60" s="1704"/>
      <c r="E60" s="1705">
        <f>ROUND((N58-W58)*23.75%,2)</f>
        <v>0</v>
      </c>
      <c r="F60" s="1705"/>
      <c r="G60" s="925"/>
      <c r="H60" s="916"/>
      <c r="I60" s="916"/>
      <c r="J60" s="911"/>
      <c r="K60" s="916"/>
      <c r="L60" s="916"/>
      <c r="M60" s="917"/>
      <c r="N60" s="916"/>
      <c r="O60" s="911"/>
      <c r="P60" s="911"/>
      <c r="Q60" s="911"/>
      <c r="R60" s="911"/>
      <c r="S60" s="911"/>
      <c r="T60" s="911"/>
      <c r="U60" s="911"/>
      <c r="V60" s="911"/>
      <c r="W60" s="911"/>
      <c r="X60" s="918"/>
      <c r="Y60" s="909" t="s">
        <v>549</v>
      </c>
      <c r="AD60" s="920"/>
      <c r="AE60" s="921"/>
      <c r="AF60" s="920"/>
      <c r="AG60" s="922"/>
      <c r="AH60" s="920"/>
      <c r="AI60" s="922"/>
      <c r="AJ60" s="920"/>
      <c r="AK60" s="923"/>
      <c r="AM60" s="923"/>
      <c r="AO60" s="923"/>
      <c r="AQ60" s="923"/>
      <c r="AU60" s="924"/>
      <c r="AV60" s="924"/>
    </row>
    <row r="61" spans="1:48" s="919" customFormat="1" ht="67.5" customHeight="1">
      <c r="A61" s="910"/>
      <c r="B61" s="911"/>
      <c r="C61" s="1704" t="s">
        <v>577</v>
      </c>
      <c r="D61" s="1704"/>
      <c r="E61" s="1705">
        <f>ROUND((N58-W58)*1%,2)</f>
        <v>0</v>
      </c>
      <c r="F61" s="1705"/>
      <c r="G61" s="925"/>
      <c r="H61" s="916"/>
      <c r="I61" s="916"/>
      <c r="J61" s="911"/>
      <c r="K61" s="916"/>
      <c r="L61" s="916"/>
      <c r="M61" s="917"/>
      <c r="N61" s="916"/>
      <c r="O61" s="911"/>
      <c r="P61" s="911"/>
      <c r="Q61" s="911"/>
      <c r="R61" s="911"/>
      <c r="S61" s="911"/>
      <c r="T61" s="911"/>
      <c r="U61" s="911"/>
      <c r="V61" s="911"/>
      <c r="W61" s="911"/>
      <c r="X61" s="918"/>
      <c r="Y61" s="909" t="s">
        <v>549</v>
      </c>
      <c r="AD61" s="920"/>
      <c r="AE61" s="921"/>
      <c r="AF61" s="920"/>
      <c r="AG61" s="922"/>
      <c r="AH61" s="920"/>
      <c r="AI61" s="922"/>
      <c r="AJ61" s="920"/>
      <c r="AK61" s="923"/>
      <c r="AM61" s="923"/>
      <c r="AO61" s="923"/>
      <c r="AQ61" s="923"/>
      <c r="AU61" s="924"/>
      <c r="AV61" s="924"/>
    </row>
    <row r="62" spans="1:48" s="919" customFormat="1" ht="67.5" customHeight="1" thickBot="1">
      <c r="A62" s="910"/>
      <c r="B62" s="911"/>
      <c r="C62" s="1704" t="s">
        <v>578</v>
      </c>
      <c r="D62" s="1704"/>
      <c r="E62" s="1706">
        <f>ROUND((N58-W58)*0.25%,2)</f>
        <v>0</v>
      </c>
      <c r="F62" s="1706"/>
      <c r="G62" s="925"/>
      <c r="H62" s="916"/>
      <c r="I62" s="916"/>
      <c r="J62" s="1341">
        <f>الرئيسية!$N$10</f>
        <v>43617</v>
      </c>
      <c r="K62" s="916"/>
      <c r="L62" s="916"/>
      <c r="M62" s="917"/>
      <c r="N62" s="916"/>
      <c r="O62" s="911"/>
      <c r="P62" s="911"/>
      <c r="Q62" s="911"/>
      <c r="R62" s="911"/>
      <c r="S62" s="911"/>
      <c r="T62" s="911"/>
      <c r="U62" s="911"/>
      <c r="V62" s="911"/>
      <c r="W62" s="911"/>
      <c r="X62" s="918"/>
      <c r="Y62" s="909" t="s">
        <v>549</v>
      </c>
      <c r="AD62" s="920"/>
      <c r="AE62" s="921"/>
      <c r="AF62" s="920"/>
      <c r="AG62" s="922"/>
      <c r="AH62" s="920"/>
      <c r="AI62" s="922"/>
      <c r="AJ62" s="920"/>
      <c r="AK62" s="923"/>
      <c r="AM62" s="923"/>
      <c r="AO62" s="923"/>
      <c r="AQ62" s="923"/>
      <c r="AU62" s="924"/>
      <c r="AV62" s="924"/>
    </row>
    <row r="63" spans="1:48" s="919" customFormat="1" ht="89.25" thickBot="1">
      <c r="A63" s="910"/>
      <c r="B63" s="926"/>
      <c r="D63" s="927"/>
      <c r="E63" s="1707">
        <f>E60+E61+E62+D59</f>
        <v>0</v>
      </c>
      <c r="F63" s="1707"/>
      <c r="G63" s="1707"/>
      <c r="H63" s="911"/>
      <c r="I63" s="911"/>
      <c r="J63" s="911"/>
      <c r="K63" s="911"/>
      <c r="L63" s="911"/>
      <c r="M63" s="928"/>
      <c r="N63" s="916"/>
      <c r="O63" s="929"/>
      <c r="P63" s="911"/>
      <c r="Q63" s="911"/>
      <c r="R63" s="911"/>
      <c r="S63" s="911"/>
      <c r="T63" s="930"/>
      <c r="U63" s="911"/>
      <c r="V63" s="911"/>
      <c r="W63" s="911"/>
      <c r="X63" s="918"/>
      <c r="Y63" s="909" t="s">
        <v>549</v>
      </c>
      <c r="AD63" s="920"/>
      <c r="AE63" s="920"/>
      <c r="AF63" s="920"/>
      <c r="AG63" s="922"/>
      <c r="AH63" s="920"/>
      <c r="AI63" s="922"/>
      <c r="AJ63" s="920"/>
      <c r="AK63" s="923"/>
      <c r="AM63" s="923"/>
      <c r="AO63" s="923"/>
      <c r="AQ63" s="923"/>
      <c r="AU63" s="924"/>
      <c r="AV63" s="924"/>
    </row>
    <row r="64" spans="1:48" s="1250" customFormat="1" ht="132" customHeight="1" thickBot="1">
      <c r="A64" s="1246"/>
      <c r="B64" s="1708" t="s">
        <v>32</v>
      </c>
      <c r="C64" s="1709"/>
      <c r="D64" s="1709"/>
      <c r="E64" s="1709"/>
      <c r="F64" s="1709"/>
      <c r="G64" s="1710"/>
      <c r="H64" s="1247">
        <f>SUMIF(Y21:Y43,Y64,H21:H43)</f>
        <v>260760.32000000001</v>
      </c>
      <c r="I64" s="1247">
        <f>SUMIF(Y21:Y43,Y64,I21:I43)</f>
        <v>20000</v>
      </c>
      <c r="J64" s="1247">
        <f>SUMIF(Y21:Y43,Y64,J21:J43)</f>
        <v>51040.63</v>
      </c>
      <c r="K64" s="1247">
        <f>SUMIF(Y21:Y43,Y64,K21:K43)</f>
        <v>28889.55</v>
      </c>
      <c r="L64" s="1247">
        <f>SUMIF(Y21:Y43,Y64,L21:L43)</f>
        <v>9815</v>
      </c>
      <c r="M64" s="1247">
        <f>SUMIF(Y21:Y43,Y64,M21:M43)</f>
        <v>506.52</v>
      </c>
      <c r="N64" s="1247">
        <f>SUMIF(Y21:Y43,Y64,N21:N43)</f>
        <v>327395.02</v>
      </c>
      <c r="O64" s="1247">
        <f>SUMIF(Y21:Y43,Y64,O21:O43)</f>
        <v>132989.57999999999</v>
      </c>
      <c r="P64" s="1247">
        <f>SUMIF(Y21:Y43,Y64,P21:P43)</f>
        <v>8687</v>
      </c>
      <c r="Q64" s="1247">
        <f>SUMIF(Y21:Y43,Y64,Q21:Q43)</f>
        <v>0</v>
      </c>
      <c r="R64" s="1247">
        <f>SUMIF(Y21:Y43,Y64,R21:R43)</f>
        <v>4147.2</v>
      </c>
      <c r="S64" s="1247">
        <f>SUMIF(Y21:Y43,Y64,S21:S43)</f>
        <v>28593</v>
      </c>
      <c r="T64" s="1247">
        <f>SUMIF(Y21:Y43,Y64,T21:T43)</f>
        <v>90400</v>
      </c>
      <c r="U64" s="1247">
        <f>SUMIF(Y21:Y43,Y64,U21:U43)</f>
        <v>13096.08</v>
      </c>
      <c r="V64" s="1247">
        <f>SUMIF(Y21:Y43,Y64,V21:V43)</f>
        <v>26192.16</v>
      </c>
      <c r="W64" s="1247">
        <f>SUMIF(Y21:Y43,Y64,W21:W43)</f>
        <v>23290</v>
      </c>
      <c r="X64" s="1247"/>
      <c r="Y64" s="1248" t="s">
        <v>561</v>
      </c>
      <c r="Z64" s="1249">
        <f>Z58+1</f>
        <v>4</v>
      </c>
      <c r="AD64" s="1251"/>
      <c r="AE64" s="1252"/>
      <c r="AF64" s="1251"/>
      <c r="AG64" s="1253"/>
      <c r="AH64" s="1251"/>
      <c r="AI64" s="1253"/>
      <c r="AJ64" s="1251"/>
      <c r="AK64" s="1254"/>
      <c r="AM64" s="1254"/>
      <c r="AO64" s="1254"/>
      <c r="AQ64" s="1254"/>
      <c r="AU64" s="1255"/>
      <c r="AV64" s="1255"/>
    </row>
    <row r="65" spans="1:48" s="919" customFormat="1" ht="88.5" customHeight="1">
      <c r="A65" s="910"/>
      <c r="B65" s="911"/>
      <c r="C65" s="912" t="s">
        <v>574</v>
      </c>
      <c r="D65" s="913">
        <f>N64</f>
        <v>327395.02</v>
      </c>
      <c r="E65" s="914" t="s">
        <v>575</v>
      </c>
      <c r="F65" s="911"/>
      <c r="G65" s="915" t="str">
        <f>[1]!Arreta(E69)</f>
        <v>أربعمائة وثلاثة ألف وأربعمائة وواحد وعشرون دينار جزائري وسبعة وعشرون سنتيما</v>
      </c>
      <c r="H65" s="916"/>
      <c r="I65" s="916"/>
      <c r="J65" s="911"/>
      <c r="K65" s="916"/>
      <c r="L65" s="916"/>
      <c r="M65" s="917"/>
      <c r="N65" s="916"/>
      <c r="O65" s="911"/>
      <c r="P65" s="911"/>
      <c r="Q65" s="911"/>
      <c r="R65" s="911"/>
      <c r="S65" s="911"/>
      <c r="T65" s="911"/>
      <c r="U65" s="911"/>
      <c r="V65" s="911"/>
      <c r="W65" s="911"/>
      <c r="X65" s="918"/>
      <c r="Y65" s="909" t="s">
        <v>561</v>
      </c>
      <c r="AD65" s="920"/>
      <c r="AE65" s="921"/>
      <c r="AF65" s="920"/>
      <c r="AG65" s="922"/>
      <c r="AH65" s="920"/>
      <c r="AI65" s="922"/>
      <c r="AJ65" s="920"/>
      <c r="AK65" s="923"/>
      <c r="AM65" s="923"/>
      <c r="AO65" s="923"/>
      <c r="AQ65" s="923"/>
      <c r="AU65" s="924"/>
      <c r="AV65" s="924"/>
    </row>
    <row r="66" spans="1:48" s="919" customFormat="1" ht="67.5" customHeight="1">
      <c r="A66" s="910"/>
      <c r="B66" s="911"/>
      <c r="C66" s="1704" t="s">
        <v>576</v>
      </c>
      <c r="D66" s="1704"/>
      <c r="E66" s="1705">
        <f>ROUND((N64-W64)*23.75%,2)</f>
        <v>72224.94</v>
      </c>
      <c r="F66" s="1705"/>
      <c r="G66" s="925"/>
      <c r="H66" s="916"/>
      <c r="I66" s="916"/>
      <c r="J66" s="911"/>
      <c r="K66" s="916"/>
      <c r="L66" s="916"/>
      <c r="M66" s="917"/>
      <c r="N66" s="916"/>
      <c r="O66" s="911"/>
      <c r="P66" s="911"/>
      <c r="Q66" s="911"/>
      <c r="R66" s="911"/>
      <c r="S66" s="911"/>
      <c r="T66" s="911"/>
      <c r="U66" s="911"/>
      <c r="V66" s="911"/>
      <c r="W66" s="911"/>
      <c r="X66" s="918"/>
      <c r="Y66" s="909" t="s">
        <v>561</v>
      </c>
      <c r="AD66" s="920"/>
      <c r="AE66" s="921"/>
      <c r="AF66" s="920"/>
      <c r="AG66" s="922"/>
      <c r="AH66" s="920"/>
      <c r="AI66" s="922"/>
      <c r="AJ66" s="920"/>
      <c r="AK66" s="923"/>
      <c r="AM66" s="923"/>
      <c r="AO66" s="923"/>
      <c r="AQ66" s="923"/>
      <c r="AU66" s="924"/>
      <c r="AV66" s="924"/>
    </row>
    <row r="67" spans="1:48" s="919" customFormat="1" ht="67.5" customHeight="1">
      <c r="A67" s="910"/>
      <c r="B67" s="911"/>
      <c r="C67" s="1704" t="s">
        <v>577</v>
      </c>
      <c r="D67" s="1704"/>
      <c r="E67" s="1705">
        <f>ROUND((N64-W64)*1%,2)</f>
        <v>3041.05</v>
      </c>
      <c r="F67" s="1705"/>
      <c r="G67" s="925"/>
      <c r="H67" s="916"/>
      <c r="I67" s="916"/>
      <c r="J67" s="911"/>
      <c r="K67" s="916"/>
      <c r="L67" s="916"/>
      <c r="M67" s="917"/>
      <c r="N67" s="916"/>
      <c r="O67" s="911"/>
      <c r="P67" s="911"/>
      <c r="Q67" s="911"/>
      <c r="R67" s="911"/>
      <c r="S67" s="911"/>
      <c r="T67" s="911"/>
      <c r="U67" s="911"/>
      <c r="V67" s="911"/>
      <c r="W67" s="911"/>
      <c r="X67" s="918"/>
      <c r="Y67" s="909" t="s">
        <v>561</v>
      </c>
      <c r="AD67" s="920"/>
      <c r="AE67" s="921"/>
      <c r="AF67" s="920"/>
      <c r="AG67" s="922"/>
      <c r="AH67" s="920"/>
      <c r="AI67" s="922"/>
      <c r="AJ67" s="920"/>
      <c r="AK67" s="923"/>
      <c r="AM67" s="923"/>
      <c r="AO67" s="923"/>
      <c r="AQ67" s="923"/>
      <c r="AU67" s="924"/>
      <c r="AV67" s="924"/>
    </row>
    <row r="68" spans="1:48" s="919" customFormat="1" ht="67.5" customHeight="1" thickBot="1">
      <c r="A68" s="910"/>
      <c r="B68" s="911"/>
      <c r="C68" s="1704" t="s">
        <v>578</v>
      </c>
      <c r="D68" s="1704"/>
      <c r="E68" s="1706">
        <f>ROUND((N64-W64)*0.25%,2)</f>
        <v>760.26</v>
      </c>
      <c r="F68" s="1706"/>
      <c r="G68" s="925"/>
      <c r="H68" s="916"/>
      <c r="I68" s="916"/>
      <c r="J68" s="1341">
        <f>الرئيسية!$N$10</f>
        <v>43617</v>
      </c>
      <c r="K68" s="916"/>
      <c r="L68" s="916"/>
      <c r="M68" s="917"/>
      <c r="N68" s="916"/>
      <c r="O68" s="911"/>
      <c r="P68" s="911"/>
      <c r="Q68" s="911"/>
      <c r="R68" s="911"/>
      <c r="S68" s="911"/>
      <c r="T68" s="911"/>
      <c r="U68" s="911"/>
      <c r="V68" s="911"/>
      <c r="W68" s="911"/>
      <c r="X68" s="918"/>
      <c r="Y68" s="909" t="s">
        <v>561</v>
      </c>
      <c r="AD68" s="920"/>
      <c r="AE68" s="921"/>
      <c r="AF68" s="920"/>
      <c r="AG68" s="922"/>
      <c r="AH68" s="920"/>
      <c r="AI68" s="922"/>
      <c r="AJ68" s="920"/>
      <c r="AK68" s="923"/>
      <c r="AM68" s="923"/>
      <c r="AO68" s="923"/>
      <c r="AQ68" s="923"/>
      <c r="AU68" s="924"/>
      <c r="AV68" s="924"/>
    </row>
    <row r="69" spans="1:48" s="919" customFormat="1" ht="89.25" thickBot="1">
      <c r="A69" s="910"/>
      <c r="B69" s="926"/>
      <c r="D69" s="927"/>
      <c r="E69" s="1707">
        <f>E66+E67+E68+D65</f>
        <v>403421.27</v>
      </c>
      <c r="F69" s="1707"/>
      <c r="G69" s="1707"/>
      <c r="H69" s="911"/>
      <c r="I69" s="911"/>
      <c r="J69" s="911"/>
      <c r="K69" s="911"/>
      <c r="L69" s="911"/>
      <c r="M69" s="928"/>
      <c r="N69" s="916"/>
      <c r="O69" s="929"/>
      <c r="P69" s="911"/>
      <c r="Q69" s="911"/>
      <c r="R69" s="911"/>
      <c r="S69" s="911"/>
      <c r="T69" s="930"/>
      <c r="U69" s="911"/>
      <c r="V69" s="911"/>
      <c r="W69" s="911"/>
      <c r="X69" s="918"/>
      <c r="Y69" s="909" t="s">
        <v>561</v>
      </c>
      <c r="AD69" s="920"/>
      <c r="AE69" s="920"/>
      <c r="AF69" s="920"/>
      <c r="AG69" s="922"/>
      <c r="AH69" s="920"/>
      <c r="AI69" s="922"/>
      <c r="AJ69" s="920"/>
      <c r="AK69" s="923"/>
      <c r="AM69" s="923"/>
      <c r="AO69" s="923"/>
      <c r="AQ69" s="923"/>
      <c r="AU69" s="924"/>
      <c r="AV69" s="924"/>
    </row>
    <row r="70" spans="1:48" s="1250" customFormat="1" ht="132" customHeight="1" thickBot="1">
      <c r="A70" s="1246"/>
      <c r="B70" s="1708" t="s">
        <v>32</v>
      </c>
      <c r="C70" s="1709"/>
      <c r="D70" s="1709"/>
      <c r="E70" s="1709"/>
      <c r="F70" s="1709"/>
      <c r="G70" s="1710"/>
      <c r="H70" s="1247">
        <f>SUMIF(Y27:Y49,Y70,H27:H49)</f>
        <v>129231.58</v>
      </c>
      <c r="I70" s="1247">
        <f>SUMIF(Y27:Y49,Y70,I27:I49)</f>
        <v>20000</v>
      </c>
      <c r="J70" s="1247">
        <f>SUMIF(Y27:Y49,Y70,J27:J49)</f>
        <v>4164.2700000000004</v>
      </c>
      <c r="K70" s="1247">
        <f>SUMIF(Y27:Y49,Y70,K27:K49)</f>
        <v>15289.6</v>
      </c>
      <c r="L70" s="1247">
        <f>SUMIF(Y27:Y49,Y70,L27:L49)</f>
        <v>4404.3999999999996</v>
      </c>
      <c r="M70" s="1247">
        <f>SUMIF(Y27:Y49,Y70,M27:M49)</f>
        <v>0</v>
      </c>
      <c r="N70" s="1247">
        <f>SUMIF(Y27:Y49,Y70,N27:N49)</f>
        <v>173089.85</v>
      </c>
      <c r="O70" s="1247">
        <f>SUMIF(Y27:Y49,Y70,O27:O49)</f>
        <v>68292</v>
      </c>
      <c r="P70" s="1247">
        <f>SUMIF(Y27:Y49,Y70,P27:P49)</f>
        <v>4998</v>
      </c>
      <c r="Q70" s="1247">
        <f>SUMIF(Y27:Y49,Y70,Q27:Q49)</f>
        <v>0</v>
      </c>
      <c r="R70" s="1247">
        <f>SUMIF(Y27:Y49,Y70,R27:R49)</f>
        <v>0</v>
      </c>
      <c r="S70" s="1247">
        <f>SUMIF(Y27:Y49,Y70,S27:S49)</f>
        <v>17073</v>
      </c>
      <c r="T70" s="1247">
        <f>SUMIF(Y27:Y49,Y70,T27:T49)</f>
        <v>53900</v>
      </c>
      <c r="U70" s="1247">
        <f>SUMIF(Y27:Y49,Y70,U27:U49)</f>
        <v>6829.2</v>
      </c>
      <c r="V70" s="1247">
        <f>SUMIF(Y27:Y49,Y70,V27:V49)</f>
        <v>13658.4</v>
      </c>
      <c r="W70" s="1247">
        <f>SUMIF(Y27:Y49,Y70,W27:W49)</f>
        <v>8339.25</v>
      </c>
      <c r="X70" s="1247"/>
      <c r="Y70" s="1248" t="s">
        <v>562</v>
      </c>
      <c r="Z70" s="1249">
        <f>Z64+1</f>
        <v>5</v>
      </c>
      <c r="AD70" s="1251"/>
      <c r="AE70" s="1252"/>
      <c r="AF70" s="1251"/>
      <c r="AG70" s="1253"/>
      <c r="AH70" s="1251"/>
      <c r="AI70" s="1253"/>
      <c r="AJ70" s="1251"/>
      <c r="AK70" s="1254"/>
      <c r="AM70" s="1254"/>
      <c r="AO70" s="1254"/>
      <c r="AQ70" s="1254"/>
      <c r="AU70" s="1255"/>
      <c r="AV70" s="1255"/>
    </row>
    <row r="71" spans="1:48" s="919" customFormat="1" ht="88.5" customHeight="1">
      <c r="A71" s="910"/>
      <c r="B71" s="911"/>
      <c r="C71" s="912" t="s">
        <v>574</v>
      </c>
      <c r="D71" s="913">
        <f>N70</f>
        <v>173089.85</v>
      </c>
      <c r="E71" s="914" t="s">
        <v>575</v>
      </c>
      <c r="F71" s="911"/>
      <c r="G71" s="915" t="str">
        <f>[1]!Arreta(E75)</f>
        <v>مائتين وأربعة عشر ألف ومائتين وسبعة وسبعون دينار جزائري وواحد وخمسون سنتيما</v>
      </c>
      <c r="H71" s="916"/>
      <c r="I71" s="916"/>
      <c r="J71" s="911"/>
      <c r="K71" s="916"/>
      <c r="L71" s="916"/>
      <c r="M71" s="917"/>
      <c r="N71" s="916"/>
      <c r="O71" s="911"/>
      <c r="P71" s="911"/>
      <c r="Q71" s="911"/>
      <c r="R71" s="911"/>
      <c r="S71" s="911"/>
      <c r="T71" s="911"/>
      <c r="U71" s="911"/>
      <c r="V71" s="911"/>
      <c r="W71" s="911"/>
      <c r="X71" s="918"/>
      <c r="Y71" s="909" t="s">
        <v>562</v>
      </c>
      <c r="AD71" s="920"/>
      <c r="AE71" s="921"/>
      <c r="AF71" s="920"/>
      <c r="AG71" s="922"/>
      <c r="AH71" s="920"/>
      <c r="AI71" s="922"/>
      <c r="AJ71" s="920"/>
      <c r="AK71" s="923"/>
      <c r="AM71" s="923"/>
      <c r="AO71" s="923"/>
      <c r="AQ71" s="923"/>
      <c r="AU71" s="924"/>
      <c r="AV71" s="924"/>
    </row>
    <row r="72" spans="1:48" s="919" customFormat="1" ht="67.5" customHeight="1">
      <c r="A72" s="910"/>
      <c r="B72" s="911"/>
      <c r="C72" s="1704" t="s">
        <v>576</v>
      </c>
      <c r="D72" s="1704"/>
      <c r="E72" s="1705">
        <f>ROUND((N70-W70)*23.75%,2)</f>
        <v>39128.269999999997</v>
      </c>
      <c r="F72" s="1705"/>
      <c r="G72" s="925"/>
      <c r="H72" s="916"/>
      <c r="I72" s="916"/>
      <c r="J72" s="911"/>
      <c r="K72" s="916"/>
      <c r="L72" s="916"/>
      <c r="M72" s="917"/>
      <c r="N72" s="916"/>
      <c r="O72" s="911"/>
      <c r="P72" s="911"/>
      <c r="Q72" s="911"/>
      <c r="R72" s="911"/>
      <c r="S72" s="911"/>
      <c r="T72" s="911"/>
      <c r="U72" s="911"/>
      <c r="V72" s="911"/>
      <c r="W72" s="911"/>
      <c r="X72" s="918"/>
      <c r="Y72" s="909" t="s">
        <v>562</v>
      </c>
      <c r="AD72" s="920"/>
      <c r="AE72" s="921"/>
      <c r="AF72" s="920"/>
      <c r="AG72" s="922"/>
      <c r="AH72" s="920"/>
      <c r="AI72" s="922"/>
      <c r="AJ72" s="920"/>
      <c r="AK72" s="923"/>
      <c r="AM72" s="923"/>
      <c r="AO72" s="923"/>
      <c r="AQ72" s="923"/>
      <c r="AU72" s="924"/>
      <c r="AV72" s="924"/>
    </row>
    <row r="73" spans="1:48" s="919" customFormat="1" ht="67.5" customHeight="1">
      <c r="A73" s="910"/>
      <c r="B73" s="911"/>
      <c r="C73" s="1704" t="s">
        <v>577</v>
      </c>
      <c r="D73" s="1704"/>
      <c r="E73" s="1705">
        <f>ROUND((N70-W70)*1%,2)</f>
        <v>1647.51</v>
      </c>
      <c r="F73" s="1705"/>
      <c r="G73" s="925"/>
      <c r="H73" s="916"/>
      <c r="I73" s="916"/>
      <c r="J73" s="911"/>
      <c r="K73" s="916"/>
      <c r="L73" s="916"/>
      <c r="M73" s="917"/>
      <c r="N73" s="916"/>
      <c r="O73" s="911"/>
      <c r="P73" s="911"/>
      <c r="Q73" s="911"/>
      <c r="R73" s="911"/>
      <c r="S73" s="911"/>
      <c r="T73" s="911"/>
      <c r="U73" s="911"/>
      <c r="V73" s="911"/>
      <c r="W73" s="911"/>
      <c r="X73" s="918"/>
      <c r="Y73" s="909" t="s">
        <v>562</v>
      </c>
      <c r="AD73" s="920"/>
      <c r="AE73" s="921"/>
      <c r="AF73" s="920"/>
      <c r="AG73" s="922"/>
      <c r="AH73" s="920"/>
      <c r="AI73" s="922"/>
      <c r="AJ73" s="920"/>
      <c r="AK73" s="923"/>
      <c r="AM73" s="923"/>
      <c r="AO73" s="923"/>
      <c r="AQ73" s="923"/>
      <c r="AU73" s="924"/>
      <c r="AV73" s="924"/>
    </row>
    <row r="74" spans="1:48" s="919" customFormat="1" ht="67.5" customHeight="1" thickBot="1">
      <c r="A74" s="910"/>
      <c r="B74" s="911"/>
      <c r="C74" s="1704" t="s">
        <v>578</v>
      </c>
      <c r="D74" s="1704"/>
      <c r="E74" s="1706">
        <f>ROUND((N70-W70)*0.25%,2)</f>
        <v>411.88</v>
      </c>
      <c r="F74" s="1706"/>
      <c r="G74" s="925"/>
      <c r="H74" s="916"/>
      <c r="I74" s="916"/>
      <c r="J74" s="1341">
        <f>الرئيسية!$N$10</f>
        <v>43617</v>
      </c>
      <c r="K74" s="916"/>
      <c r="L74" s="916"/>
      <c r="M74" s="917"/>
      <c r="N74" s="916"/>
      <c r="O74" s="911"/>
      <c r="P74" s="911"/>
      <c r="Q74" s="911"/>
      <c r="R74" s="911"/>
      <c r="S74" s="911"/>
      <c r="T74" s="911"/>
      <c r="U74" s="911"/>
      <c r="V74" s="911"/>
      <c r="W74" s="911"/>
      <c r="X74" s="918"/>
      <c r="Y74" s="909" t="s">
        <v>562</v>
      </c>
      <c r="AD74" s="920"/>
      <c r="AE74" s="921"/>
      <c r="AF74" s="920"/>
      <c r="AG74" s="922"/>
      <c r="AH74" s="920"/>
      <c r="AI74" s="922"/>
      <c r="AJ74" s="920"/>
      <c r="AK74" s="923"/>
      <c r="AM74" s="923"/>
      <c r="AO74" s="923"/>
      <c r="AQ74" s="923"/>
      <c r="AU74" s="924"/>
      <c r="AV74" s="924"/>
    </row>
    <row r="75" spans="1:48" s="919" customFormat="1" ht="88.5">
      <c r="A75" s="910"/>
      <c r="B75" s="926"/>
      <c r="D75" s="927"/>
      <c r="E75" s="1707">
        <f>E72+E73+E74+D71</f>
        <v>214277.51</v>
      </c>
      <c r="F75" s="1707"/>
      <c r="G75" s="1707"/>
      <c r="H75" s="911"/>
      <c r="I75" s="911"/>
      <c r="J75" s="911"/>
      <c r="K75" s="911"/>
      <c r="L75" s="911"/>
      <c r="M75" s="928"/>
      <c r="N75" s="916"/>
      <c r="O75" s="929"/>
      <c r="P75" s="911"/>
      <c r="Q75" s="911"/>
      <c r="R75" s="911"/>
      <c r="S75" s="911"/>
      <c r="T75" s="930"/>
      <c r="U75" s="911"/>
      <c r="V75" s="911"/>
      <c r="W75" s="911"/>
      <c r="X75" s="918"/>
      <c r="Y75" s="909" t="s">
        <v>562</v>
      </c>
      <c r="AD75" s="920"/>
      <c r="AE75" s="920"/>
      <c r="AF75" s="920"/>
      <c r="AG75" s="922"/>
      <c r="AH75" s="920"/>
      <c r="AI75" s="922"/>
      <c r="AJ75" s="920"/>
      <c r="AK75" s="923"/>
      <c r="AM75" s="923"/>
      <c r="AO75" s="923"/>
      <c r="AQ75" s="923"/>
      <c r="AU75" s="924"/>
      <c r="AV75" s="924"/>
    </row>
  </sheetData>
  <autoFilter ref="Y14:Y75">
    <filterColumn colId="0"/>
  </autoFilter>
  <mergeCells count="52">
    <mergeCell ref="B46:G46"/>
    <mergeCell ref="B13:B14"/>
    <mergeCell ref="C13:C14"/>
    <mergeCell ref="K13:M13"/>
    <mergeCell ref="X13:X14"/>
    <mergeCell ref="B38:G38"/>
    <mergeCell ref="C40:D40"/>
    <mergeCell ref="E40:F40"/>
    <mergeCell ref="C41:D41"/>
    <mergeCell ref="E41:F41"/>
    <mergeCell ref="C42:D42"/>
    <mergeCell ref="E42:F42"/>
    <mergeCell ref="E43:G43"/>
    <mergeCell ref="C48:D48"/>
    <mergeCell ref="E48:F48"/>
    <mergeCell ref="C49:D49"/>
    <mergeCell ref="E49:F49"/>
    <mergeCell ref="C50:D50"/>
    <mergeCell ref="E50:F50"/>
    <mergeCell ref="E51:G51"/>
    <mergeCell ref="B52:G52"/>
    <mergeCell ref="C54:D54"/>
    <mergeCell ref="E54:F54"/>
    <mergeCell ref="C55:D55"/>
    <mergeCell ref="E55:F55"/>
    <mergeCell ref="C56:D56"/>
    <mergeCell ref="E56:F56"/>
    <mergeCell ref="E57:G57"/>
    <mergeCell ref="B58:G58"/>
    <mergeCell ref="C60:D60"/>
    <mergeCell ref="E60:F60"/>
    <mergeCell ref="C61:D61"/>
    <mergeCell ref="E61:F61"/>
    <mergeCell ref="C62:D62"/>
    <mergeCell ref="E62:F62"/>
    <mergeCell ref="E63:G63"/>
    <mergeCell ref="B64:G64"/>
    <mergeCell ref="C66:D66"/>
    <mergeCell ref="E66:F66"/>
    <mergeCell ref="C67:D67"/>
    <mergeCell ref="E67:F67"/>
    <mergeCell ref="C68:D68"/>
    <mergeCell ref="E68:F68"/>
    <mergeCell ref="E69:G69"/>
    <mergeCell ref="B70:G70"/>
    <mergeCell ref="C72:D72"/>
    <mergeCell ref="E72:F72"/>
    <mergeCell ref="C73:D73"/>
    <mergeCell ref="E73:F73"/>
    <mergeCell ref="C74:D74"/>
    <mergeCell ref="E74:F74"/>
    <mergeCell ref="E75:G75"/>
  </mergeCells>
  <dataValidations count="2">
    <dataValidation type="list" allowBlank="1" showInputMessage="1" showErrorMessage="1" error="خطأ........إختر إحدى المقرات الموجودة في القائمة" sqref="Y38:Y43 Y46:Y75">
      <formula1>"الخزينة الولائية,لبنك الوطني الجزائري,بنك الفلاحة و التنمية الريفية,بنك التنمية المحلية,البنك الخارجي الجزائري,الحساب الجاري البريدي,القرض الشعبي الجزائري,الصندوق الوطني للتوفير والإحتياط"</formula1>
    </dataValidation>
    <dataValidation type="list" allowBlank="1" showInputMessage="1" showErrorMessage="1" sqref="J11">
      <formula1>'ورقة العمل'!Y7:Y9</formula1>
    </dataValidation>
  </dataValidations>
  <printOptions horizontalCentered="1"/>
  <pageMargins left="0.39370078740157483" right="0.19685039370078741" top="0.39370078740157483" bottom="0.59055118110236227" header="0" footer="0"/>
  <pageSetup paperSize="12" scale="11" orientation="landscape" horizontalDpi="180" verticalDpi="18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tabColor rgb="FFFFFF00"/>
  </sheetPr>
  <dimension ref="A1:N43"/>
  <sheetViews>
    <sheetView rightToLeft="1" workbookViewId="0"/>
  </sheetViews>
  <sheetFormatPr baseColWidth="10" defaultColWidth="0" defaultRowHeight="12.75" zeroHeight="1"/>
  <cols>
    <col min="1" max="14" width="11.42578125" style="985" customWidth="1"/>
    <col min="15" max="16384" width="11.42578125" style="98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hidden="1"/>
    <row r="40" hidden="1"/>
    <row r="41" hidden="1"/>
    <row r="42" hidden="1"/>
    <row r="43" hidden="1"/>
  </sheetData>
  <pageMargins left="0.7" right="0.7" top="0.75" bottom="0.75" header="0.3" footer="0.3"/>
  <pageSetup paperSize="9" orientation="portrait" horizontalDpi="180" verticalDpi="180" r:id="rId1"/>
  <drawing r:id="rId2"/>
</worksheet>
</file>

<file path=xl/worksheets/sheet20.xml><?xml version="1.0" encoding="utf-8"?>
<worksheet xmlns="http://schemas.openxmlformats.org/spreadsheetml/2006/main" xmlns:r="http://schemas.openxmlformats.org/officeDocument/2006/relationships">
  <sheetPr>
    <tabColor rgb="FF00B0F0"/>
    <pageSetUpPr fitToPage="1"/>
  </sheetPr>
  <dimension ref="B1:AN45"/>
  <sheetViews>
    <sheetView rightToLeft="1" view="pageBreakPreview" topLeftCell="A28" zoomScale="60" workbookViewId="0">
      <selection activeCell="G31" sqref="G31"/>
    </sheetView>
  </sheetViews>
  <sheetFormatPr baseColWidth="10" defaultRowHeight="12.75"/>
  <cols>
    <col min="1" max="1" width="3" style="586" customWidth="1"/>
    <col min="2" max="4" width="25.140625" style="586" customWidth="1"/>
    <col min="5" max="6" width="31.28515625" style="586" customWidth="1"/>
    <col min="7" max="9" width="25.140625" style="586" customWidth="1"/>
    <col min="10" max="10" width="15.140625" style="586" customWidth="1"/>
    <col min="11" max="11" width="3.7109375" style="586" customWidth="1"/>
    <col min="12" max="12" width="23.7109375" style="586" customWidth="1"/>
    <col min="13" max="13" width="33.28515625" style="586" customWidth="1"/>
    <col min="14" max="14" width="11.42578125" style="586"/>
    <col min="15" max="15" width="13.5703125" style="898" customWidth="1"/>
    <col min="16" max="18" width="11.42578125" style="586"/>
    <col min="19" max="19" width="19.28515625" style="586" customWidth="1"/>
    <col min="20" max="20" width="21.5703125" style="586" customWidth="1"/>
    <col min="21" max="21" width="17.42578125" style="586" customWidth="1"/>
    <col min="22" max="22" width="18.28515625" style="586" customWidth="1"/>
    <col min="23" max="23" width="19" style="586" customWidth="1"/>
    <col min="24" max="24" width="15.7109375" style="586" customWidth="1"/>
    <col min="25" max="25" width="15.42578125" style="586" customWidth="1"/>
    <col min="26" max="26" width="18.5703125" style="586" customWidth="1"/>
    <col min="27" max="28" width="20.7109375" style="586" customWidth="1"/>
    <col min="29" max="29" width="22" style="586" bestFit="1" customWidth="1"/>
    <col min="30" max="30" width="18.5703125" style="586" customWidth="1"/>
    <col min="31" max="31" width="22.42578125" style="586" customWidth="1"/>
    <col min="32" max="16384" width="11.42578125" style="586"/>
  </cols>
  <sheetData>
    <row r="1" spans="2:40" s="708" customFormat="1" ht="51">
      <c r="B1" s="826" t="s">
        <v>1</v>
      </c>
      <c r="C1" s="827"/>
      <c r="D1" s="828"/>
      <c r="E1" s="829"/>
      <c r="F1" s="830" t="s">
        <v>47</v>
      </c>
      <c r="G1" s="827"/>
      <c r="H1" s="831" t="s">
        <v>48</v>
      </c>
      <c r="I1" s="832"/>
      <c r="J1" s="827"/>
      <c r="L1" s="833"/>
      <c r="M1" s="935" t="s">
        <v>651</v>
      </c>
      <c r="O1" s="695"/>
      <c r="P1" s="695"/>
      <c r="Q1" s="696"/>
      <c r="R1" s="698"/>
      <c r="S1" s="834"/>
      <c r="T1" s="834"/>
      <c r="U1" s="834"/>
      <c r="V1" s="834"/>
      <c r="W1" s="834"/>
      <c r="X1" s="834"/>
      <c r="Y1" s="834"/>
      <c r="Z1" s="834"/>
      <c r="AA1" s="834"/>
      <c r="AB1" s="834"/>
      <c r="AC1" s="834"/>
      <c r="AD1" s="834"/>
      <c r="AE1" s="834"/>
      <c r="AF1" s="710"/>
      <c r="AH1" s="710"/>
      <c r="AJ1" s="710"/>
      <c r="AL1" s="710"/>
      <c r="AN1" s="710"/>
    </row>
    <row r="2" spans="2:40" s="708" customFormat="1" ht="39" customHeight="1">
      <c r="B2" s="1365" t="s">
        <v>802</v>
      </c>
      <c r="C2" s="827"/>
      <c r="D2" s="827"/>
      <c r="E2" s="831" t="s">
        <v>49</v>
      </c>
      <c r="F2" s="827"/>
      <c r="G2" s="827"/>
      <c r="H2" s="1364" t="s">
        <v>801</v>
      </c>
      <c r="I2" s="832"/>
      <c r="J2" s="827"/>
      <c r="M2" s="1290">
        <f>F20-E34</f>
        <v>149788.62</v>
      </c>
      <c r="O2" s="695"/>
      <c r="P2" s="695"/>
      <c r="Q2" s="696"/>
      <c r="R2" s="698"/>
      <c r="S2" s="834"/>
      <c r="T2" s="834"/>
      <c r="U2" s="834"/>
      <c r="V2" s="834"/>
      <c r="W2" s="834"/>
      <c r="X2" s="834"/>
      <c r="Y2" s="834"/>
      <c r="Z2" s="834"/>
      <c r="AA2" s="834"/>
      <c r="AB2" s="834"/>
      <c r="AC2" s="834"/>
      <c r="AD2" s="834"/>
      <c r="AE2" s="834"/>
      <c r="AF2" s="710"/>
      <c r="AH2" s="710"/>
      <c r="AJ2" s="710"/>
      <c r="AL2" s="710"/>
      <c r="AN2" s="710"/>
    </row>
    <row r="3" spans="2:40" s="708" customFormat="1" ht="39" customHeight="1">
      <c r="B3" s="1366" t="s">
        <v>803</v>
      </c>
      <c r="C3" s="827"/>
      <c r="D3" s="827"/>
      <c r="E3" s="831" t="s">
        <v>50</v>
      </c>
      <c r="F3" s="827"/>
      <c r="G3" s="827"/>
      <c r="H3" s="1364" t="s">
        <v>800</v>
      </c>
      <c r="I3" s="832"/>
      <c r="J3" s="827"/>
      <c r="M3" s="1290">
        <f>F35-M2</f>
        <v>0</v>
      </c>
      <c r="O3" s="695"/>
      <c r="P3" s="695"/>
      <c r="Q3" s="696"/>
      <c r="R3" s="698"/>
      <c r="S3" s="834"/>
      <c r="T3" s="834"/>
      <c r="U3" s="834"/>
      <c r="V3" s="834"/>
      <c r="W3" s="834"/>
      <c r="X3" s="834"/>
      <c r="Y3" s="834"/>
      <c r="Z3" s="834"/>
      <c r="AA3" s="834"/>
      <c r="AB3" s="834"/>
      <c r="AC3" s="834"/>
      <c r="AD3" s="834"/>
      <c r="AE3" s="834"/>
      <c r="AF3" s="710"/>
      <c r="AH3" s="710"/>
      <c r="AJ3" s="710"/>
      <c r="AL3" s="710"/>
      <c r="AN3" s="710"/>
    </row>
    <row r="4" spans="2:40" s="708" customFormat="1" ht="42.75">
      <c r="B4" s="836"/>
      <c r="C4" s="827"/>
      <c r="D4" s="827"/>
      <c r="E4" s="716"/>
      <c r="F4" s="827"/>
      <c r="G4" s="827"/>
      <c r="H4" s="837" t="s">
        <v>52</v>
      </c>
      <c r="I4" s="838"/>
      <c r="J4" s="827"/>
      <c r="O4" s="695"/>
      <c r="P4" s="695"/>
      <c r="Q4" s="696"/>
      <c r="R4" s="698"/>
      <c r="S4" s="834"/>
      <c r="T4" s="834"/>
      <c r="U4" s="834"/>
      <c r="V4" s="834"/>
      <c r="W4" s="834"/>
      <c r="X4" s="834"/>
      <c r="Y4" s="834"/>
      <c r="Z4" s="834"/>
      <c r="AA4" s="834"/>
      <c r="AB4" s="834"/>
      <c r="AC4" s="834"/>
      <c r="AD4" s="834"/>
      <c r="AE4" s="834"/>
      <c r="AF4" s="710"/>
      <c r="AH4" s="710"/>
      <c r="AJ4" s="710"/>
      <c r="AL4" s="710"/>
      <c r="AN4" s="710"/>
    </row>
    <row r="5" spans="2:40" s="708" customFormat="1" ht="42.75">
      <c r="B5" s="931" t="s">
        <v>644</v>
      </c>
      <c r="C5" s="1289">
        <v>75</v>
      </c>
      <c r="D5" s="716"/>
      <c r="E5" s="1733" t="str">
        <f>CONCATENATE("لشهـــــر :"," ",الرئيسية!N8)</f>
        <v>لشهـــــر : جوان</v>
      </c>
      <c r="F5" s="1733"/>
      <c r="G5" s="827"/>
      <c r="H5" s="827"/>
      <c r="I5" s="832"/>
      <c r="J5" s="827"/>
      <c r="O5" s="695"/>
      <c r="P5" s="695"/>
      <c r="Q5" s="696"/>
      <c r="R5" s="698"/>
      <c r="S5" s="834"/>
      <c r="T5" s="834"/>
      <c r="U5" s="834"/>
      <c r="V5" s="834"/>
      <c r="W5" s="834"/>
      <c r="X5" s="834"/>
      <c r="Y5" s="834"/>
      <c r="Z5" s="834"/>
      <c r="AA5" s="834"/>
      <c r="AB5" s="834"/>
      <c r="AC5" s="834"/>
      <c r="AD5" s="834"/>
      <c r="AE5" s="834"/>
      <c r="AF5" s="710"/>
      <c r="AH5" s="710"/>
      <c r="AJ5" s="710"/>
      <c r="AL5" s="710"/>
      <c r="AN5" s="710"/>
    </row>
    <row r="6" spans="2:40" s="708" customFormat="1" ht="42.75">
      <c r="B6" s="835"/>
      <c r="C6" s="839"/>
      <c r="D6" s="716"/>
      <c r="E6" s="840"/>
      <c r="F6" s="840"/>
      <c r="G6" s="827"/>
      <c r="H6" s="827"/>
      <c r="I6" s="832"/>
      <c r="J6" s="827"/>
      <c r="O6" s="695"/>
      <c r="P6" s="695"/>
      <c r="Q6" s="696"/>
      <c r="R6" s="698"/>
      <c r="S6" s="834"/>
      <c r="T6" s="834"/>
      <c r="U6" s="841"/>
      <c r="V6" s="834"/>
      <c r="W6" s="834"/>
      <c r="X6" s="834"/>
      <c r="Y6" s="834"/>
      <c r="Z6" s="834"/>
      <c r="AA6" s="842"/>
      <c r="AB6" s="842"/>
      <c r="AD6" s="710"/>
      <c r="AE6" s="843"/>
      <c r="AF6" s="710"/>
      <c r="AH6" s="710"/>
      <c r="AJ6" s="710"/>
      <c r="AL6" s="710"/>
      <c r="AN6" s="710"/>
    </row>
    <row r="7" spans="2:40" s="708" customFormat="1" ht="36.75" customHeight="1">
      <c r="B7" s="844"/>
      <c r="C7" s="827"/>
      <c r="D7" s="845"/>
      <c r="E7" s="1364" t="str">
        <f ca="1">CONCATENATE("تسييــــر : "," ",YEAR(TODAY())," ","فصل  : 22222222222")</f>
        <v>تسييــــر :  2019 فصل  : 22222222222</v>
      </c>
      <c r="F7" s="827"/>
      <c r="G7" s="827"/>
      <c r="H7" s="836"/>
      <c r="I7" s="836"/>
      <c r="J7" s="827"/>
      <c r="S7" s="717"/>
      <c r="U7" s="778"/>
      <c r="V7" s="843"/>
      <c r="AA7" s="710"/>
      <c r="AB7" s="710"/>
      <c r="AD7" s="710"/>
      <c r="AE7" s="843"/>
      <c r="AF7" s="710"/>
      <c r="AH7" s="710"/>
      <c r="AJ7" s="710"/>
      <c r="AL7" s="710"/>
      <c r="AN7" s="710"/>
    </row>
    <row r="8" spans="2:40" s="708" customFormat="1" ht="36.75" customHeight="1">
      <c r="B8" s="844"/>
      <c r="C8" s="827"/>
      <c r="D8" s="845"/>
      <c r="E8" s="835"/>
      <c r="F8" s="827"/>
      <c r="G8" s="827"/>
      <c r="H8" s="836"/>
      <c r="I8" s="836"/>
      <c r="J8" s="827"/>
      <c r="S8" s="717"/>
      <c r="U8" s="778"/>
      <c r="AA8" s="710"/>
      <c r="AB8" s="710"/>
      <c r="AD8" s="710"/>
      <c r="AE8" s="843"/>
      <c r="AF8" s="710"/>
      <c r="AH8" s="710"/>
      <c r="AJ8" s="710"/>
      <c r="AL8" s="710"/>
      <c r="AN8" s="710"/>
    </row>
    <row r="9" spans="2:40" s="708" customFormat="1" ht="36.75" customHeight="1">
      <c r="B9" s="835"/>
      <c r="C9" s="827"/>
      <c r="D9" s="845"/>
      <c r="E9" s="846" t="s">
        <v>53</v>
      </c>
      <c r="F9" s="932" t="str">
        <f>LOOKUP(C5,'ورقة العمل'!Y:Y,'ورقة العمل'!X:X)</f>
        <v>بنك التنمية المحلية</v>
      </c>
      <c r="G9" s="827"/>
      <c r="H9" s="827"/>
      <c r="I9" s="827"/>
      <c r="J9" s="827"/>
      <c r="S9" s="717"/>
      <c r="U9" s="778"/>
      <c r="AA9" s="710"/>
      <c r="AB9" s="710"/>
      <c r="AD9" s="710"/>
      <c r="AE9" s="843"/>
      <c r="AF9" s="710"/>
      <c r="AH9" s="710"/>
      <c r="AJ9" s="710"/>
      <c r="AL9" s="710"/>
      <c r="AN9" s="710"/>
    </row>
    <row r="10" spans="2:40" s="708" customFormat="1" ht="36.75" customHeight="1">
      <c r="B10" s="835"/>
      <c r="C10" s="827"/>
      <c r="D10" s="845"/>
      <c r="E10" s="846"/>
      <c r="F10" s="847"/>
      <c r="G10" s="827"/>
      <c r="H10" s="827"/>
      <c r="I10" s="827"/>
      <c r="J10" s="827"/>
      <c r="S10" s="717"/>
      <c r="U10" s="778"/>
      <c r="AA10" s="710"/>
      <c r="AB10" s="710"/>
      <c r="AD10" s="710"/>
      <c r="AF10" s="710"/>
      <c r="AH10" s="710"/>
      <c r="AJ10" s="710"/>
      <c r="AL10" s="710"/>
      <c r="AN10" s="710"/>
    </row>
    <row r="11" spans="2:40" s="708" customFormat="1" ht="36.75" customHeight="1">
      <c r="B11" s="827"/>
      <c r="C11" s="827"/>
      <c r="D11" s="845"/>
      <c r="E11" s="1364" t="s">
        <v>804</v>
      </c>
      <c r="F11" s="827"/>
      <c r="G11" s="827"/>
      <c r="H11" s="827"/>
      <c r="I11" s="827"/>
      <c r="J11" s="832" t="s">
        <v>54</v>
      </c>
      <c r="S11" s="717"/>
      <c r="U11" s="778"/>
      <c r="AA11" s="710"/>
      <c r="AB11" s="710"/>
      <c r="AD11" s="710"/>
      <c r="AF11" s="710"/>
      <c r="AH11" s="710"/>
      <c r="AJ11" s="710"/>
      <c r="AL11" s="710"/>
      <c r="AN11" s="710"/>
    </row>
    <row r="12" spans="2:40" s="708" customFormat="1" ht="36.75" customHeight="1">
      <c r="B12" s="827"/>
      <c r="C12" s="827"/>
      <c r="D12" s="845"/>
      <c r="E12" s="835"/>
      <c r="F12" s="827"/>
      <c r="G12" s="827"/>
      <c r="H12" s="827"/>
      <c r="I12" s="827"/>
      <c r="J12" s="832"/>
      <c r="S12" s="717"/>
      <c r="U12" s="778"/>
      <c r="AA12" s="710"/>
      <c r="AB12" s="710"/>
      <c r="AD12" s="710"/>
      <c r="AF12" s="710"/>
      <c r="AH12" s="710"/>
      <c r="AJ12" s="710"/>
      <c r="AL12" s="710"/>
      <c r="AN12" s="710"/>
    </row>
    <row r="13" spans="2:40" s="708" customFormat="1" ht="38.25" customHeight="1">
      <c r="B13" s="827"/>
      <c r="C13" s="827"/>
      <c r="D13" s="836"/>
      <c r="E13" s="827"/>
      <c r="F13" s="827"/>
      <c r="G13" s="827"/>
      <c r="H13" s="827"/>
      <c r="I13" s="827"/>
      <c r="J13" s="827"/>
      <c r="S13" s="717"/>
      <c r="U13" s="778"/>
      <c r="AA13" s="710"/>
      <c r="AB13" s="710"/>
      <c r="AD13" s="710"/>
      <c r="AF13" s="710"/>
      <c r="AH13" s="710"/>
      <c r="AJ13" s="710"/>
      <c r="AL13" s="710"/>
      <c r="AN13" s="710"/>
    </row>
    <row r="14" spans="2:40" s="708" customFormat="1" ht="23.25">
      <c r="B14" s="848"/>
      <c r="C14" s="849"/>
      <c r="D14" s="849"/>
      <c r="E14" s="850"/>
      <c r="F14" s="851"/>
      <c r="G14" s="849"/>
      <c r="H14" s="849"/>
      <c r="I14" s="849"/>
      <c r="J14" s="852"/>
      <c r="S14" s="717"/>
      <c r="U14" s="778"/>
      <c r="AA14" s="710"/>
      <c r="AB14" s="710"/>
      <c r="AD14" s="710"/>
      <c r="AF14" s="710"/>
      <c r="AH14" s="710"/>
      <c r="AJ14" s="710"/>
      <c r="AL14" s="710"/>
      <c r="AN14" s="710"/>
    </row>
    <row r="15" spans="2:40" s="708" customFormat="1" ht="45" customHeight="1">
      <c r="B15" s="853" t="s">
        <v>636</v>
      </c>
      <c r="C15" s="854"/>
      <c r="D15" s="855"/>
      <c r="E15" s="933">
        <f>VLOOKUP(C5,TABMAND,S2+13,FALSE)</f>
        <v>239994.16</v>
      </c>
      <c r="F15" s="857"/>
      <c r="G15" s="858"/>
      <c r="H15" s="858"/>
      <c r="I15" s="858"/>
      <c r="J15" s="859"/>
      <c r="O15" s="825"/>
      <c r="S15" s="717"/>
      <c r="U15" s="778"/>
      <c r="AA15" s="710"/>
      <c r="AB15" s="710"/>
      <c r="AD15" s="710"/>
      <c r="AF15" s="710"/>
      <c r="AH15" s="710"/>
      <c r="AJ15" s="710"/>
      <c r="AL15" s="710"/>
      <c r="AN15" s="710"/>
    </row>
    <row r="16" spans="2:40" s="708" customFormat="1" ht="45" customHeight="1">
      <c r="B16" s="853"/>
      <c r="C16" s="854"/>
      <c r="D16" s="855"/>
      <c r="E16" s="856"/>
      <c r="F16" s="857"/>
      <c r="G16" s="858"/>
      <c r="H16" s="858"/>
      <c r="I16" s="858"/>
      <c r="J16" s="859"/>
      <c r="O16" s="825"/>
      <c r="S16" s="717"/>
      <c r="U16" s="778"/>
      <c r="AA16" s="710"/>
      <c r="AB16" s="710"/>
      <c r="AD16" s="710"/>
      <c r="AF16" s="710"/>
      <c r="AH16" s="710"/>
      <c r="AJ16" s="710"/>
      <c r="AL16" s="710"/>
      <c r="AN16" s="710"/>
    </row>
    <row r="17" spans="2:40" s="708" customFormat="1" ht="45" customHeight="1">
      <c r="B17" s="853"/>
      <c r="C17" s="855"/>
      <c r="D17" s="855"/>
      <c r="E17" s="856"/>
      <c r="F17" s="857"/>
      <c r="G17" s="858"/>
      <c r="H17" s="858"/>
      <c r="I17" s="858"/>
      <c r="J17" s="859"/>
      <c r="O17" s="825"/>
      <c r="S17" s="717"/>
      <c r="U17" s="778"/>
      <c r="AA17" s="710"/>
      <c r="AB17" s="710"/>
      <c r="AD17" s="710"/>
      <c r="AF17" s="710"/>
      <c r="AH17" s="710"/>
      <c r="AJ17" s="710"/>
      <c r="AL17" s="710"/>
      <c r="AN17" s="710"/>
    </row>
    <row r="18" spans="2:40" s="708" customFormat="1" ht="45" customHeight="1">
      <c r="B18" s="853"/>
      <c r="C18" s="855"/>
      <c r="D18" s="855"/>
      <c r="E18" s="860"/>
      <c r="F18" s="857"/>
      <c r="G18" s="858"/>
      <c r="H18" s="858"/>
      <c r="I18" s="858"/>
      <c r="J18" s="859"/>
      <c r="O18" s="825"/>
      <c r="S18" s="717"/>
      <c r="U18" s="778"/>
      <c r="AA18" s="710"/>
      <c r="AB18" s="710"/>
      <c r="AD18" s="710"/>
      <c r="AF18" s="710"/>
      <c r="AH18" s="710"/>
      <c r="AJ18" s="710"/>
      <c r="AL18" s="710"/>
      <c r="AN18" s="710"/>
    </row>
    <row r="19" spans="2:40" s="708" customFormat="1" ht="48" customHeight="1">
      <c r="B19" s="861"/>
      <c r="C19" s="858"/>
      <c r="D19" s="858"/>
      <c r="E19" s="860"/>
      <c r="F19" s="857"/>
      <c r="G19" s="858"/>
      <c r="H19" s="858"/>
      <c r="I19" s="858"/>
      <c r="J19" s="859"/>
      <c r="O19" s="825"/>
      <c r="S19" s="717"/>
      <c r="U19" s="778"/>
      <c r="AA19" s="710"/>
      <c r="AB19" s="710"/>
      <c r="AD19" s="710"/>
      <c r="AF19" s="710"/>
      <c r="AH19" s="710"/>
      <c r="AJ19" s="710"/>
      <c r="AL19" s="710"/>
      <c r="AN19" s="710"/>
    </row>
    <row r="20" spans="2:40" s="708" customFormat="1" ht="40.5" customHeight="1">
      <c r="B20" s="861"/>
      <c r="C20" s="862" t="s">
        <v>59</v>
      </c>
      <c r="D20" s="858"/>
      <c r="E20" s="860"/>
      <c r="F20" s="863">
        <f>E15</f>
        <v>239994.16</v>
      </c>
      <c r="G20" s="858"/>
      <c r="H20" s="858"/>
      <c r="I20" s="858"/>
      <c r="J20" s="859"/>
      <c r="O20" s="825"/>
      <c r="S20" s="717"/>
      <c r="U20" s="778"/>
      <c r="AA20" s="710"/>
      <c r="AB20" s="710"/>
      <c r="AD20" s="710"/>
      <c r="AF20" s="710"/>
      <c r="AH20" s="710"/>
      <c r="AJ20" s="710"/>
      <c r="AL20" s="710"/>
      <c r="AN20" s="710"/>
    </row>
    <row r="21" spans="2:40" s="708" customFormat="1" ht="85.5" customHeight="1">
      <c r="B21" s="864"/>
      <c r="C21" s="858"/>
      <c r="D21" s="858"/>
      <c r="E21" s="860"/>
      <c r="F21" s="865"/>
      <c r="G21" s="858"/>
      <c r="H21" s="858"/>
      <c r="I21" s="858"/>
      <c r="J21" s="859"/>
      <c r="O21" s="825"/>
      <c r="S21" s="717"/>
      <c r="U21" s="778"/>
      <c r="AA21" s="710"/>
      <c r="AB21" s="710"/>
      <c r="AD21" s="710"/>
      <c r="AF21" s="710"/>
      <c r="AH21" s="710"/>
      <c r="AJ21" s="710"/>
      <c r="AL21" s="710"/>
      <c r="AN21" s="710"/>
    </row>
    <row r="22" spans="2:40" s="708" customFormat="1" ht="50.25" customHeight="1">
      <c r="B22" s="861"/>
      <c r="C22" s="866"/>
      <c r="D22" s="858"/>
      <c r="E22" s="860"/>
      <c r="F22" s="865"/>
      <c r="G22" s="1734" t="str">
        <f ca="1">CONCATENATE('ETAT-PAY-VACT'!E10," ","للموظفين المتعاقدين المستخدمين بالتوقيت"," ","الكامــل")</f>
        <v>أجـــرة شهـــر جوان 2019 للموظفين المتعاقدين المستخدمين بالتوقيت الكامــل</v>
      </c>
      <c r="H22" s="1735"/>
      <c r="I22" s="1735"/>
      <c r="J22" s="1736"/>
      <c r="O22" s="825"/>
      <c r="S22" s="717"/>
      <c r="U22" s="778"/>
      <c r="AA22" s="710"/>
      <c r="AB22" s="710"/>
      <c r="AD22" s="710"/>
      <c r="AF22" s="710"/>
      <c r="AH22" s="710"/>
      <c r="AJ22" s="710"/>
      <c r="AL22" s="710"/>
      <c r="AN22" s="710"/>
    </row>
    <row r="23" spans="2:40" s="708" customFormat="1" ht="48.75" customHeight="1">
      <c r="B23" s="864"/>
      <c r="C23" s="867" t="s">
        <v>60</v>
      </c>
      <c r="D23" s="858"/>
      <c r="E23" s="860"/>
      <c r="F23" s="865"/>
      <c r="G23" s="1734"/>
      <c r="H23" s="1735"/>
      <c r="I23" s="1735"/>
      <c r="J23" s="1736"/>
      <c r="O23" s="825"/>
      <c r="S23" s="717"/>
      <c r="U23" s="778"/>
      <c r="AA23" s="710"/>
      <c r="AB23" s="710"/>
      <c r="AD23" s="710"/>
      <c r="AF23" s="710"/>
      <c r="AH23" s="710"/>
      <c r="AJ23" s="710"/>
      <c r="AL23" s="710"/>
      <c r="AN23" s="710"/>
    </row>
    <row r="24" spans="2:40" s="708" customFormat="1" ht="43.5" customHeight="1">
      <c r="B24" s="864"/>
      <c r="C24" s="858"/>
      <c r="D24" s="868" t="s">
        <v>70</v>
      </c>
      <c r="E24" s="860"/>
      <c r="F24" s="865"/>
      <c r="G24" s="1734"/>
      <c r="H24" s="1735"/>
      <c r="I24" s="1735"/>
      <c r="J24" s="1736"/>
      <c r="O24" s="825"/>
      <c r="S24" s="717"/>
      <c r="U24" s="778"/>
      <c r="AA24" s="710"/>
      <c r="AB24" s="710"/>
      <c r="AD24" s="710"/>
      <c r="AF24" s="710"/>
      <c r="AH24" s="710"/>
      <c r="AJ24" s="710"/>
      <c r="AL24" s="710"/>
      <c r="AN24" s="710"/>
    </row>
    <row r="25" spans="2:40" s="708" customFormat="1" ht="43.5" customHeight="1">
      <c r="B25" s="869" t="s">
        <v>61</v>
      </c>
      <c r="C25" s="858"/>
      <c r="D25" s="858"/>
      <c r="E25" s="870">
        <f>VLOOKUP(C5,TABMAND,S2+14,FALSE)</f>
        <v>62487.57</v>
      </c>
      <c r="F25" s="865"/>
      <c r="G25" s="871"/>
      <c r="H25" s="872"/>
      <c r="J25" s="859"/>
      <c r="O25" s="825"/>
      <c r="S25" s="717"/>
      <c r="U25" s="778"/>
      <c r="AA25" s="710"/>
      <c r="AB25" s="710"/>
      <c r="AD25" s="710"/>
      <c r="AF25" s="710"/>
      <c r="AH25" s="710"/>
      <c r="AJ25" s="710"/>
      <c r="AL25" s="710"/>
      <c r="AN25" s="710"/>
    </row>
    <row r="26" spans="2:40" s="708" customFormat="1" ht="43.5" customHeight="1">
      <c r="B26" s="864"/>
      <c r="C26" s="873" t="s">
        <v>67</v>
      </c>
      <c r="D26" s="854"/>
      <c r="E26" s="870"/>
      <c r="F26" s="865"/>
      <c r="G26" s="858"/>
      <c r="H26" s="858"/>
      <c r="I26" s="858"/>
      <c r="J26" s="859"/>
      <c r="O26" s="825"/>
      <c r="S26" s="717"/>
      <c r="U26" s="778"/>
      <c r="AA26" s="710"/>
      <c r="AB26" s="710"/>
      <c r="AD26" s="710"/>
      <c r="AF26" s="710"/>
      <c r="AH26" s="710"/>
      <c r="AJ26" s="710"/>
      <c r="AL26" s="710"/>
      <c r="AN26" s="710"/>
    </row>
    <row r="27" spans="2:40" s="708" customFormat="1" ht="43.5" customHeight="1">
      <c r="B27" s="861"/>
      <c r="C27" s="862" t="s">
        <v>68</v>
      </c>
      <c r="D27" s="858"/>
      <c r="E27" s="870">
        <f>VLOOKUP(C5,TABMAND,S2+6,FALSE)</f>
        <v>17159.990000000002</v>
      </c>
      <c r="F27" s="865"/>
      <c r="G27" s="858"/>
      <c r="H27" s="858"/>
      <c r="I27" s="858"/>
      <c r="J27" s="859"/>
      <c r="O27" s="825"/>
      <c r="S27" s="717"/>
      <c r="U27" s="778"/>
      <c r="AA27" s="710"/>
      <c r="AB27" s="710"/>
      <c r="AD27" s="710"/>
      <c r="AF27" s="710"/>
      <c r="AH27" s="710"/>
      <c r="AJ27" s="710"/>
      <c r="AL27" s="710"/>
      <c r="AN27" s="710"/>
    </row>
    <row r="28" spans="2:40" s="708" customFormat="1" ht="43.5" customHeight="1">
      <c r="B28" s="861"/>
      <c r="C28" s="862" t="s">
        <v>69</v>
      </c>
      <c r="D28" s="858"/>
      <c r="E28" s="870">
        <v>0</v>
      </c>
      <c r="F28" s="865"/>
      <c r="G28" s="858"/>
      <c r="H28" s="858"/>
      <c r="I28" s="858"/>
      <c r="J28" s="859"/>
      <c r="O28" s="825"/>
      <c r="S28" s="717"/>
      <c r="U28" s="778"/>
      <c r="AA28" s="710"/>
      <c r="AB28" s="710"/>
      <c r="AD28" s="710"/>
      <c r="AF28" s="710"/>
      <c r="AH28" s="710"/>
      <c r="AJ28" s="710"/>
      <c r="AL28" s="710"/>
      <c r="AN28" s="710"/>
    </row>
    <row r="29" spans="2:40" s="708" customFormat="1" ht="43.5" customHeight="1">
      <c r="B29" s="861"/>
      <c r="C29" s="862" t="s">
        <v>71</v>
      </c>
      <c r="D29" s="858"/>
      <c r="E29" s="870">
        <v>0</v>
      </c>
      <c r="F29" s="865"/>
      <c r="G29" s="874"/>
      <c r="H29" s="875"/>
      <c r="I29" s="875"/>
      <c r="J29" s="876"/>
      <c r="O29" s="825"/>
      <c r="S29" s="717"/>
      <c r="U29" s="778"/>
      <c r="AA29" s="710"/>
      <c r="AB29" s="710"/>
      <c r="AD29" s="710"/>
      <c r="AF29" s="710"/>
      <c r="AH29" s="710"/>
      <c r="AJ29" s="710"/>
      <c r="AL29" s="710"/>
      <c r="AN29" s="710"/>
    </row>
    <row r="30" spans="2:40" s="708" customFormat="1" ht="43.5" customHeight="1">
      <c r="B30" s="861"/>
      <c r="C30" s="862" t="s">
        <v>72</v>
      </c>
      <c r="D30" s="858"/>
      <c r="E30" s="870">
        <f>VLOOKUP(C5,TABMAND,S2+10,FALSE)</f>
        <v>0</v>
      </c>
      <c r="F30" s="865"/>
      <c r="G30" s="858"/>
      <c r="H30" s="858"/>
      <c r="I30" s="858"/>
      <c r="J30" s="859"/>
      <c r="O30" s="825"/>
      <c r="S30" s="717"/>
      <c r="U30" s="778"/>
      <c r="AA30" s="710"/>
      <c r="AB30" s="710"/>
      <c r="AD30" s="710"/>
      <c r="AF30" s="710"/>
      <c r="AH30" s="710"/>
      <c r="AJ30" s="710"/>
      <c r="AL30" s="710"/>
      <c r="AN30" s="710"/>
    </row>
    <row r="31" spans="2:40" s="708" customFormat="1" ht="43.5" customHeight="1">
      <c r="B31" s="861"/>
      <c r="C31" s="862" t="s">
        <v>73</v>
      </c>
      <c r="D31" s="858"/>
      <c r="E31" s="870">
        <f>VLOOKUP(C5,TABMAND,S2+7,FALSE)</f>
        <v>5930.8</v>
      </c>
      <c r="F31" s="865"/>
      <c r="G31" s="877" t="s">
        <v>62</v>
      </c>
      <c r="H31" s="878"/>
      <c r="I31" s="878"/>
      <c r="J31" s="879"/>
      <c r="O31" s="825"/>
      <c r="S31" s="717"/>
      <c r="U31" s="778"/>
      <c r="AA31" s="710"/>
      <c r="AB31" s="710"/>
      <c r="AD31" s="710"/>
      <c r="AF31" s="710"/>
      <c r="AH31" s="710"/>
      <c r="AJ31" s="710"/>
      <c r="AL31" s="710"/>
      <c r="AN31" s="710"/>
    </row>
    <row r="32" spans="2:40" s="708" customFormat="1" ht="43.5" customHeight="1">
      <c r="B32" s="861"/>
      <c r="C32" s="880" t="s">
        <v>74</v>
      </c>
      <c r="D32" s="858"/>
      <c r="E32" s="870">
        <f>VLOOKUP(C5,TABMAND,S2+11,FALSE)</f>
        <v>4627.18</v>
      </c>
      <c r="F32" s="865"/>
      <c r="G32" s="874"/>
      <c r="H32" s="875"/>
      <c r="I32" s="875"/>
      <c r="J32" s="876"/>
      <c r="O32" s="825"/>
      <c r="S32" s="717"/>
      <c r="U32" s="778"/>
      <c r="AA32" s="710"/>
      <c r="AB32" s="710"/>
      <c r="AD32" s="710"/>
      <c r="AF32" s="710"/>
      <c r="AH32" s="710"/>
      <c r="AJ32" s="710"/>
      <c r="AL32" s="710"/>
      <c r="AN32" s="710"/>
    </row>
    <row r="33" spans="2:40" s="708" customFormat="1" ht="42.75" customHeight="1">
      <c r="B33" s="861"/>
      <c r="C33" s="862" t="s">
        <v>637</v>
      </c>
      <c r="D33" s="858"/>
      <c r="E33" s="870">
        <v>0</v>
      </c>
      <c r="F33" s="865"/>
      <c r="G33" s="881"/>
      <c r="H33" s="866" t="s">
        <v>77</v>
      </c>
      <c r="I33" s="858"/>
      <c r="J33" s="859"/>
      <c r="O33" s="825"/>
      <c r="S33" s="717"/>
      <c r="U33" s="778"/>
      <c r="AA33" s="710"/>
      <c r="AB33" s="710"/>
      <c r="AD33" s="710"/>
      <c r="AF33" s="710"/>
      <c r="AH33" s="710"/>
      <c r="AJ33" s="710"/>
      <c r="AL33" s="710"/>
      <c r="AN33" s="710"/>
    </row>
    <row r="34" spans="2:40" s="708" customFormat="1" ht="42.75" customHeight="1">
      <c r="B34" s="861"/>
      <c r="C34" s="862" t="s">
        <v>75</v>
      </c>
      <c r="D34" s="858"/>
      <c r="E34" s="882">
        <f>SUM(E25:E33)</f>
        <v>90205.54</v>
      </c>
      <c r="F34" s="865"/>
      <c r="G34" s="858"/>
      <c r="H34" s="866" t="s">
        <v>78</v>
      </c>
      <c r="I34" s="858"/>
      <c r="J34" s="859"/>
      <c r="M34" s="883"/>
      <c r="N34" s="883"/>
      <c r="O34" s="884"/>
      <c r="S34" s="717"/>
      <c r="U34" s="778"/>
      <c r="AA34" s="710"/>
      <c r="AB34" s="710"/>
      <c r="AD34" s="710"/>
      <c r="AF34" s="710"/>
      <c r="AH34" s="710"/>
      <c r="AJ34" s="710"/>
      <c r="AL34" s="710"/>
      <c r="AN34" s="710"/>
    </row>
    <row r="35" spans="2:40" s="708" customFormat="1" ht="42.75" customHeight="1">
      <c r="B35" s="864"/>
      <c r="C35" s="862" t="s">
        <v>76</v>
      </c>
      <c r="D35" s="858"/>
      <c r="E35" s="885"/>
      <c r="F35" s="886">
        <f>SUM(F20-E34)</f>
        <v>149788.62</v>
      </c>
      <c r="G35" s="858"/>
      <c r="H35" s="866" t="s">
        <v>79</v>
      </c>
      <c r="I35" s="858"/>
      <c r="J35" s="859"/>
      <c r="M35" s="883"/>
      <c r="N35" s="883"/>
      <c r="O35" s="884"/>
      <c r="S35" s="717"/>
      <c r="U35" s="778"/>
      <c r="AA35" s="710"/>
      <c r="AB35" s="710"/>
      <c r="AD35" s="710"/>
      <c r="AF35" s="710"/>
      <c r="AH35" s="710"/>
      <c r="AJ35" s="710"/>
      <c r="AL35" s="710"/>
      <c r="AN35" s="710"/>
    </row>
    <row r="36" spans="2:40" s="708" customFormat="1" ht="33" customHeight="1">
      <c r="B36" s="864"/>
      <c r="C36" s="858"/>
      <c r="D36" s="858"/>
      <c r="E36" s="885"/>
      <c r="F36" s="857"/>
      <c r="G36" s="858"/>
      <c r="H36" s="866" t="s">
        <v>63</v>
      </c>
      <c r="I36" s="858"/>
      <c r="J36" s="859"/>
      <c r="O36" s="825"/>
      <c r="S36" s="717"/>
      <c r="U36" s="778"/>
      <c r="AA36" s="710"/>
      <c r="AB36" s="710"/>
      <c r="AD36" s="710"/>
      <c r="AF36" s="710"/>
      <c r="AH36" s="710"/>
      <c r="AJ36" s="710"/>
      <c r="AL36" s="710"/>
      <c r="AN36" s="710"/>
    </row>
    <row r="37" spans="2:40" s="708" customFormat="1" ht="33" customHeight="1">
      <c r="B37" s="864"/>
      <c r="C37" s="858"/>
      <c r="D37" s="858"/>
      <c r="E37" s="885"/>
      <c r="F37" s="857"/>
      <c r="G37" s="858"/>
      <c r="H37" s="866" t="s">
        <v>64</v>
      </c>
      <c r="I37" s="858"/>
      <c r="J37" s="859"/>
      <c r="O37" s="825"/>
      <c r="S37" s="717"/>
      <c r="U37" s="778"/>
      <c r="AA37" s="710"/>
      <c r="AB37" s="710"/>
      <c r="AD37" s="710"/>
      <c r="AF37" s="710"/>
      <c r="AH37" s="710"/>
      <c r="AJ37" s="710"/>
      <c r="AL37" s="710"/>
      <c r="AN37" s="710"/>
    </row>
    <row r="38" spans="2:40" s="708" customFormat="1" ht="33" customHeight="1">
      <c r="B38" s="864"/>
      <c r="C38" s="858"/>
      <c r="D38" s="858"/>
      <c r="E38" s="885"/>
      <c r="F38" s="857"/>
      <c r="G38" s="858"/>
      <c r="H38" s="866"/>
      <c r="I38" s="858"/>
      <c r="J38" s="859"/>
      <c r="O38" s="825"/>
      <c r="S38" s="717"/>
      <c r="U38" s="778"/>
      <c r="AA38" s="710"/>
      <c r="AB38" s="710"/>
      <c r="AD38" s="710"/>
      <c r="AF38" s="710"/>
      <c r="AH38" s="710"/>
      <c r="AJ38" s="710"/>
      <c r="AL38" s="710"/>
      <c r="AN38" s="710"/>
    </row>
    <row r="39" spans="2:40" s="708" customFormat="1" ht="45.75" customHeight="1">
      <c r="B39" s="887"/>
      <c r="C39" s="875"/>
      <c r="D39" s="875"/>
      <c r="E39" s="888"/>
      <c r="F39" s="889"/>
      <c r="G39" s="875"/>
      <c r="H39" s="875"/>
      <c r="I39" s="875"/>
      <c r="J39" s="876"/>
      <c r="O39" s="825"/>
      <c r="S39" s="717"/>
      <c r="U39" s="778"/>
      <c r="AA39" s="710"/>
      <c r="AB39" s="710"/>
      <c r="AD39" s="710"/>
      <c r="AF39" s="710"/>
      <c r="AH39" s="710"/>
      <c r="AJ39" s="710"/>
      <c r="AL39" s="710"/>
      <c r="AN39" s="710"/>
    </row>
    <row r="40" spans="2:40" s="708" customFormat="1" ht="45.75" customHeight="1">
      <c r="B40" s="890"/>
      <c r="C40" s="858"/>
      <c r="D40" s="858"/>
      <c r="E40" s="891"/>
      <c r="F40" s="891"/>
      <c r="G40" s="858"/>
      <c r="H40" s="858"/>
      <c r="I40" s="858"/>
      <c r="J40" s="858"/>
      <c r="O40" s="825"/>
      <c r="S40" s="717"/>
      <c r="U40" s="778"/>
      <c r="AA40" s="710"/>
      <c r="AB40" s="710"/>
      <c r="AD40" s="710"/>
      <c r="AF40" s="710"/>
      <c r="AH40" s="710"/>
      <c r="AJ40" s="710"/>
      <c r="AL40" s="710"/>
      <c r="AN40" s="710"/>
    </row>
    <row r="41" spans="2:40" s="708" customFormat="1" ht="33" customHeight="1">
      <c r="B41" s="827"/>
      <c r="C41" s="827"/>
      <c r="D41" s="827"/>
      <c r="E41" s="827"/>
      <c r="F41" s="827"/>
      <c r="G41" s="827"/>
      <c r="H41" s="827"/>
      <c r="I41" s="827"/>
      <c r="J41" s="827"/>
      <c r="O41" s="825"/>
      <c r="S41" s="717"/>
      <c r="U41" s="778"/>
      <c r="AA41" s="710"/>
      <c r="AB41" s="710"/>
      <c r="AD41" s="710"/>
      <c r="AF41" s="710"/>
      <c r="AH41" s="710"/>
      <c r="AJ41" s="710"/>
      <c r="AL41" s="710"/>
      <c r="AN41" s="710"/>
    </row>
    <row r="42" spans="2:40" s="708" customFormat="1" ht="45" customHeight="1">
      <c r="B42" s="892" t="str">
        <f>CONCATENATE("أوقف المبلغ : "," ",[1]!Arreta(F20))</f>
        <v>أوقف المبلغ :  مائتين وتسعة وثلاثون ألف وتسعمائة وأربعة وتسعون دينار جزائري وستة عشر سنتيما</v>
      </c>
      <c r="C42" s="893"/>
      <c r="E42" s="894"/>
      <c r="F42" s="894"/>
      <c r="G42" s="894"/>
      <c r="H42" s="894"/>
      <c r="I42" s="894"/>
      <c r="J42" s="827"/>
      <c r="O42" s="825"/>
      <c r="S42" s="717"/>
      <c r="U42" s="778"/>
      <c r="AA42" s="710"/>
      <c r="AB42" s="710"/>
      <c r="AD42" s="710"/>
      <c r="AF42" s="710"/>
      <c r="AH42" s="710"/>
      <c r="AJ42" s="710"/>
      <c r="AL42" s="710"/>
      <c r="AN42" s="710"/>
    </row>
    <row r="43" spans="2:40" s="708" customFormat="1" ht="45" customHeight="1">
      <c r="B43" s="895"/>
      <c r="C43" s="893"/>
      <c r="D43" s="896"/>
      <c r="E43" s="894"/>
      <c r="F43" s="894"/>
      <c r="G43" s="894"/>
      <c r="H43" s="894"/>
      <c r="I43" s="894"/>
      <c r="J43" s="827"/>
      <c r="O43" s="825"/>
      <c r="S43" s="717"/>
      <c r="U43" s="778"/>
      <c r="AA43" s="710"/>
      <c r="AB43" s="710"/>
      <c r="AD43" s="710"/>
      <c r="AF43" s="710"/>
      <c r="AH43" s="710"/>
      <c r="AJ43" s="710"/>
      <c r="AL43" s="710"/>
      <c r="AN43" s="710"/>
    </row>
    <row r="44" spans="2:40" s="708" customFormat="1" ht="45.75" customHeight="1">
      <c r="B44" s="827"/>
      <c r="C44" s="827"/>
      <c r="D44" s="827"/>
      <c r="E44" s="827"/>
      <c r="F44" s="827"/>
      <c r="G44" s="827"/>
      <c r="H44" s="827"/>
      <c r="I44" s="827"/>
      <c r="J44" s="827"/>
      <c r="O44" s="825"/>
      <c r="S44" s="717"/>
      <c r="U44" s="778"/>
      <c r="AA44" s="710"/>
      <c r="AB44" s="710"/>
      <c r="AD44" s="710"/>
      <c r="AF44" s="710"/>
      <c r="AH44" s="710"/>
      <c r="AJ44" s="710"/>
      <c r="AL44" s="710"/>
      <c r="AN44" s="710"/>
    </row>
    <row r="45" spans="2:40" s="708" customFormat="1" ht="50.25" customHeight="1">
      <c r="B45" s="1376" t="s">
        <v>790</v>
      </c>
      <c r="C45" s="1422">
        <f>الرئيسية!N10</f>
        <v>43617</v>
      </c>
      <c r="D45" s="1422"/>
      <c r="E45" s="827"/>
      <c r="F45" s="827"/>
      <c r="I45" s="897" t="s">
        <v>65</v>
      </c>
      <c r="J45" s="827"/>
      <c r="O45" s="825"/>
      <c r="S45" s="717"/>
      <c r="U45" s="778"/>
      <c r="AA45" s="710"/>
      <c r="AB45" s="710"/>
      <c r="AD45" s="710"/>
      <c r="AF45" s="710"/>
      <c r="AH45" s="710"/>
      <c r="AJ45" s="710"/>
      <c r="AL45" s="710"/>
      <c r="AN45" s="710"/>
    </row>
  </sheetData>
  <mergeCells count="3">
    <mergeCell ref="E5:F5"/>
    <mergeCell ref="G22:J24"/>
    <mergeCell ref="C45:D45"/>
  </mergeCells>
  <dataValidations count="1">
    <dataValidation type="list" allowBlank="1" showInputMessage="1" showErrorMessage="1" sqref="C5">
      <formula1>'ورقة العمل'!Y7:Y9</formula1>
    </dataValidation>
  </dataValidations>
  <printOptions horizontalCentered="1"/>
  <pageMargins left="0.59055118110236227" right="0.59055118110236227" top="0.59055118110236227" bottom="0.59055118110236227" header="0" footer="0"/>
  <pageSetup paperSize="12" scale="48" orientation="portrait" horizontalDpi="180" verticalDpi="18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tabColor rgb="FF00B0F0"/>
  </sheetPr>
  <dimension ref="A1:M41"/>
  <sheetViews>
    <sheetView rightToLeft="1" view="pageBreakPreview" topLeftCell="A10" workbookViewId="0">
      <selection activeCell="H16" sqref="H16"/>
    </sheetView>
  </sheetViews>
  <sheetFormatPr baseColWidth="10" defaultRowHeight="15.75"/>
  <cols>
    <col min="1" max="1" width="8.140625" customWidth="1"/>
    <col min="2" max="2" width="6.5703125" customWidth="1"/>
    <col min="3" max="3" width="31.42578125" customWidth="1"/>
    <col min="4" max="4" width="28.42578125" customWidth="1"/>
    <col min="5" max="5" width="29" customWidth="1"/>
    <col min="6" max="6" width="6.42578125" hidden="1" customWidth="1"/>
    <col min="7" max="7" width="18" hidden="1" customWidth="1"/>
    <col min="8" max="8" width="21.140625" style="444" customWidth="1"/>
    <col min="9" max="9" width="19.42578125" customWidth="1"/>
    <col min="12" max="12" width="11.5703125" customWidth="1"/>
  </cols>
  <sheetData>
    <row r="1" spans="1:13" ht="26.25">
      <c r="B1" s="1637" t="s">
        <v>1</v>
      </c>
      <c r="C1" s="1637"/>
      <c r="D1" s="1637"/>
      <c r="E1" s="1637"/>
      <c r="I1" s="182"/>
      <c r="J1" s="305"/>
      <c r="K1" s="305"/>
      <c r="L1" s="305"/>
      <c r="M1" s="527"/>
    </row>
    <row r="2" spans="1:13" ht="23.25">
      <c r="B2" s="455"/>
      <c r="C2" s="1374" t="s">
        <v>808</v>
      </c>
      <c r="D2" s="275"/>
      <c r="E2" s="275"/>
      <c r="I2" s="182"/>
      <c r="J2" s="305"/>
      <c r="K2" s="305"/>
      <c r="L2" s="305"/>
      <c r="M2" s="527"/>
    </row>
    <row r="3" spans="1:13" ht="23.25">
      <c r="B3" s="455"/>
      <c r="C3" s="1375" t="s">
        <v>803</v>
      </c>
      <c r="D3" s="275"/>
      <c r="E3" s="275"/>
      <c r="J3" s="305"/>
      <c r="K3" s="305"/>
      <c r="L3" s="305"/>
      <c r="M3" s="527"/>
    </row>
    <row r="4" spans="1:13" ht="23.25">
      <c r="B4" s="455"/>
      <c r="C4" s="456" t="s">
        <v>259</v>
      </c>
      <c r="D4" s="448">
        <v>76</v>
      </c>
      <c r="E4" s="275"/>
      <c r="I4" s="304"/>
      <c r="J4" s="305"/>
      <c r="K4" s="305"/>
      <c r="L4" s="305"/>
      <c r="M4" s="527"/>
    </row>
    <row r="5" spans="1:13" ht="26.25">
      <c r="B5" s="455"/>
      <c r="C5" s="457" t="s">
        <v>260</v>
      </c>
      <c r="D5" s="458" t="str">
        <f>LOOKUP(D4,'ورقة العمل'!Y2:Y12,'ورقة العمل'!X2:X12)</f>
        <v>الخزينة الولائية</v>
      </c>
      <c r="I5" s="307"/>
      <c r="J5" s="305"/>
      <c r="K5" s="305"/>
      <c r="L5" s="305"/>
      <c r="M5" s="527"/>
    </row>
    <row r="6" spans="1:13">
      <c r="B6" s="455"/>
      <c r="C6" s="161"/>
      <c r="D6" s="161"/>
      <c r="E6" s="161"/>
    </row>
    <row r="7" spans="1:13" ht="30">
      <c r="B7" s="455"/>
      <c r="C7" s="1737" t="str">
        <f ca="1">'MAND-PAY-VCTCMP'!E7</f>
        <v>تسييــــر :  2019 فصل  : 22222222222</v>
      </c>
      <c r="D7" s="1738"/>
      <c r="E7" s="459" t="str">
        <f ca="1">'ETAT-PAY-VACT'!E10</f>
        <v>أجـــرة شهـــر جوان 2019</v>
      </c>
      <c r="H7" s="961"/>
      <c r="I7" s="303"/>
    </row>
    <row r="8" spans="1:13" ht="20.25">
      <c r="B8" s="461"/>
      <c r="C8" s="460" t="s">
        <v>21</v>
      </c>
      <c r="D8" s="1381" t="s">
        <v>806</v>
      </c>
      <c r="E8" s="1381" t="s">
        <v>807</v>
      </c>
    </row>
    <row r="9" spans="1:13" ht="18">
      <c r="B9" s="462" t="s">
        <v>19</v>
      </c>
      <c r="C9" s="462" t="s">
        <v>262</v>
      </c>
      <c r="D9" s="462" t="s">
        <v>263</v>
      </c>
      <c r="E9" s="462" t="s">
        <v>264</v>
      </c>
      <c r="H9" s="1308" t="str">
        <f>D5</f>
        <v>الخزينة الولائية</v>
      </c>
    </row>
    <row r="10" spans="1:13">
      <c r="A10" s="526">
        <f>'ETAT-PAY-VACT'!A15</f>
        <v>1</v>
      </c>
      <c r="B10" s="962">
        <f>'ETAT-PAY-VACT'!B15</f>
        <v>1</v>
      </c>
      <c r="C10" s="962" t="str">
        <f>'ETAT-PAY-VACT'!C15</f>
        <v>علي علي</v>
      </c>
      <c r="D10" s="962">
        <f>'ETAT-PAY-VACT'!D15</f>
        <v>253532</v>
      </c>
      <c r="E10" s="963">
        <f>'ETAT-PAY-VACT'!H15</f>
        <v>22952.76</v>
      </c>
      <c r="H10" s="1326" t="str">
        <f>'ETAT-PAY-VACT'!Y15</f>
        <v>بنك التنمية المحلية</v>
      </c>
    </row>
    <row r="11" spans="1:13">
      <c r="A11" s="526">
        <f>'ETAT-PAY-VACT'!A16</f>
        <v>2</v>
      </c>
      <c r="B11" s="962" t="str">
        <f>'ETAT-PAY-VACT'!B16</f>
        <v>01</v>
      </c>
      <c r="C11" s="962" t="str">
        <f>'ETAT-PAY-VACT'!C16</f>
        <v>أحمد بن أحمد</v>
      </c>
      <c r="D11" s="962">
        <f>'ETAT-PAY-VACT'!D16</f>
        <v>12214</v>
      </c>
      <c r="E11" s="963">
        <f>'ETAT-PAY-VACT'!H16</f>
        <v>22547.58</v>
      </c>
      <c r="H11" s="1326" t="str">
        <f>'ETAT-PAY-VACT'!Y16</f>
        <v>الخزينة الولائية</v>
      </c>
    </row>
    <row r="12" spans="1:13">
      <c r="A12" s="526">
        <f>'ETAT-PAY-VACT'!A17</f>
        <v>3</v>
      </c>
      <c r="B12" s="962">
        <f>'ETAT-PAY-VACT'!B17</f>
        <v>1</v>
      </c>
      <c r="C12" s="962" t="str">
        <f>'ETAT-PAY-VACT'!C17</f>
        <v>عبد الحميد بن عبد الحميد</v>
      </c>
      <c r="D12" s="962">
        <f>'ETAT-PAY-VACT'!D17</f>
        <v>122121</v>
      </c>
      <c r="E12" s="963">
        <f>'ETAT-PAY-VACT'!H17</f>
        <v>24719.45</v>
      </c>
      <c r="H12" s="1326" t="str">
        <f>'ETAT-PAY-VACT'!Y17</f>
        <v>الحساب الجاري البريدي</v>
      </c>
    </row>
    <row r="13" spans="1:13">
      <c r="A13" s="526">
        <f>'ETAT-PAY-VACT'!A18</f>
        <v>4</v>
      </c>
      <c r="B13" s="962">
        <f>'ETAT-PAY-VACT'!B18</f>
        <v>2</v>
      </c>
      <c r="C13" s="962" t="str">
        <f>'ETAT-PAY-VACT'!C18</f>
        <v>جمال بن جمال</v>
      </c>
      <c r="D13" s="962">
        <f>'ETAT-PAY-VACT'!D18</f>
        <v>21245</v>
      </c>
      <c r="E13" s="963">
        <f>'ETAT-PAY-VACT'!H18</f>
        <v>22693.759999999998</v>
      </c>
      <c r="H13" s="1326" t="str">
        <f>'ETAT-PAY-VACT'!Y18</f>
        <v>الحساب الجاري البريدي</v>
      </c>
    </row>
    <row r="14" spans="1:13">
      <c r="A14" s="526">
        <f>'ETAT-PAY-VACT'!A19</f>
        <v>5</v>
      </c>
      <c r="B14" s="962">
        <f>'ETAT-PAY-VACT'!B19</f>
        <v>2</v>
      </c>
      <c r="C14" s="962" t="str">
        <f>'ETAT-PAY-VACT'!C19</f>
        <v>سليمان بن سليمان</v>
      </c>
      <c r="D14" s="962">
        <f>'ETAT-PAY-VACT'!D19</f>
        <v>544534524</v>
      </c>
      <c r="E14" s="963">
        <f>'ETAT-PAY-VACT'!H19</f>
        <v>17755.84</v>
      </c>
      <c r="H14" s="1326" t="str">
        <f>'ETAT-PAY-VACT'!Y19</f>
        <v>الحساب الجاري البريدي</v>
      </c>
    </row>
    <row r="15" spans="1:13">
      <c r="A15" s="526">
        <f>'ETAT-PAY-VACT'!A20</f>
        <v>6</v>
      </c>
      <c r="B15" s="962">
        <f>'ETAT-PAY-VACT'!B20</f>
        <v>2</v>
      </c>
      <c r="C15" s="962" t="str">
        <f>'ETAT-PAY-VACT'!C20</f>
        <v>الوافي بن الوافي</v>
      </c>
      <c r="D15" s="962">
        <f>'ETAT-PAY-VACT'!D20</f>
        <v>54454</v>
      </c>
      <c r="E15" s="963">
        <f>'ETAT-PAY-VACT'!H20</f>
        <v>19171.099999999999</v>
      </c>
      <c r="H15" s="1326" t="str">
        <f>'ETAT-PAY-VACT'!Y20</f>
        <v>بنك التنمية المحلية</v>
      </c>
    </row>
    <row r="16" spans="1:13">
      <c r="A16" s="526">
        <f>'ETAT-PAY-VACT'!A21</f>
        <v>7</v>
      </c>
      <c r="B16" s="962">
        <f>'ETAT-PAY-VACT'!B21</f>
        <v>3</v>
      </c>
      <c r="C16" s="962" t="str">
        <f>'ETAT-PAY-VACT'!C21</f>
        <v>مصطفى بن مصطفى</v>
      </c>
      <c r="D16" s="962">
        <f>'ETAT-PAY-VACT'!D21</f>
        <v>1121212</v>
      </c>
      <c r="E16" s="963">
        <f>'ETAT-PAY-VACT'!H21</f>
        <v>19124.96</v>
      </c>
      <c r="H16" s="1326" t="str">
        <f>'ETAT-PAY-VACT'!Y21</f>
        <v>بنك التنمية المحلية</v>
      </c>
    </row>
    <row r="17" spans="1:8">
      <c r="A17" s="526">
        <f>'ETAT-PAY-VACT'!A22</f>
        <v>8</v>
      </c>
      <c r="B17" s="962">
        <f>'ETAT-PAY-VACT'!B22</f>
        <v>4</v>
      </c>
      <c r="C17" s="962" t="str">
        <f>'ETAT-PAY-VACT'!C22</f>
        <v>سليم بن سليم</v>
      </c>
      <c r="D17" s="962">
        <f>'ETAT-PAY-VACT'!D22</f>
        <v>1111111111</v>
      </c>
      <c r="E17" s="963">
        <f>'ETAT-PAY-VACT'!H22</f>
        <v>22625.16</v>
      </c>
      <c r="H17" s="1326" t="str">
        <f>'ETAT-PAY-VACT'!Y22</f>
        <v>بنك التنمية المحلية</v>
      </c>
    </row>
    <row r="18" spans="1:8">
      <c r="A18" s="526">
        <f>'ETAT-PAY-VACT'!A23</f>
        <v>9</v>
      </c>
      <c r="B18" s="962">
        <f>'ETAT-PAY-VACT'!B23</f>
        <v>6</v>
      </c>
      <c r="C18" s="962" t="str">
        <f>'ETAT-PAY-VACT'!C23</f>
        <v>جميل بن جميل</v>
      </c>
      <c r="D18" s="962">
        <f>'ETAT-PAY-VACT'!D23</f>
        <v>222222222</v>
      </c>
      <c r="E18" s="963">
        <f>'ETAT-PAY-VACT'!H23</f>
        <v>19680.28</v>
      </c>
      <c r="H18" s="1326" t="str">
        <f>'ETAT-PAY-VACT'!Y23</f>
        <v>الحساب الجاري البريدي</v>
      </c>
    </row>
    <row r="19" spans="1:8">
      <c r="A19" s="526">
        <f>'ETAT-PAY-VACT'!A24</f>
        <v>10</v>
      </c>
      <c r="B19" s="962">
        <f>'ETAT-PAY-VACT'!B24</f>
        <v>5</v>
      </c>
      <c r="C19" s="962" t="str">
        <f>'ETAT-PAY-VACT'!C24</f>
        <v>مبيىاكمتنيبىامني</v>
      </c>
      <c r="D19" s="962">
        <f>'ETAT-PAY-VACT'!D24</f>
        <v>1212114</v>
      </c>
      <c r="E19" s="963">
        <f>'ETAT-PAY-VACT'!H24</f>
        <v>23594.560000000001</v>
      </c>
      <c r="H19" s="1326" t="str">
        <f>'ETAT-PAY-VACT'!Y24</f>
        <v>بنك التنمية المحلية</v>
      </c>
    </row>
    <row r="20" spans="1:8">
      <c r="A20" s="526">
        <f>'ETAT-PAY-VACT'!A25</f>
        <v>11</v>
      </c>
      <c r="B20" s="962">
        <f>'ETAT-PAY-VACT'!B25</f>
        <v>6</v>
      </c>
      <c r="C20" s="962" t="str">
        <f>'ETAT-PAY-VACT'!C25</f>
        <v>يمنباسىكامنىلبا</v>
      </c>
      <c r="D20" s="962">
        <f>'ETAT-PAY-VACT'!D25</f>
        <v>424242</v>
      </c>
      <c r="E20" s="963">
        <f>'ETAT-PAY-VACT'!H25</f>
        <v>21076.9</v>
      </c>
      <c r="H20" s="1326" t="str">
        <f>'ETAT-PAY-VACT'!Y25</f>
        <v>بنك التنمية المحلية</v>
      </c>
    </row>
    <row r="21" spans="1:8">
      <c r="A21" s="526">
        <f>'ETAT-PAY-VACT'!A26</f>
        <v>12</v>
      </c>
      <c r="B21" s="962">
        <f>'ETAT-PAY-VACT'!B26</f>
        <v>7</v>
      </c>
      <c r="C21" s="962" t="str">
        <f>'ETAT-PAY-VACT'!C26</f>
        <v>مىلاورؤةلارؤوةلا</v>
      </c>
      <c r="D21" s="962">
        <f>'ETAT-PAY-VACT'!D26</f>
        <v>42525424</v>
      </c>
      <c r="E21" s="963">
        <f>'ETAT-PAY-VACT'!H26</f>
        <v>22896.65</v>
      </c>
      <c r="H21" s="1326" t="str">
        <f>'ETAT-PAY-VACT'!Y26</f>
        <v>بنك التنمية المحلية</v>
      </c>
    </row>
    <row r="22" spans="1:8">
      <c r="A22" s="526">
        <f>'ETAT-PAY-VACT'!A27</f>
        <v>13</v>
      </c>
      <c r="B22" s="962">
        <f>'ETAT-PAY-VACT'!B27</f>
        <v>2</v>
      </c>
      <c r="C22" s="962" t="str">
        <f>'ETAT-PAY-VACT'!C27</f>
        <v>لالالالالالالا</v>
      </c>
      <c r="D22" s="962">
        <f>'ETAT-PAY-VACT'!D27</f>
        <v>147587587</v>
      </c>
      <c r="E22" s="963">
        <f>'ETAT-PAY-VACT'!H27</f>
        <v>20680.21</v>
      </c>
      <c r="H22" s="1326" t="str">
        <f>'ETAT-PAY-VACT'!Y27</f>
        <v>الخزينة الولائية</v>
      </c>
    </row>
    <row r="23" spans="1:8">
      <c r="A23" s="526">
        <f>'ETAT-PAY-VACT'!A28</f>
        <v>14</v>
      </c>
      <c r="B23" s="962">
        <f>'ETAT-PAY-VACT'!B28</f>
        <v>3</v>
      </c>
      <c r="C23" s="962" t="str">
        <f>'ETAT-PAY-VACT'!C28</f>
        <v>لللللللللل</v>
      </c>
      <c r="D23" s="962">
        <f>'ETAT-PAY-VACT'!D28</f>
        <v>35434</v>
      </c>
      <c r="E23" s="963">
        <f>'ETAT-PAY-VACT'!H28</f>
        <v>20645.28</v>
      </c>
      <c r="H23" s="1326" t="str">
        <f>'ETAT-PAY-VACT'!Y28</f>
        <v>الخزينة الولائية</v>
      </c>
    </row>
    <row r="24" spans="1:8">
      <c r="A24" s="526">
        <f>'ETAT-PAY-VACT'!A29</f>
        <v>15</v>
      </c>
      <c r="B24" s="962">
        <f>'ETAT-PAY-VACT'!B29</f>
        <v>3</v>
      </c>
      <c r="C24" s="962" t="str">
        <f>'ETAT-PAY-VACT'!C29</f>
        <v>قثققققثثقققثققثقث</v>
      </c>
      <c r="D24" s="962">
        <f>'ETAT-PAY-VACT'!D29</f>
        <v>885585885</v>
      </c>
      <c r="E24" s="963">
        <f>'ETAT-PAY-VACT'!H29</f>
        <v>14984.59</v>
      </c>
      <c r="H24" s="1326" t="str">
        <f>'ETAT-PAY-VACT'!Y29</f>
        <v>الحساب الجاري البريدي</v>
      </c>
    </row>
    <row r="25" spans="1:8">
      <c r="A25" s="526">
        <f>'ETAT-PAY-VACT'!A30</f>
        <v>16</v>
      </c>
      <c r="B25" s="962">
        <f>'ETAT-PAY-VACT'!B30</f>
        <v>4</v>
      </c>
      <c r="C25" s="962" t="str">
        <f>'ETAT-PAY-VACT'!C30</f>
        <v>لبلبيليبلبيلبيلبي</v>
      </c>
      <c r="D25" s="962">
        <f>'ETAT-PAY-VACT'!D30</f>
        <v>575757575</v>
      </c>
      <c r="E25" s="963">
        <f>'ETAT-PAY-VACT'!H30</f>
        <v>16012.8</v>
      </c>
      <c r="H25" s="1326" t="str">
        <f>'ETAT-PAY-VACT'!Y30</f>
        <v>الحساب الجاري البريدي</v>
      </c>
    </row>
    <row r="26" spans="1:8">
      <c r="A26" s="526">
        <f>'ETAT-PAY-VACT'!A31</f>
        <v>17</v>
      </c>
      <c r="B26" s="962">
        <f>'ETAT-PAY-VACT'!B31</f>
        <v>5</v>
      </c>
      <c r="C26" s="962" t="str">
        <f>'ETAT-PAY-VACT'!C31</f>
        <v>ؤوةلاىرؤزولاى</v>
      </c>
      <c r="D26" s="962">
        <f>'ETAT-PAY-VACT'!D31</f>
        <v>447747</v>
      </c>
      <c r="E26" s="963">
        <f>'ETAT-PAY-VACT'!H31</f>
        <v>21893.58</v>
      </c>
      <c r="H26" s="1326" t="str">
        <f>'ETAT-PAY-VACT'!Y31</f>
        <v>الحساب الجاري البريدي</v>
      </c>
    </row>
    <row r="27" spans="1:8">
      <c r="A27" s="526">
        <f>'ETAT-PAY-VACT'!A32</f>
        <v>18</v>
      </c>
      <c r="B27" s="962">
        <f>'ETAT-PAY-VACT'!B32</f>
        <v>6</v>
      </c>
      <c r="C27" s="962" t="str">
        <f>'ETAT-PAY-VACT'!C32</f>
        <v>ةوزرؤىلاوةزىؤرء</v>
      </c>
      <c r="D27" s="962">
        <f>'ETAT-PAY-VACT'!D32</f>
        <v>4</v>
      </c>
      <c r="E27" s="963">
        <f>'ETAT-PAY-VACT'!H32</f>
        <v>20847.580000000002</v>
      </c>
      <c r="H27" s="1326" t="str">
        <f>'ETAT-PAY-VACT'!Y32</f>
        <v>الحساب الجاري البريدي</v>
      </c>
    </row>
    <row r="28" spans="1:8">
      <c r="A28" s="526">
        <f>'ETAT-PAY-VACT'!A33</f>
        <v>19</v>
      </c>
      <c r="B28" s="962">
        <f>'ETAT-PAY-VACT'!B33</f>
        <v>7</v>
      </c>
      <c r="C28" s="962" t="str">
        <f>'ETAT-PAY-VACT'!C33</f>
        <v>ظوزةلاؤءروةلارؤلا</v>
      </c>
      <c r="D28" s="962">
        <f>'ETAT-PAY-VACT'!D33</f>
        <v>7474</v>
      </c>
      <c r="E28" s="963">
        <f>'ETAT-PAY-VACT'!H33</f>
        <v>14998.25</v>
      </c>
      <c r="H28" s="1326" t="str">
        <f>'ETAT-PAY-VACT'!Y33</f>
        <v>الحساب الجاري البريدي</v>
      </c>
    </row>
    <row r="29" spans="1:8">
      <c r="A29" s="526">
        <f>'ETAT-PAY-VACT'!A34</f>
        <v>20</v>
      </c>
      <c r="B29" s="962">
        <f>'ETAT-PAY-VACT'!B34</f>
        <v>8</v>
      </c>
      <c r="C29" s="962" t="str">
        <f>'ETAT-PAY-VACT'!C34</f>
        <v>ؤرزوءظةلانتكلمسنات</v>
      </c>
      <c r="D29" s="962">
        <f>'ETAT-PAY-VACT'!D34</f>
        <v>7</v>
      </c>
      <c r="E29" s="963">
        <f>'ETAT-PAY-VACT'!H34</f>
        <v>19297.07</v>
      </c>
      <c r="H29" s="1326" t="str">
        <f>'ETAT-PAY-VACT'!Y34</f>
        <v>الحساب الجاري البريدي</v>
      </c>
    </row>
    <row r="30" spans="1:8">
      <c r="A30" s="526">
        <f>'ETAT-PAY-VACT'!A35</f>
        <v>21</v>
      </c>
      <c r="B30" s="962">
        <f>'ETAT-PAY-VACT'!B35</f>
        <v>4</v>
      </c>
      <c r="C30" s="962" t="str">
        <f>'ETAT-PAY-VACT'!C35</f>
        <v>منؤرءىلارؤ نمؤلارنلا</v>
      </c>
      <c r="D30" s="962">
        <f>'ETAT-PAY-VACT'!D35</f>
        <v>77</v>
      </c>
      <c r="E30" s="963">
        <f>'ETAT-PAY-VACT'!H35</f>
        <v>19291.88</v>
      </c>
      <c r="H30" s="1326" t="str">
        <f>'ETAT-PAY-VACT'!Y35</f>
        <v>الخزينة الولائية</v>
      </c>
    </row>
    <row r="31" spans="1:8">
      <c r="A31" s="526">
        <f>'ETAT-PAY-VACT'!A36</f>
        <v>22</v>
      </c>
      <c r="B31" s="962">
        <f>'ETAT-PAY-VACT'!B36</f>
        <v>9</v>
      </c>
      <c r="C31" s="962" t="str">
        <f>'ETAT-PAY-VACT'!C36</f>
        <v>ةوىلاؤةرءلاىزوؤةىروةى</v>
      </c>
      <c r="D31" s="962">
        <f>'ETAT-PAY-VACT'!D36</f>
        <v>43454</v>
      </c>
      <c r="E31" s="963">
        <f>'ETAT-PAY-VACT'!H36</f>
        <v>21197.71</v>
      </c>
      <c r="H31" s="1326" t="str">
        <f>'ETAT-PAY-VACT'!Y36</f>
        <v>الحساب الجاري البريدي</v>
      </c>
    </row>
    <row r="32" spans="1:8" ht="34.5" customHeight="1">
      <c r="B32" s="1634" t="s">
        <v>265</v>
      </c>
      <c r="C32" s="1634"/>
      <c r="D32" s="1634"/>
      <c r="E32" s="525">
        <f>SUMIF(H10:H31,H32,E10:E31)</f>
        <v>83164.95</v>
      </c>
      <c r="G32" s="464">
        <f>'ETAT-PAY-PERM'!F94</f>
        <v>770058.66</v>
      </c>
      <c r="H32" s="1326" t="s">
        <v>550</v>
      </c>
    </row>
    <row r="33" spans="2:8" ht="30">
      <c r="B33" s="465"/>
      <c r="C33" s="1342">
        <f>الرئيسية!$N$10</f>
        <v>43617</v>
      </c>
      <c r="D33" s="275"/>
      <c r="E33" s="466" t="s">
        <v>65</v>
      </c>
      <c r="G33" s="464">
        <f>E32-G32</f>
        <v>-686893.71</v>
      </c>
      <c r="H33" s="1326" t="s">
        <v>550</v>
      </c>
    </row>
    <row r="34" spans="2:8" ht="34.5" customHeight="1">
      <c r="B34" s="1634" t="s">
        <v>265</v>
      </c>
      <c r="C34" s="1634"/>
      <c r="D34" s="1634"/>
      <c r="E34" s="463">
        <f>SUMIF(H10:H31,H34,E10:E31)</f>
        <v>0</v>
      </c>
      <c r="G34" s="464">
        <f>'ETAT-PAY-PERM'!F99</f>
        <v>295958.37</v>
      </c>
      <c r="H34" s="1326" t="s">
        <v>549</v>
      </c>
    </row>
    <row r="35" spans="2:8" ht="30">
      <c r="B35" s="465"/>
      <c r="C35" s="1342">
        <f>الرئيسية!$N$10</f>
        <v>43617</v>
      </c>
      <c r="D35" s="275"/>
      <c r="E35" s="466" t="s">
        <v>65</v>
      </c>
      <c r="G35" s="464">
        <f>E34-G34</f>
        <v>-295958.37</v>
      </c>
      <c r="H35" s="1326" t="s">
        <v>549</v>
      </c>
    </row>
    <row r="36" spans="2:8" ht="34.5" customHeight="1">
      <c r="B36" s="1634" t="s">
        <v>265</v>
      </c>
      <c r="C36" s="1634"/>
      <c r="D36" s="1634"/>
      <c r="E36" s="463">
        <f>SUMIF(H10:H31,H36,E10:E31)</f>
        <v>0</v>
      </c>
      <c r="G36" s="464">
        <f>'ETAT-PAY-PERM'!F105</f>
        <v>178566.28</v>
      </c>
      <c r="H36" s="1326" t="s">
        <v>548</v>
      </c>
    </row>
    <row r="37" spans="2:8" ht="30">
      <c r="B37" s="465"/>
      <c r="C37" s="1342">
        <f>الرئيسية!$N$10</f>
        <v>43617</v>
      </c>
      <c r="D37" s="275"/>
      <c r="E37" s="466" t="s">
        <v>65</v>
      </c>
      <c r="G37" s="464">
        <f>E36-G36</f>
        <v>-178566.28</v>
      </c>
      <c r="H37" s="1326" t="s">
        <v>548</v>
      </c>
    </row>
    <row r="38" spans="2:8" ht="34.5" customHeight="1">
      <c r="B38" s="1634" t="s">
        <v>265</v>
      </c>
      <c r="C38" s="1634"/>
      <c r="D38" s="1634"/>
      <c r="E38" s="463">
        <f>SUMIF(H10:H31,H38,E10:E31)</f>
        <v>151442.09</v>
      </c>
      <c r="G38" s="464">
        <f>'ETAT-PAY-PERM'!F110</f>
        <v>238512.25</v>
      </c>
      <c r="H38" s="1326" t="s">
        <v>561</v>
      </c>
    </row>
    <row r="39" spans="2:8" ht="30">
      <c r="B39" s="465"/>
      <c r="C39" s="1342">
        <f>الرئيسية!$N$10</f>
        <v>43617</v>
      </c>
      <c r="D39" s="275"/>
      <c r="E39" s="466" t="s">
        <v>65</v>
      </c>
      <c r="G39" s="464">
        <f>E38-G38</f>
        <v>-87070.16</v>
      </c>
      <c r="H39" s="1326" t="s">
        <v>561</v>
      </c>
    </row>
    <row r="40" spans="2:8" ht="34.5" customHeight="1">
      <c r="B40" s="1634" t="s">
        <v>265</v>
      </c>
      <c r="C40" s="1634"/>
      <c r="D40" s="1634"/>
      <c r="E40" s="463">
        <f>SUMIF(H10:H31,H40,E10:E31)</f>
        <v>214080.91</v>
      </c>
      <c r="G40" s="464">
        <f>'ETAT-PAY-PERM'!F115</f>
        <v>1432551.89</v>
      </c>
      <c r="H40" s="1326" t="s">
        <v>562</v>
      </c>
    </row>
    <row r="41" spans="2:8" ht="30">
      <c r="B41" s="465"/>
      <c r="C41" s="1342">
        <f>الرئيسية!$N$10</f>
        <v>43617</v>
      </c>
      <c r="D41" s="275"/>
      <c r="E41" s="466" t="s">
        <v>65</v>
      </c>
      <c r="G41" s="464">
        <f>E40-G40</f>
        <v>-1218470.98</v>
      </c>
      <c r="H41" s="1326" t="s">
        <v>562</v>
      </c>
    </row>
  </sheetData>
  <autoFilter ref="H9:H41"/>
  <mergeCells count="7">
    <mergeCell ref="B40:D40"/>
    <mergeCell ref="B1:E1"/>
    <mergeCell ref="C7:D7"/>
    <mergeCell ref="B32:D32"/>
    <mergeCell ref="B34:D34"/>
    <mergeCell ref="B36:D36"/>
    <mergeCell ref="B38:D38"/>
  </mergeCells>
  <dataValidations count="1">
    <dataValidation type="list" allowBlank="1" showInputMessage="1" showErrorMessage="1" sqref="D4">
      <formula1>'ورقة العمل'!Y7:Y8</formula1>
    </dataValidation>
  </dataValidations>
  <printOptions horizontalCentered="1"/>
  <pageMargins left="0.19685039370078741" right="0.19685039370078741" top="0.39370078740157483" bottom="0.59055118110236227" header="0" footer="0"/>
  <pageSetup paperSize="134" scale="95" orientation="portrait" horizontalDpi="180" verticalDpi="18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sheetPr>
    <tabColor rgb="FF00B0F0"/>
  </sheetPr>
  <dimension ref="A1:CC48"/>
  <sheetViews>
    <sheetView rightToLeft="1" view="pageBreakPreview" topLeftCell="A13" zoomScale="115" workbookViewId="0">
      <selection activeCell="B9" sqref="B9"/>
    </sheetView>
  </sheetViews>
  <sheetFormatPr baseColWidth="10" defaultRowHeight="15.75"/>
  <cols>
    <col min="1" max="1" width="3.7109375" style="300" customWidth="1"/>
    <col min="2" max="2" width="10.5703125" customWidth="1"/>
    <col min="3" max="3" width="26.28515625" customWidth="1"/>
    <col min="4" max="4" width="41.28515625" customWidth="1"/>
    <col min="5" max="5" width="24.7109375" customWidth="1"/>
    <col min="6" max="6" width="8.42578125" customWidth="1"/>
    <col min="7" max="7" width="12.7109375" style="3" customWidth="1"/>
    <col min="8" max="8" width="18.5703125" bestFit="1" customWidth="1"/>
    <col min="9" max="9" width="23.7109375" style="311" customWidth="1"/>
    <col min="10" max="10" width="19.28515625" style="311" customWidth="1"/>
    <col min="11" max="11" width="11.42578125" style="311"/>
    <col min="12" max="12" width="13.5703125" style="312" customWidth="1"/>
    <col min="13" max="14" width="11.42578125" style="311"/>
    <col min="15" max="15" width="11.42578125" style="531"/>
  </cols>
  <sheetData>
    <row r="1" spans="1:81" s="3" customFormat="1" ht="23.25">
      <c r="A1" s="300"/>
      <c r="B1" s="1454" t="s">
        <v>122</v>
      </c>
      <c r="C1" s="1454"/>
      <c r="D1" s="1454"/>
      <c r="E1" s="1455"/>
      <c r="F1" s="292"/>
      <c r="H1"/>
      <c r="I1" s="182"/>
      <c r="J1" s="182"/>
      <c r="K1" s="182"/>
      <c r="L1" s="305"/>
      <c r="M1" s="305"/>
      <c r="N1" s="305"/>
      <c r="O1" s="527"/>
      <c r="AM1" s="272"/>
      <c r="AP1" s="273"/>
      <c r="BB1" s="818"/>
      <c r="BD1" s="272"/>
      <c r="BS1" s="272"/>
      <c r="CB1"/>
      <c r="CC1" s="169"/>
    </row>
    <row r="2" spans="1:81" s="3" customFormat="1" ht="24" customHeight="1">
      <c r="A2" s="300"/>
      <c r="B2" s="1362" t="s">
        <v>798</v>
      </c>
      <c r="C2" s="275"/>
      <c r="D2" s="276"/>
      <c r="E2" s="277"/>
      <c r="F2" s="277"/>
      <c r="H2"/>
      <c r="I2" s="182"/>
      <c r="J2" s="182"/>
      <c r="K2" s="182"/>
      <c r="L2" s="305"/>
      <c r="M2" s="305"/>
      <c r="N2" s="305"/>
      <c r="O2" s="527"/>
      <c r="AM2" s="272"/>
      <c r="AP2" s="273"/>
      <c r="BB2" s="818"/>
      <c r="BD2" s="272"/>
      <c r="BS2" s="272"/>
      <c r="CB2"/>
      <c r="CC2" s="169"/>
    </row>
    <row r="3" spans="1:81" s="3" customFormat="1" ht="29.25" customHeight="1">
      <c r="A3" s="300"/>
      <c r="B3" s="1363" t="s">
        <v>799</v>
      </c>
      <c r="C3" s="275"/>
      <c r="D3" s="276"/>
      <c r="E3" s="277"/>
      <c r="F3" s="277"/>
      <c r="H3"/>
      <c r="I3" s="302"/>
      <c r="J3" s="303"/>
      <c r="K3" s="304"/>
      <c r="L3" s="305"/>
      <c r="M3" s="305"/>
      <c r="N3" s="305"/>
      <c r="O3" s="527"/>
      <c r="AM3" s="272"/>
      <c r="AP3" s="273"/>
      <c r="BB3" s="818"/>
      <c r="BD3" s="272"/>
      <c r="BS3" s="272"/>
      <c r="CB3"/>
      <c r="CC3" s="169"/>
    </row>
    <row r="4" spans="1:81" s="3" customFormat="1" ht="24" customHeight="1">
      <c r="A4" s="300"/>
      <c r="B4" s="277"/>
      <c r="C4" s="277"/>
      <c r="D4" s="313" t="s">
        <v>123</v>
      </c>
      <c r="E4" s="277"/>
      <c r="F4" s="277"/>
      <c r="H4"/>
      <c r="I4" s="533"/>
      <c r="J4" s="304"/>
      <c r="K4" s="304"/>
      <c r="L4" s="305"/>
      <c r="M4" s="305"/>
      <c r="N4" s="305"/>
      <c r="O4" s="527"/>
      <c r="AM4" s="272"/>
      <c r="AP4" s="273"/>
      <c r="BB4" s="818"/>
      <c r="BD4" s="272"/>
      <c r="BS4" s="272"/>
      <c r="CB4"/>
      <c r="CC4" s="169"/>
    </row>
    <row r="5" spans="1:81" s="3" customFormat="1" ht="24.75" customHeight="1">
      <c r="A5" s="300"/>
      <c r="B5" s="277"/>
      <c r="C5" s="159"/>
      <c r="D5" s="276"/>
      <c r="E5" s="277"/>
      <c r="F5" s="277"/>
      <c r="H5"/>
      <c r="I5" s="307"/>
      <c r="J5" s="307"/>
      <c r="K5" s="307"/>
      <c r="L5" s="305"/>
      <c r="M5" s="305"/>
      <c r="N5" s="305"/>
      <c r="O5" s="527"/>
      <c r="AM5" s="272"/>
      <c r="AP5" s="273"/>
      <c r="BB5" s="818"/>
      <c r="BD5" s="272"/>
      <c r="BS5" s="272"/>
      <c r="CB5"/>
      <c r="CC5" s="169"/>
    </row>
    <row r="6" spans="1:81" s="3" customFormat="1" ht="18.75" customHeight="1">
      <c r="A6" s="300"/>
      <c r="B6" s="279" t="s">
        <v>124</v>
      </c>
      <c r="C6" s="944">
        <v>78</v>
      </c>
      <c r="D6" s="276"/>
      <c r="E6" s="277"/>
      <c r="F6" s="277"/>
      <c r="H6"/>
      <c r="I6" s="307"/>
      <c r="J6" s="307"/>
      <c r="K6" s="307"/>
      <c r="O6" s="528"/>
      <c r="AM6" s="272"/>
      <c r="AP6" s="273"/>
      <c r="BB6" s="818"/>
      <c r="BD6" s="272"/>
      <c r="BS6" s="272"/>
      <c r="CB6"/>
      <c r="CC6" s="169"/>
    </row>
    <row r="7" spans="1:81" s="3" customFormat="1" ht="18.75" customHeight="1">
      <c r="A7" s="300"/>
      <c r="B7" s="278" t="str">
        <f>'MAND-PAY-PERM'!E5</f>
        <v>لشهـــــر : جوان</v>
      </c>
      <c r="C7" s="278"/>
      <c r="D7" s="276"/>
      <c r="E7" s="277"/>
      <c r="F7" s="277"/>
      <c r="H7"/>
      <c r="I7" s="307"/>
      <c r="J7" s="307"/>
      <c r="K7" s="307"/>
      <c r="O7" s="528"/>
      <c r="AM7" s="272"/>
      <c r="AP7" s="273"/>
      <c r="BB7" s="818"/>
      <c r="BD7" s="272"/>
      <c r="BS7" s="272"/>
      <c r="CB7"/>
      <c r="CC7" s="169"/>
    </row>
    <row r="8" spans="1:81" s="3" customFormat="1" ht="18.75" customHeight="1">
      <c r="A8" s="300"/>
      <c r="B8" s="280" t="str">
        <f ca="1">'MAND-PAY-VCTCMP'!E7</f>
        <v>تسييــــر :  2019 فصل  : 22222222222</v>
      </c>
      <c r="C8" s="281"/>
      <c r="D8" s="276"/>
      <c r="E8" s="277"/>
      <c r="F8" s="277"/>
      <c r="H8"/>
      <c r="I8" s="307"/>
      <c r="J8" s="307"/>
      <c r="K8" s="307"/>
      <c r="O8" s="528"/>
      <c r="AM8" s="272"/>
      <c r="AP8" s="273"/>
      <c r="BB8" s="818"/>
      <c r="BD8" s="272"/>
      <c r="BS8" s="272"/>
      <c r="CB8"/>
      <c r="CC8" s="169"/>
    </row>
    <row r="9" spans="1:81" s="3" customFormat="1" ht="18.75" customHeight="1">
      <c r="A9" s="300"/>
      <c r="B9" s="279" t="s">
        <v>125</v>
      </c>
      <c r="C9" s="282"/>
      <c r="D9" s="276"/>
      <c r="E9" s="277"/>
      <c r="F9" s="277"/>
      <c r="H9"/>
      <c r="I9" s="307"/>
      <c r="J9" s="307"/>
      <c r="K9" s="307"/>
      <c r="L9" s="305"/>
      <c r="M9" s="305"/>
      <c r="N9" s="306"/>
      <c r="O9" s="529"/>
      <c r="AM9" s="272"/>
      <c r="AP9" s="273"/>
      <c r="BB9" s="818"/>
      <c r="BD9" s="272"/>
      <c r="BS9" s="272"/>
    </row>
    <row r="10" spans="1:81" s="3" customFormat="1" ht="18.75" customHeight="1">
      <c r="A10" s="300"/>
      <c r="B10" s="274" t="s">
        <v>126</v>
      </c>
      <c r="C10" s="275"/>
      <c r="D10" s="283" t="str">
        <f>LOOKUP(C6,'ورقة العمل'!Y:Y,'ورقة العمل'!X:X)</f>
        <v>بنك الفلاحة والتنمية الريفية</v>
      </c>
      <c r="E10" s="275"/>
      <c r="F10" s="275"/>
      <c r="G10" s="1303"/>
      <c r="H10"/>
      <c r="I10" s="307"/>
      <c r="J10" s="307"/>
      <c r="K10" s="307"/>
      <c r="L10" s="307"/>
      <c r="M10" s="307"/>
      <c r="N10" s="307"/>
      <c r="O10" s="530"/>
      <c r="AM10" s="272"/>
      <c r="AP10" s="273"/>
      <c r="BB10" s="818"/>
      <c r="BD10" s="272"/>
      <c r="BS10" s="272"/>
    </row>
    <row r="11" spans="1:81" s="3" customFormat="1" ht="10.5" customHeight="1">
      <c r="A11" s="300"/>
      <c r="B11" s="285"/>
      <c r="C11" s="275"/>
      <c r="D11" s="286"/>
      <c r="E11" s="275"/>
      <c r="F11" s="275"/>
      <c r="G11" s="1303"/>
      <c r="H11"/>
      <c r="I11" s="307"/>
      <c r="J11" s="307"/>
      <c r="K11" s="307"/>
      <c r="L11" s="307"/>
      <c r="M11" s="307"/>
      <c r="N11" s="307"/>
      <c r="O11" s="530"/>
      <c r="AM11" s="272"/>
      <c r="AP11" s="273"/>
      <c r="BB11" s="818"/>
      <c r="BD11" s="272"/>
      <c r="BS11" s="272"/>
      <c r="BX11" s="1456"/>
    </row>
    <row r="12" spans="1:81" s="3" customFormat="1" ht="18" customHeight="1">
      <c r="A12" s="300"/>
      <c r="B12" s="287" t="s">
        <v>127</v>
      </c>
      <c r="C12" s="288"/>
      <c r="D12" s="286"/>
      <c r="E12" s="288"/>
      <c r="F12" s="288"/>
      <c r="G12" s="1303"/>
      <c r="H12"/>
      <c r="I12" s="307"/>
      <c r="J12" s="307"/>
      <c r="K12" s="307"/>
      <c r="L12" s="307"/>
      <c r="M12" s="307"/>
      <c r="N12" s="307"/>
      <c r="O12" s="530"/>
      <c r="AM12" s="272"/>
      <c r="AP12" s="273"/>
      <c r="BB12" s="818"/>
      <c r="BD12" s="272"/>
      <c r="BS12" s="272"/>
      <c r="BX12" s="1456"/>
      <c r="BZ12" s="1457"/>
      <c r="CA12" s="1457"/>
      <c r="CB12" s="1457"/>
    </row>
    <row r="13" spans="1:81" s="3" customFormat="1" ht="18" customHeight="1">
      <c r="A13" s="300"/>
      <c r="B13" s="279" t="s">
        <v>128</v>
      </c>
      <c r="C13" s="288"/>
      <c r="D13" s="286"/>
      <c r="E13" s="288"/>
      <c r="F13" s="288"/>
      <c r="G13" s="1303"/>
      <c r="H13"/>
      <c r="I13" s="307"/>
      <c r="J13" s="307"/>
      <c r="K13" s="307"/>
      <c r="L13" s="307"/>
      <c r="M13" s="307"/>
      <c r="N13" s="307"/>
      <c r="O13" s="530"/>
      <c r="AM13" s="272"/>
      <c r="AP13" s="273"/>
      <c r="BB13" s="818"/>
      <c r="BD13" s="272"/>
      <c r="BS13" s="272"/>
      <c r="BX13" s="1458"/>
      <c r="BY13" s="1458"/>
      <c r="BZ13" s="1458"/>
      <c r="CA13" s="1458"/>
      <c r="CB13" s="1458"/>
      <c r="CC13" s="1458"/>
    </row>
    <row r="14" spans="1:81" s="3" customFormat="1" ht="18" customHeight="1">
      <c r="A14" s="300"/>
      <c r="B14" s="279" t="s">
        <v>129</v>
      </c>
      <c r="C14" s="288"/>
      <c r="D14" s="286"/>
      <c r="E14" s="288"/>
      <c r="F14" s="288"/>
      <c r="G14" s="1303"/>
      <c r="H14"/>
      <c r="I14" s="307"/>
      <c r="J14" s="307"/>
      <c r="K14" s="307"/>
      <c r="L14" s="307"/>
      <c r="M14" s="307"/>
      <c r="N14" s="307"/>
      <c r="O14" s="530"/>
      <c r="AM14" s="272"/>
      <c r="AP14" s="273"/>
      <c r="BB14" s="818"/>
      <c r="BD14" s="272"/>
      <c r="BS14" s="272"/>
      <c r="BX14"/>
      <c r="BY14"/>
      <c r="BZ14"/>
      <c r="CA14"/>
      <c r="CB14"/>
      <c r="CC14"/>
    </row>
    <row r="15" spans="1:81" s="3" customFormat="1" ht="10.5" customHeight="1">
      <c r="A15" s="300"/>
      <c r="B15" s="277"/>
      <c r="C15" s="277"/>
      <c r="D15" s="276"/>
      <c r="E15" s="277"/>
      <c r="F15" s="277"/>
      <c r="H15"/>
      <c r="I15" s="307"/>
      <c r="J15" s="307"/>
      <c r="K15" s="307"/>
      <c r="L15" s="307"/>
      <c r="M15" s="307"/>
      <c r="N15" s="307"/>
      <c r="O15" s="530"/>
      <c r="AM15" s="272"/>
      <c r="AP15" s="273"/>
      <c r="BB15" s="818"/>
      <c r="BD15" s="272"/>
      <c r="BS15" s="272"/>
      <c r="BX15" s="1457"/>
      <c r="BY15" s="1457"/>
      <c r="BZ15" s="1457"/>
      <c r="CA15" s="1457"/>
      <c r="CB15" s="1457"/>
      <c r="CC15" s="1457"/>
    </row>
    <row r="16" spans="1:81" s="3" customFormat="1" ht="23.25" customHeight="1">
      <c r="A16" s="300"/>
      <c r="B16" s="314" t="s">
        <v>130</v>
      </c>
      <c r="C16" s="315" t="s">
        <v>131</v>
      </c>
      <c r="D16" s="316" t="s">
        <v>132</v>
      </c>
      <c r="E16" s="314" t="s">
        <v>133</v>
      </c>
      <c r="F16" s="1309">
        <v>1</v>
      </c>
      <c r="G16" s="1310" t="str">
        <f>D10</f>
        <v>بنك الفلاحة والتنمية الريفية</v>
      </c>
      <c r="H16"/>
      <c r="I16" s="307"/>
      <c r="J16" s="307"/>
      <c r="K16" s="307"/>
      <c r="L16" s="307"/>
      <c r="M16" s="307"/>
      <c r="N16" s="307"/>
      <c r="O16" s="530"/>
      <c r="AM16" s="272"/>
      <c r="AP16" s="273"/>
      <c r="BB16" s="818"/>
      <c r="BD16" s="272"/>
      <c r="BS16" s="272"/>
    </row>
    <row r="17" spans="1:71" s="3" customFormat="1" ht="17.25" customHeight="1">
      <c r="A17" s="300">
        <f>'ورقة العمل'!J2</f>
        <v>1</v>
      </c>
      <c r="B17" s="289"/>
      <c r="C17" s="290" t="str">
        <f>'ورقة العمل'!K2</f>
        <v>علي علي</v>
      </c>
      <c r="D17" s="290" t="str">
        <f>'ورقة العمل'!L2</f>
        <v>عون الوقاية من المستوى الأول</v>
      </c>
      <c r="E17" s="945">
        <f>'ورقة العمل'!N2</f>
        <v>5000</v>
      </c>
      <c r="F17" s="946">
        <f>IF(E17&gt;0,1,0)</f>
        <v>1</v>
      </c>
      <c r="G17" s="158" t="str">
        <f>'ورقة العمل'!M2</f>
        <v>بنك التنمية المحلية</v>
      </c>
      <c r="H17" s="291"/>
      <c r="I17" s="307"/>
      <c r="J17" s="307"/>
      <c r="K17" s="307"/>
      <c r="L17" s="307"/>
      <c r="M17" s="307"/>
      <c r="N17" s="307"/>
      <c r="O17" s="307"/>
      <c r="AM17" s="272"/>
      <c r="AP17" s="273"/>
      <c r="BB17" s="818"/>
      <c r="BD17" s="272"/>
      <c r="BS17" s="272"/>
    </row>
    <row r="18" spans="1:71" s="3" customFormat="1" ht="17.25" customHeight="1">
      <c r="A18" s="300">
        <f>'ورقة العمل'!J3</f>
        <v>2</v>
      </c>
      <c r="B18" s="289"/>
      <c r="C18" s="290" t="str">
        <f>'ورقة العمل'!K3</f>
        <v>أحمد بن أحمد</v>
      </c>
      <c r="D18" s="290" t="str">
        <f>'ورقة العمل'!L3</f>
        <v>عون الوقاية من المستوى الأول</v>
      </c>
      <c r="E18" s="945">
        <f>'ورقة العمل'!N3</f>
        <v>5000</v>
      </c>
      <c r="F18" s="946">
        <f t="shared" ref="F18:F38" si="0">IF(E18&gt;0,1,0)</f>
        <v>1</v>
      </c>
      <c r="G18" s="158" t="str">
        <f>'ورقة العمل'!M3</f>
        <v>الخزينة الولائية</v>
      </c>
      <c r="H18" s="291"/>
      <c r="I18" s="307"/>
      <c r="J18" s="307"/>
      <c r="K18" s="307"/>
      <c r="L18" s="308"/>
      <c r="M18" s="307"/>
      <c r="N18" s="307"/>
      <c r="O18" s="307"/>
      <c r="AM18" s="272"/>
      <c r="AP18" s="273"/>
      <c r="BB18" s="818"/>
      <c r="BD18" s="272"/>
      <c r="BS18" s="272"/>
    </row>
    <row r="19" spans="1:71" s="3" customFormat="1" ht="17.25" customHeight="1">
      <c r="A19" s="300">
        <f>'ورقة العمل'!J4</f>
        <v>3</v>
      </c>
      <c r="B19" s="289"/>
      <c r="C19" s="290" t="str">
        <f>'ورقة العمل'!K4</f>
        <v>عبد الحميد بن عبد الحميد</v>
      </c>
      <c r="D19" s="290" t="str">
        <f>'ورقة العمل'!L4</f>
        <v>سائق سيارة من المستوى الأول</v>
      </c>
      <c r="E19" s="945">
        <f>'ورقة العمل'!N4</f>
        <v>0</v>
      </c>
      <c r="F19" s="946">
        <f t="shared" si="0"/>
        <v>0</v>
      </c>
      <c r="G19" s="158" t="str">
        <f>'ورقة العمل'!M4</f>
        <v>الحساب الجاري البريدي</v>
      </c>
      <c r="H19" s="291"/>
      <c r="I19" s="307"/>
      <c r="J19" s="307"/>
      <c r="K19" s="307"/>
      <c r="L19" s="308"/>
      <c r="M19" s="307"/>
      <c r="N19" s="307"/>
      <c r="O19" s="307"/>
      <c r="AM19" s="272"/>
      <c r="AP19" s="273"/>
      <c r="BB19" s="818"/>
      <c r="BD19" s="272"/>
      <c r="BS19" s="272"/>
    </row>
    <row r="20" spans="1:71" s="3" customFormat="1" ht="17.25" customHeight="1">
      <c r="A20" s="300">
        <f>'ورقة العمل'!J5</f>
        <v>4</v>
      </c>
      <c r="B20" s="289"/>
      <c r="C20" s="290" t="str">
        <f>'ورقة العمل'!K5</f>
        <v>جمال بن جمال</v>
      </c>
      <c r="D20" s="290" t="str">
        <f>'ورقة العمل'!L5</f>
        <v>سائق سيارة من المستوى الأول</v>
      </c>
      <c r="E20" s="945">
        <f>'ورقة العمل'!N5</f>
        <v>0</v>
      </c>
      <c r="F20" s="946">
        <f t="shared" si="0"/>
        <v>0</v>
      </c>
      <c r="G20" s="158" t="str">
        <f>'ورقة العمل'!M5</f>
        <v>الحساب الجاري البريدي</v>
      </c>
      <c r="H20" s="291"/>
      <c r="I20" s="307"/>
      <c r="J20" s="307"/>
      <c r="K20" s="307"/>
      <c r="L20" s="308"/>
      <c r="M20" s="307"/>
      <c r="N20" s="307"/>
      <c r="O20" s="307"/>
      <c r="AM20" s="272"/>
      <c r="AP20" s="273"/>
      <c r="BB20" s="818"/>
      <c r="BD20" s="272"/>
      <c r="BS20" s="272"/>
    </row>
    <row r="21" spans="1:71" s="3" customFormat="1" ht="17.25" customHeight="1">
      <c r="A21" s="300">
        <f>'ورقة العمل'!J6</f>
        <v>5</v>
      </c>
      <c r="B21" s="289"/>
      <c r="C21" s="290" t="str">
        <f>'ورقة العمل'!K6</f>
        <v>سليمان بن سليمان</v>
      </c>
      <c r="D21" s="290" t="str">
        <f>'ورقة العمل'!L6</f>
        <v>حارس</v>
      </c>
      <c r="E21" s="945">
        <f>'ورقة العمل'!N6</f>
        <v>5000</v>
      </c>
      <c r="F21" s="946">
        <f t="shared" si="0"/>
        <v>1</v>
      </c>
      <c r="G21" s="158" t="str">
        <f>'ورقة العمل'!M6</f>
        <v>الحساب الجاري البريدي</v>
      </c>
      <c r="H21" s="291"/>
      <c r="I21" s="307"/>
      <c r="J21" s="307"/>
      <c r="K21" s="307"/>
      <c r="L21" s="308"/>
      <c r="M21" s="307"/>
      <c r="N21" s="307"/>
      <c r="O21" s="307"/>
      <c r="AM21" s="272"/>
      <c r="AP21" s="273"/>
      <c r="BB21" s="818"/>
      <c r="BD21" s="272"/>
      <c r="BS21" s="272"/>
    </row>
    <row r="22" spans="1:71" s="3" customFormat="1" ht="17.25" customHeight="1">
      <c r="A22" s="300">
        <f>'ورقة العمل'!J7</f>
        <v>6</v>
      </c>
      <c r="B22" s="289"/>
      <c r="C22" s="290" t="str">
        <f>'ورقة العمل'!K7</f>
        <v>الوافي بن الوافي</v>
      </c>
      <c r="D22" s="290" t="str">
        <f>'ورقة العمل'!L7</f>
        <v>حارس</v>
      </c>
      <c r="E22" s="945">
        <f>'ورقة العمل'!N7</f>
        <v>5000</v>
      </c>
      <c r="F22" s="946">
        <f t="shared" si="0"/>
        <v>1</v>
      </c>
      <c r="G22" s="158" t="str">
        <f>'ورقة العمل'!M7</f>
        <v>بنك التنمية المحلية</v>
      </c>
      <c r="H22" s="291"/>
      <c r="I22" s="307"/>
      <c r="J22" s="307"/>
      <c r="K22" s="307"/>
      <c r="L22" s="308"/>
      <c r="M22" s="307"/>
      <c r="N22" s="307"/>
      <c r="O22" s="307"/>
      <c r="AM22" s="272"/>
      <c r="AP22" s="273"/>
      <c r="BB22" s="818"/>
      <c r="BD22" s="272"/>
      <c r="BS22" s="272"/>
    </row>
    <row r="23" spans="1:71" s="3" customFormat="1" ht="17.25" customHeight="1">
      <c r="A23" s="300">
        <f>'ورقة العمل'!J8</f>
        <v>7</v>
      </c>
      <c r="B23" s="289"/>
      <c r="C23" s="290" t="str">
        <f>'ورقة العمل'!K8</f>
        <v>مصطفى بن مصطفى</v>
      </c>
      <c r="D23" s="290" t="str">
        <f>'ورقة العمل'!L8</f>
        <v>حارس</v>
      </c>
      <c r="E23" s="945">
        <f>'ورقة العمل'!N8</f>
        <v>5000</v>
      </c>
      <c r="F23" s="946">
        <f t="shared" si="0"/>
        <v>1</v>
      </c>
      <c r="G23" s="158" t="str">
        <f>'ورقة العمل'!M8</f>
        <v>بنك التنمية المحلية</v>
      </c>
      <c r="H23" s="291"/>
      <c r="I23" s="307"/>
      <c r="J23" s="307"/>
      <c r="K23" s="307"/>
      <c r="L23" s="308"/>
      <c r="M23" s="307"/>
      <c r="N23" s="307"/>
      <c r="O23" s="307"/>
      <c r="AM23" s="272"/>
      <c r="AP23" s="273"/>
      <c r="BB23" s="818"/>
      <c r="BD23" s="272"/>
      <c r="BS23" s="272"/>
    </row>
    <row r="24" spans="1:71" s="3" customFormat="1" ht="17.25" customHeight="1">
      <c r="A24" s="300">
        <f>'ورقة العمل'!J9</f>
        <v>8</v>
      </c>
      <c r="B24" s="289"/>
      <c r="C24" s="290" t="str">
        <f>'ورقة العمل'!K9</f>
        <v>سليم بن سليم</v>
      </c>
      <c r="D24" s="290" t="str">
        <f>'ورقة العمل'!L9</f>
        <v>حارس</v>
      </c>
      <c r="E24" s="945">
        <f>'ورقة العمل'!N9</f>
        <v>0</v>
      </c>
      <c r="F24" s="946">
        <f t="shared" si="0"/>
        <v>0</v>
      </c>
      <c r="G24" s="158" t="str">
        <f>'ورقة العمل'!M9</f>
        <v>بنك التنمية المحلية</v>
      </c>
      <c r="H24" s="291"/>
      <c r="I24" s="307"/>
      <c r="J24" s="307"/>
      <c r="K24" s="307"/>
      <c r="L24" s="308"/>
      <c r="M24" s="307"/>
      <c r="N24" s="307"/>
      <c r="O24" s="307"/>
      <c r="AM24" s="272"/>
      <c r="AP24" s="273"/>
      <c r="BB24" s="818"/>
      <c r="BD24" s="272"/>
      <c r="BS24" s="272"/>
    </row>
    <row r="25" spans="1:71" s="3" customFormat="1" ht="17.25" customHeight="1">
      <c r="A25" s="300">
        <f>'ورقة العمل'!J10</f>
        <v>9</v>
      </c>
      <c r="B25" s="289"/>
      <c r="C25" s="290" t="str">
        <f>'ورقة العمل'!K10</f>
        <v>جميل بن جميل</v>
      </c>
      <c r="D25" s="290" t="str">
        <f>'ورقة العمل'!L10</f>
        <v>حارس</v>
      </c>
      <c r="E25" s="945">
        <f>'ورقة العمل'!N10</f>
        <v>5000</v>
      </c>
      <c r="F25" s="946">
        <f t="shared" si="0"/>
        <v>1</v>
      </c>
      <c r="G25" s="158" t="str">
        <f>'ورقة العمل'!M10</f>
        <v>الحساب الجاري البريدي</v>
      </c>
      <c r="H25" s="291"/>
      <c r="I25" s="307"/>
      <c r="J25" s="307"/>
      <c r="K25" s="307"/>
      <c r="L25" s="308"/>
      <c r="M25" s="307"/>
      <c r="N25" s="307"/>
      <c r="O25" s="307"/>
      <c r="AM25" s="272"/>
      <c r="AP25" s="273"/>
      <c r="BB25" s="818"/>
      <c r="BD25" s="272"/>
      <c r="BS25" s="272"/>
    </row>
    <row r="26" spans="1:71" s="3" customFormat="1" ht="17.25" customHeight="1">
      <c r="A26" s="300">
        <f>'ورقة العمل'!J11</f>
        <v>10</v>
      </c>
      <c r="B26" s="289"/>
      <c r="C26" s="290" t="str">
        <f>'ورقة العمل'!K11</f>
        <v>مبيىاكمتنيبىامني</v>
      </c>
      <c r="D26" s="290" t="str">
        <f>'ورقة العمل'!L11</f>
        <v>حارس</v>
      </c>
      <c r="E26" s="945">
        <f>'ورقة العمل'!N11</f>
        <v>0</v>
      </c>
      <c r="F26" s="946">
        <f t="shared" si="0"/>
        <v>0</v>
      </c>
      <c r="G26" s="158" t="str">
        <f>'ورقة العمل'!M11</f>
        <v>بنك التنمية المحلية</v>
      </c>
      <c r="H26" s="291"/>
      <c r="I26" s="307"/>
      <c r="J26" s="307"/>
      <c r="K26" s="307"/>
      <c r="L26" s="308"/>
      <c r="M26" s="307"/>
      <c r="N26" s="307"/>
      <c r="O26" s="307"/>
      <c r="AM26" s="272"/>
      <c r="AP26" s="273"/>
      <c r="BB26" s="818"/>
      <c r="BD26" s="272"/>
      <c r="BS26" s="272"/>
    </row>
    <row r="27" spans="1:71" s="3" customFormat="1" ht="17.25" customHeight="1">
      <c r="A27" s="300">
        <f>'ورقة العمل'!J12</f>
        <v>11</v>
      </c>
      <c r="B27" s="289"/>
      <c r="C27" s="290" t="str">
        <f>'ورقة العمل'!K12</f>
        <v>يمنباسىكامنىلبا</v>
      </c>
      <c r="D27" s="290" t="str">
        <f>'ورقة العمل'!L12</f>
        <v>حارس</v>
      </c>
      <c r="E27" s="945">
        <f>'ورقة العمل'!N12</f>
        <v>0</v>
      </c>
      <c r="F27" s="946">
        <f t="shared" si="0"/>
        <v>0</v>
      </c>
      <c r="G27" s="158" t="str">
        <f>'ورقة العمل'!M12</f>
        <v>بنك التنمية المحلية</v>
      </c>
      <c r="H27" s="291"/>
      <c r="I27" s="307"/>
      <c r="J27" s="307"/>
      <c r="K27" s="307"/>
      <c r="L27" s="308"/>
      <c r="M27" s="307"/>
      <c r="N27" s="307"/>
      <c r="O27" s="307"/>
      <c r="AM27" s="272"/>
      <c r="AP27" s="273"/>
      <c r="BB27" s="818"/>
      <c r="BD27" s="272"/>
      <c r="BS27" s="272"/>
    </row>
    <row r="28" spans="1:71" s="3" customFormat="1" ht="17.25" customHeight="1">
      <c r="A28" s="300">
        <f>'ورقة العمل'!J13</f>
        <v>12</v>
      </c>
      <c r="B28" s="289"/>
      <c r="C28" s="290" t="str">
        <f>'ورقة العمل'!K13</f>
        <v>مىلاورؤةلارؤوةلا</v>
      </c>
      <c r="D28" s="290" t="str">
        <f>'ورقة العمل'!L13</f>
        <v>حارس</v>
      </c>
      <c r="E28" s="945">
        <f>'ورقة العمل'!N13</f>
        <v>0</v>
      </c>
      <c r="F28" s="946">
        <f t="shared" si="0"/>
        <v>0</v>
      </c>
      <c r="G28" s="158" t="str">
        <f>'ورقة العمل'!M13</f>
        <v>بنك التنمية المحلية</v>
      </c>
      <c r="H28" s="291"/>
      <c r="I28" s="307"/>
      <c r="J28" s="307"/>
      <c r="K28" s="307"/>
      <c r="L28" s="308"/>
      <c r="M28" s="307"/>
      <c r="N28" s="307"/>
      <c r="O28" s="307"/>
      <c r="AM28" s="272"/>
      <c r="AP28" s="273"/>
      <c r="BB28" s="818"/>
      <c r="BD28" s="272"/>
      <c r="BS28" s="272"/>
    </row>
    <row r="29" spans="1:71" s="3" customFormat="1" ht="17.25" customHeight="1">
      <c r="A29" s="300">
        <f>'ورقة العمل'!J14</f>
        <v>13</v>
      </c>
      <c r="B29" s="289"/>
      <c r="C29" s="290" t="str">
        <f>'ورقة العمل'!K14</f>
        <v>لالالالالالالا</v>
      </c>
      <c r="D29" s="290" t="str">
        <f>'ورقة العمل'!L14</f>
        <v>حارس</v>
      </c>
      <c r="E29" s="945">
        <f>'ورقة العمل'!N14</f>
        <v>5000</v>
      </c>
      <c r="F29" s="946">
        <f t="shared" si="0"/>
        <v>1</v>
      </c>
      <c r="G29" s="158" t="str">
        <f>'ورقة العمل'!M14</f>
        <v>الخزينة الولائية</v>
      </c>
      <c r="H29" s="291"/>
      <c r="I29" s="307"/>
      <c r="J29" s="307"/>
      <c r="K29" s="307"/>
      <c r="L29" s="308"/>
      <c r="M29" s="307"/>
      <c r="N29" s="307"/>
      <c r="O29" s="307"/>
      <c r="AM29" s="272"/>
      <c r="AP29" s="273"/>
      <c r="BB29" s="818"/>
      <c r="BD29" s="272"/>
      <c r="BS29" s="272"/>
    </row>
    <row r="30" spans="1:71" s="3" customFormat="1" ht="17.25" customHeight="1">
      <c r="A30" s="300">
        <f>'ورقة العمل'!J15</f>
        <v>14</v>
      </c>
      <c r="B30" s="289"/>
      <c r="C30" s="290" t="str">
        <f>'ورقة العمل'!K15</f>
        <v>لللللللللل</v>
      </c>
      <c r="D30" s="290" t="str">
        <f>'ورقة العمل'!L15</f>
        <v>حارس</v>
      </c>
      <c r="E30" s="945">
        <f>'ورقة العمل'!N15</f>
        <v>5000</v>
      </c>
      <c r="F30" s="946">
        <f t="shared" si="0"/>
        <v>1</v>
      </c>
      <c r="G30" s="158" t="str">
        <f>'ورقة العمل'!M15</f>
        <v>الخزينة الولائية</v>
      </c>
      <c r="H30" s="291"/>
      <c r="I30" s="307"/>
      <c r="J30" s="307"/>
      <c r="K30" s="307"/>
      <c r="L30" s="308"/>
      <c r="M30" s="307"/>
      <c r="N30" s="307"/>
      <c r="O30" s="307"/>
      <c r="AM30" s="272"/>
      <c r="AP30" s="273"/>
      <c r="BB30" s="818"/>
      <c r="BD30" s="272"/>
      <c r="BS30" s="272"/>
    </row>
    <row r="31" spans="1:71" s="3" customFormat="1" ht="17.25" customHeight="1">
      <c r="A31" s="300">
        <f>'ورقة العمل'!J16</f>
        <v>15</v>
      </c>
      <c r="B31" s="289"/>
      <c r="C31" s="290" t="str">
        <f>'ورقة العمل'!K16</f>
        <v>قثققققثثقققثققثقث</v>
      </c>
      <c r="D31" s="290" t="str">
        <f>'ورقة العمل'!L16</f>
        <v>حارس</v>
      </c>
      <c r="E31" s="945">
        <f>'ورقة العمل'!N16</f>
        <v>5000</v>
      </c>
      <c r="F31" s="946">
        <f t="shared" si="0"/>
        <v>1</v>
      </c>
      <c r="G31" s="158" t="str">
        <f>'ورقة العمل'!M16</f>
        <v>الحساب الجاري البريدي</v>
      </c>
      <c r="H31" s="291"/>
      <c r="I31" s="307"/>
      <c r="J31" s="307"/>
      <c r="K31" s="307"/>
      <c r="L31" s="308"/>
      <c r="M31" s="307"/>
      <c r="N31" s="307"/>
      <c r="O31" s="307"/>
      <c r="AM31" s="272"/>
      <c r="AP31" s="273"/>
      <c r="BB31" s="818"/>
      <c r="BD31" s="272"/>
      <c r="BS31" s="272"/>
    </row>
    <row r="32" spans="1:71" s="3" customFormat="1" ht="17.25" customHeight="1">
      <c r="A32" s="300">
        <f>'ورقة العمل'!J17</f>
        <v>16</v>
      </c>
      <c r="B32" s="289"/>
      <c r="C32" s="290" t="str">
        <f>'ورقة العمل'!K17</f>
        <v>لبلبيليبلبيلبيلبي</v>
      </c>
      <c r="D32" s="290" t="str">
        <f>'ورقة العمل'!L17</f>
        <v>حارس</v>
      </c>
      <c r="E32" s="945">
        <f>'ورقة العمل'!N17</f>
        <v>5000</v>
      </c>
      <c r="F32" s="946">
        <f t="shared" si="0"/>
        <v>1</v>
      </c>
      <c r="G32" s="158" t="str">
        <f>'ورقة العمل'!M17</f>
        <v>الحساب الجاري البريدي</v>
      </c>
      <c r="H32" s="291"/>
      <c r="I32" s="307"/>
      <c r="J32" s="307"/>
      <c r="K32" s="307"/>
      <c r="L32" s="308"/>
      <c r="M32" s="307"/>
      <c r="N32" s="307"/>
      <c r="O32" s="307"/>
      <c r="AM32" s="272"/>
      <c r="AP32" s="273"/>
      <c r="BB32" s="818"/>
      <c r="BD32" s="272"/>
      <c r="BS32" s="272"/>
    </row>
    <row r="33" spans="1:71" s="3" customFormat="1" ht="17.25" customHeight="1">
      <c r="A33" s="300">
        <f>'ورقة العمل'!J18</f>
        <v>17</v>
      </c>
      <c r="B33" s="289"/>
      <c r="C33" s="290" t="str">
        <f>'ورقة العمل'!K18</f>
        <v>ؤوةلاىرؤزولاى</v>
      </c>
      <c r="D33" s="290" t="str">
        <f>'ورقة العمل'!L18</f>
        <v>حارس</v>
      </c>
      <c r="E33" s="945">
        <f>'ورقة العمل'!N18</f>
        <v>0</v>
      </c>
      <c r="F33" s="946">
        <f t="shared" si="0"/>
        <v>0</v>
      </c>
      <c r="G33" s="158" t="str">
        <f>'ورقة العمل'!M18</f>
        <v>الحساب الجاري البريدي</v>
      </c>
      <c r="H33" s="291"/>
      <c r="I33" s="307"/>
      <c r="J33" s="307"/>
      <c r="K33" s="307"/>
      <c r="L33" s="308"/>
      <c r="M33" s="307"/>
      <c r="N33" s="307"/>
      <c r="O33" s="307"/>
      <c r="AM33" s="272"/>
      <c r="AP33" s="273"/>
      <c r="BB33" s="818"/>
      <c r="BD33" s="272"/>
      <c r="BS33" s="272"/>
    </row>
    <row r="34" spans="1:71" s="3" customFormat="1" ht="17.25" customHeight="1">
      <c r="A34" s="300">
        <f>'ورقة العمل'!J19</f>
        <v>18</v>
      </c>
      <c r="B34" s="289"/>
      <c r="C34" s="290" t="str">
        <f>'ورقة العمل'!K19</f>
        <v>ةوزرؤىلاوةزىؤرء</v>
      </c>
      <c r="D34" s="290" t="str">
        <f>'ورقة العمل'!L19</f>
        <v>حارس</v>
      </c>
      <c r="E34" s="945">
        <f>'ورقة العمل'!N19</f>
        <v>0</v>
      </c>
      <c r="F34" s="946">
        <f t="shared" si="0"/>
        <v>0</v>
      </c>
      <c r="G34" s="158" t="str">
        <f>'ورقة العمل'!M19</f>
        <v>الحساب الجاري البريدي</v>
      </c>
      <c r="H34" s="291"/>
      <c r="I34" s="307"/>
      <c r="J34" s="307"/>
      <c r="K34" s="307"/>
      <c r="L34" s="308"/>
      <c r="M34" s="307"/>
      <c r="N34" s="307"/>
      <c r="O34" s="307"/>
      <c r="AM34" s="272"/>
      <c r="AP34" s="273"/>
      <c r="BB34" s="818"/>
      <c r="BD34" s="272"/>
      <c r="BS34" s="272"/>
    </row>
    <row r="35" spans="1:71" s="3" customFormat="1" ht="17.25" customHeight="1">
      <c r="A35" s="300">
        <f>'ورقة العمل'!J20</f>
        <v>19</v>
      </c>
      <c r="B35" s="289"/>
      <c r="C35" s="290" t="str">
        <f>'ورقة العمل'!K20</f>
        <v>ظوزةلاؤءروةلارؤلا</v>
      </c>
      <c r="D35" s="290" t="str">
        <f>'ورقة العمل'!L20</f>
        <v>حارس</v>
      </c>
      <c r="E35" s="945">
        <f>'ورقة العمل'!N20</f>
        <v>5000</v>
      </c>
      <c r="F35" s="946">
        <f t="shared" si="0"/>
        <v>1</v>
      </c>
      <c r="G35" s="158" t="str">
        <f>'ورقة العمل'!M20</f>
        <v>الحساب الجاري البريدي</v>
      </c>
      <c r="H35" s="291"/>
      <c r="I35" s="307"/>
      <c r="J35" s="307"/>
      <c r="K35" s="307"/>
      <c r="L35" s="308"/>
      <c r="M35" s="307"/>
      <c r="N35" s="307"/>
      <c r="O35" s="307"/>
      <c r="AM35" s="272"/>
      <c r="AP35" s="273"/>
      <c r="BB35" s="818"/>
      <c r="BD35" s="272"/>
      <c r="BS35" s="272"/>
    </row>
    <row r="36" spans="1:71" s="3" customFormat="1" ht="17.25" customHeight="1">
      <c r="A36" s="300">
        <f>'ورقة العمل'!J21</f>
        <v>20</v>
      </c>
      <c r="B36" s="289"/>
      <c r="C36" s="290" t="str">
        <f>'ورقة العمل'!K21</f>
        <v>ؤرزوءظةلانتكلمسنات</v>
      </c>
      <c r="D36" s="290" t="str">
        <f>'ورقة العمل'!L21</f>
        <v>حارس</v>
      </c>
      <c r="E36" s="945">
        <f>'ورقة العمل'!N21</f>
        <v>5000</v>
      </c>
      <c r="F36" s="946">
        <f t="shared" si="0"/>
        <v>1</v>
      </c>
      <c r="G36" s="158" t="str">
        <f>'ورقة العمل'!M21</f>
        <v>الحساب الجاري البريدي</v>
      </c>
      <c r="H36" s="291"/>
      <c r="I36" s="307"/>
      <c r="J36" s="307"/>
      <c r="K36" s="307"/>
      <c r="L36" s="308"/>
      <c r="M36" s="307"/>
      <c r="N36" s="307"/>
      <c r="O36" s="307"/>
      <c r="AM36" s="272"/>
      <c r="AP36" s="273"/>
      <c r="BB36" s="818"/>
      <c r="BD36" s="272"/>
      <c r="BS36" s="272"/>
    </row>
    <row r="37" spans="1:71" s="3" customFormat="1" ht="17.25" customHeight="1">
      <c r="A37" s="300">
        <f>'ورقة العمل'!J22</f>
        <v>21</v>
      </c>
      <c r="B37" s="289"/>
      <c r="C37" s="290" t="str">
        <f>'ورقة العمل'!K22</f>
        <v>منؤرءىلارؤ نمؤلارنلا</v>
      </c>
      <c r="D37" s="290" t="str">
        <f>'ورقة العمل'!L22</f>
        <v>حارس</v>
      </c>
      <c r="E37" s="945">
        <f>'ورقة العمل'!N22</f>
        <v>5000</v>
      </c>
      <c r="F37" s="946">
        <f t="shared" si="0"/>
        <v>1</v>
      </c>
      <c r="G37" s="158" t="str">
        <f>'ورقة العمل'!M22</f>
        <v>الخزينة الولائية</v>
      </c>
      <c r="H37" s="291"/>
      <c r="I37" s="309"/>
      <c r="J37" s="309"/>
      <c r="K37" s="309"/>
      <c r="L37" s="310"/>
      <c r="M37" s="307"/>
      <c r="N37" s="307"/>
      <c r="O37" s="307"/>
      <c r="AM37" s="272"/>
      <c r="AP37" s="273"/>
      <c r="BB37" s="818"/>
      <c r="BD37" s="272"/>
      <c r="BS37" s="272"/>
    </row>
    <row r="38" spans="1:71" s="3" customFormat="1" ht="17.25" customHeight="1" thickBot="1">
      <c r="A38" s="300">
        <f>'ورقة العمل'!J23</f>
        <v>22</v>
      </c>
      <c r="B38" s="289"/>
      <c r="C38" s="290" t="str">
        <f>'ورقة العمل'!K23</f>
        <v>ةوىلاؤةرءلاىزوؤةىروةى</v>
      </c>
      <c r="D38" s="290" t="str">
        <f>'ورقة العمل'!L23</f>
        <v>حارس</v>
      </c>
      <c r="E38" s="945">
        <f>'ورقة العمل'!N23</f>
        <v>0</v>
      </c>
      <c r="F38" s="946">
        <f t="shared" si="0"/>
        <v>0</v>
      </c>
      <c r="G38" s="158" t="str">
        <f>'ورقة العمل'!M23</f>
        <v>الحساب الجاري البريدي</v>
      </c>
      <c r="H38" s="291"/>
      <c r="I38" s="317"/>
      <c r="J38" s="309"/>
      <c r="K38" s="309"/>
      <c r="L38" s="310"/>
      <c r="M38" s="307"/>
      <c r="N38" s="307"/>
      <c r="O38" s="307"/>
      <c r="AM38" s="272"/>
      <c r="AP38" s="273"/>
      <c r="BB38" s="818"/>
      <c r="BD38" s="272"/>
      <c r="BS38" s="272"/>
    </row>
    <row r="39" spans="1:71" s="295" customFormat="1" ht="30" customHeight="1" thickBot="1">
      <c r="A39" s="301"/>
      <c r="B39" s="1459" t="s">
        <v>134</v>
      </c>
      <c r="C39" s="1459"/>
      <c r="D39" s="1459"/>
      <c r="E39" s="293">
        <f>SUMIF(G17:G38,G39,E17:E38)</f>
        <v>20000</v>
      </c>
      <c r="F39" s="294">
        <v>1</v>
      </c>
      <c r="G39" s="1304" t="s">
        <v>550</v>
      </c>
      <c r="H39" s="1302">
        <f>VLOOKUP(C6,TABMAND,S2+12,FALSE)</f>
        <v>0</v>
      </c>
      <c r="I39" s="311"/>
      <c r="J39" s="311"/>
      <c r="K39" s="311"/>
      <c r="L39" s="312"/>
      <c r="M39" s="311"/>
      <c r="N39" s="311"/>
      <c r="O39" s="531"/>
      <c r="AM39" s="296"/>
      <c r="AP39" s="297"/>
      <c r="BB39" s="298"/>
      <c r="BD39" s="296"/>
      <c r="BS39" s="296"/>
    </row>
    <row r="40" spans="1:71" s="295" customFormat="1" ht="30" customHeight="1" thickBot="1">
      <c r="A40" s="301"/>
      <c r="B40" s="318" t="s">
        <v>135</v>
      </c>
      <c r="C40" s="299" t="str">
        <f>[1]!Arreta(E39)</f>
        <v xml:space="preserve">عشرون ألف دينار جزائري </v>
      </c>
      <c r="E40" s="1344">
        <f>الرئيسية!$N$10</f>
        <v>43617</v>
      </c>
      <c r="F40" s="294">
        <v>1</v>
      </c>
      <c r="G40" s="1304" t="s">
        <v>550</v>
      </c>
      <c r="H40" s="1302">
        <f>E39-H39</f>
        <v>20000</v>
      </c>
      <c r="I40" s="311"/>
      <c r="J40" s="311"/>
      <c r="K40" s="311"/>
      <c r="L40" s="312"/>
      <c r="M40" s="311"/>
      <c r="N40" s="311"/>
      <c r="O40" s="531"/>
      <c r="AM40" s="296"/>
      <c r="AP40" s="297"/>
      <c r="BB40" s="298"/>
      <c r="BD40" s="296"/>
      <c r="BS40" s="296"/>
    </row>
    <row r="41" spans="1:71" s="295" customFormat="1" ht="30" customHeight="1" thickBot="1">
      <c r="A41" s="301"/>
      <c r="B41" s="1459" t="s">
        <v>134</v>
      </c>
      <c r="C41" s="1459"/>
      <c r="D41" s="1459"/>
      <c r="E41" s="293">
        <f>SUMIF(G17:G38,G41,E17:E38)</f>
        <v>0</v>
      </c>
      <c r="F41" s="294">
        <v>1</v>
      </c>
      <c r="G41" s="1304" t="s">
        <v>549</v>
      </c>
      <c r="H41" s="1302">
        <f>VLOOKUP(C6,TABMAND,S2+12,FALSE)</f>
        <v>0</v>
      </c>
      <c r="I41" s="311"/>
      <c r="J41" s="311"/>
      <c r="K41" s="311"/>
      <c r="L41" s="312"/>
      <c r="M41" s="311"/>
      <c r="N41" s="311"/>
      <c r="O41" s="311"/>
      <c r="AM41" s="296"/>
      <c r="AP41" s="297"/>
      <c r="BB41" s="298"/>
      <c r="BD41" s="296"/>
      <c r="BS41" s="296"/>
    </row>
    <row r="42" spans="1:71" s="295" customFormat="1" ht="30" customHeight="1" thickBot="1">
      <c r="A42" s="301"/>
      <c r="B42" s="318" t="s">
        <v>135</v>
      </c>
      <c r="C42" s="299" t="str">
        <f>[1]!Arreta(E41)</f>
        <v/>
      </c>
      <c r="E42" s="1344">
        <f>الرئيسية!$N$10</f>
        <v>43617</v>
      </c>
      <c r="F42" s="294">
        <v>1</v>
      </c>
      <c r="G42" s="1304" t="s">
        <v>549</v>
      </c>
      <c r="H42" s="1302">
        <f>E41-H41</f>
        <v>0</v>
      </c>
      <c r="I42" s="311"/>
      <c r="J42" s="311"/>
      <c r="K42" s="311"/>
      <c r="L42" s="312"/>
      <c r="M42" s="311"/>
      <c r="N42" s="311"/>
      <c r="O42" s="311"/>
      <c r="AM42" s="296"/>
      <c r="AP42" s="297"/>
      <c r="BB42" s="298"/>
      <c r="BD42" s="296"/>
      <c r="BS42" s="296"/>
    </row>
    <row r="43" spans="1:71" s="295" customFormat="1" ht="30" customHeight="1" thickBot="1">
      <c r="A43" s="301"/>
      <c r="B43" s="1459" t="s">
        <v>134</v>
      </c>
      <c r="C43" s="1459"/>
      <c r="D43" s="1459"/>
      <c r="E43" s="293">
        <f>SUMIF(G17:G38,G43,E17:E38)</f>
        <v>0</v>
      </c>
      <c r="F43" s="294">
        <v>1</v>
      </c>
      <c r="G43" s="1304" t="s">
        <v>548</v>
      </c>
      <c r="H43" s="1302">
        <f>VLOOKUP(C6,TABMAND,S2+12,FALSE)</f>
        <v>0</v>
      </c>
      <c r="I43" s="311"/>
      <c r="J43" s="311"/>
      <c r="K43" s="311"/>
      <c r="L43" s="312"/>
      <c r="M43" s="311"/>
      <c r="N43" s="311"/>
      <c r="O43" s="311"/>
      <c r="AM43" s="296"/>
      <c r="AP43" s="297"/>
      <c r="BB43" s="298"/>
      <c r="BD43" s="296"/>
      <c r="BS43" s="296"/>
    </row>
    <row r="44" spans="1:71" s="295" customFormat="1" ht="30" customHeight="1" thickBot="1">
      <c r="A44" s="301"/>
      <c r="B44" s="318" t="s">
        <v>135</v>
      </c>
      <c r="C44" s="299" t="str">
        <f>[1]!Arreta(E43)</f>
        <v/>
      </c>
      <c r="E44" s="1344">
        <f>الرئيسية!$N$10</f>
        <v>43617</v>
      </c>
      <c r="F44" s="294">
        <v>1</v>
      </c>
      <c r="G44" s="1304" t="s">
        <v>548</v>
      </c>
      <c r="H44" s="1302">
        <f>E43-H43</f>
        <v>0</v>
      </c>
      <c r="I44" s="311"/>
      <c r="J44" s="311"/>
      <c r="K44" s="311"/>
      <c r="L44" s="312"/>
      <c r="M44" s="311"/>
      <c r="N44" s="311"/>
      <c r="O44" s="311"/>
      <c r="AM44" s="296"/>
      <c r="AP44" s="297"/>
      <c r="BB44" s="298"/>
      <c r="BD44" s="296"/>
      <c r="BS44" s="296"/>
    </row>
    <row r="45" spans="1:71" s="295" customFormat="1" ht="30" customHeight="1" thickBot="1">
      <c r="A45" s="301"/>
      <c r="B45" s="1459" t="s">
        <v>134</v>
      </c>
      <c r="C45" s="1459"/>
      <c r="D45" s="1459"/>
      <c r="E45" s="293">
        <f>SUMIF(G17:G38,G45,E17:E38)</f>
        <v>15000</v>
      </c>
      <c r="F45" s="294">
        <v>1</v>
      </c>
      <c r="G45" s="1304" t="s">
        <v>561</v>
      </c>
      <c r="H45" s="1302">
        <f>VLOOKUP(C6,TABMAND,S2+12,FALSE)</f>
        <v>0</v>
      </c>
      <c r="I45" s="311"/>
      <c r="J45" s="311"/>
      <c r="K45" s="311"/>
      <c r="L45" s="312"/>
      <c r="M45" s="311"/>
      <c r="N45" s="311"/>
      <c r="O45" s="311"/>
      <c r="AM45" s="296"/>
      <c r="AP45" s="297"/>
      <c r="BB45" s="298"/>
      <c r="BD45" s="296"/>
      <c r="BS45" s="296"/>
    </row>
    <row r="46" spans="1:71" s="295" customFormat="1" ht="30" customHeight="1" thickBot="1">
      <c r="A46" s="301"/>
      <c r="B46" s="318" t="s">
        <v>135</v>
      </c>
      <c r="C46" s="299" t="str">
        <f>[1]!Arreta(E45)</f>
        <v xml:space="preserve">خمسة عشر ألف دينار جزائري </v>
      </c>
      <c r="E46" s="1344">
        <f>الرئيسية!$N$10</f>
        <v>43617</v>
      </c>
      <c r="F46" s="294">
        <v>1</v>
      </c>
      <c r="G46" s="1304" t="s">
        <v>561</v>
      </c>
      <c r="H46" s="1302">
        <f>E45-H45</f>
        <v>15000</v>
      </c>
      <c r="I46" s="311"/>
      <c r="J46" s="311"/>
      <c r="K46" s="311"/>
      <c r="L46" s="312"/>
      <c r="M46" s="311"/>
      <c r="N46" s="311"/>
      <c r="O46" s="311"/>
      <c r="AM46" s="296"/>
      <c r="AP46" s="297"/>
      <c r="BB46" s="298"/>
      <c r="BD46" s="296"/>
      <c r="BS46" s="296"/>
    </row>
    <row r="47" spans="1:71" s="295" customFormat="1" ht="30" customHeight="1" thickBot="1">
      <c r="A47" s="301"/>
      <c r="B47" s="1459" t="s">
        <v>134</v>
      </c>
      <c r="C47" s="1459"/>
      <c r="D47" s="1459"/>
      <c r="E47" s="293">
        <f>SUMIF(G17:G38,G45,E17:E38)</f>
        <v>15000</v>
      </c>
      <c r="F47" s="294">
        <v>1</v>
      </c>
      <c r="G47" s="1304" t="s">
        <v>562</v>
      </c>
      <c r="H47" s="1302">
        <f>VLOOKUP(C6,TABMAND,S2+12,FALSE)</f>
        <v>0</v>
      </c>
      <c r="I47" s="311"/>
      <c r="J47" s="311"/>
      <c r="K47" s="311"/>
      <c r="L47" s="312"/>
      <c r="M47" s="311"/>
      <c r="N47" s="311"/>
      <c r="O47" s="311"/>
      <c r="AM47" s="296"/>
      <c r="AP47" s="297"/>
      <c r="BB47" s="298"/>
      <c r="BD47" s="296"/>
      <c r="BS47" s="296"/>
    </row>
    <row r="48" spans="1:71" s="295" customFormat="1" ht="30" customHeight="1" thickBot="1">
      <c r="A48" s="301"/>
      <c r="B48" s="318" t="s">
        <v>135</v>
      </c>
      <c r="C48" s="299" t="str">
        <f>[1]!Arreta(E47)</f>
        <v xml:space="preserve">خمسة عشر ألف دينار جزائري </v>
      </c>
      <c r="E48" s="1344">
        <f>الرئيسية!$N$10</f>
        <v>43617</v>
      </c>
      <c r="F48" s="294">
        <v>1</v>
      </c>
      <c r="G48" s="1304" t="s">
        <v>562</v>
      </c>
      <c r="H48" s="1302">
        <f>E47-H47</f>
        <v>15000</v>
      </c>
      <c r="I48" s="311"/>
      <c r="J48" s="311"/>
      <c r="K48" s="311"/>
      <c r="L48" s="312"/>
      <c r="M48" s="311"/>
      <c r="N48" s="311"/>
      <c r="O48" s="311"/>
      <c r="AM48" s="296"/>
      <c r="AP48" s="297"/>
      <c r="BB48" s="298"/>
      <c r="BD48" s="296"/>
      <c r="BS48" s="296"/>
    </row>
  </sheetData>
  <autoFilter ref="F16:G48"/>
  <mergeCells count="10">
    <mergeCell ref="B41:D41"/>
    <mergeCell ref="B43:D43"/>
    <mergeCell ref="B45:D45"/>
    <mergeCell ref="B47:D47"/>
    <mergeCell ref="B1:E1"/>
    <mergeCell ref="BX11:BX12"/>
    <mergeCell ref="BZ12:CB12"/>
    <mergeCell ref="BX13:CC13"/>
    <mergeCell ref="BX15:CC15"/>
    <mergeCell ref="B39:D39"/>
  </mergeCells>
  <dataValidations count="1">
    <dataValidation type="list" allowBlank="1" showInputMessage="1" showErrorMessage="1" sqref="C6">
      <formula1>'ورقة العمل'!Y7:Y12</formula1>
    </dataValidation>
  </dataValidations>
  <printOptions horizontalCentered="1"/>
  <pageMargins left="0.19685039370078741" right="0.19685039370078741" top="0.39370078740157483" bottom="0.39370078740157483" header="0" footer="0"/>
  <pageSetup paperSize="134" scale="95" orientation="portrait" horizontalDpi="180" verticalDpi="18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sheetPr>
    <tabColor rgb="FF00B0F0"/>
  </sheetPr>
  <dimension ref="B1:AZ94"/>
  <sheetViews>
    <sheetView rightToLeft="1" view="pageBreakPreview" workbookViewId="0">
      <selection activeCell="E10" sqref="E10"/>
    </sheetView>
  </sheetViews>
  <sheetFormatPr baseColWidth="10" defaultRowHeight="12.75"/>
  <cols>
    <col min="1" max="1" width="3.85546875" customWidth="1"/>
    <col min="4" max="4" width="15.28515625" bestFit="1" customWidth="1"/>
    <col min="7" max="7" width="15.28515625" customWidth="1"/>
    <col min="8" max="8" width="15.28515625" bestFit="1" customWidth="1"/>
    <col min="10" max="10" width="21.5703125" customWidth="1"/>
    <col min="11" max="11" width="17.140625" customWidth="1"/>
  </cols>
  <sheetData>
    <row r="1" spans="2:52" s="3" customFormat="1" ht="23.25">
      <c r="B1" s="1444" t="s">
        <v>231</v>
      </c>
      <c r="C1" s="1444"/>
      <c r="D1" s="1444"/>
      <c r="E1" s="1444"/>
      <c r="F1" s="1444"/>
      <c r="G1" s="1444"/>
      <c r="H1" s="1444"/>
      <c r="I1" s="273"/>
      <c r="U1" s="818"/>
      <c r="W1" s="272"/>
      <c r="AL1" s="272"/>
      <c r="AQ1"/>
      <c r="AR1"/>
      <c r="AS1"/>
      <c r="AT1"/>
      <c r="AU1"/>
      <c r="AV1"/>
      <c r="AW1"/>
      <c r="AX1"/>
      <c r="AY1"/>
      <c r="AZ1" s="447"/>
    </row>
    <row r="2" spans="2:52" s="3" customFormat="1" ht="23.25">
      <c r="B2"/>
      <c r="C2" s="819"/>
      <c r="D2" s="819"/>
      <c r="E2" s="819"/>
      <c r="F2" s="819"/>
      <c r="G2" s="819"/>
      <c r="H2" s="819"/>
      <c r="I2" s="273"/>
      <c r="U2" s="818"/>
      <c r="W2" s="272"/>
      <c r="AL2" s="272"/>
      <c r="AQ2"/>
      <c r="AR2"/>
      <c r="AS2"/>
      <c r="AT2"/>
      <c r="AU2"/>
      <c r="AV2"/>
      <c r="AW2"/>
      <c r="AX2"/>
      <c r="AY2"/>
      <c r="AZ2" s="447"/>
    </row>
    <row r="3" spans="2:52" s="3" customFormat="1" ht="23.25">
      <c r="B3" s="1377" t="s">
        <v>793</v>
      </c>
      <c r="C3"/>
      <c r="D3"/>
      <c r="E3"/>
      <c r="F3" s="431"/>
      <c r="G3"/>
      <c r="H3"/>
      <c r="I3" s="273"/>
      <c r="U3" s="818"/>
      <c r="W3" s="272"/>
      <c r="AL3" s="272"/>
      <c r="AQ3"/>
      <c r="AR3"/>
      <c r="AS3"/>
      <c r="AT3"/>
      <c r="AU3"/>
      <c r="AV3"/>
      <c r="AW3"/>
      <c r="AX3"/>
      <c r="AY3"/>
      <c r="AZ3" s="447"/>
    </row>
    <row r="4" spans="2:52" s="3" customFormat="1" ht="23.25">
      <c r="B4" s="1378" t="s">
        <v>792</v>
      </c>
      <c r="C4" s="432"/>
      <c r="D4" s="284"/>
      <c r="E4" s="433" t="s">
        <v>249</v>
      </c>
      <c r="F4" s="944">
        <v>80</v>
      </c>
      <c r="G4" s="433" t="s">
        <v>250</v>
      </c>
      <c r="H4" s="1311">
        <f>الرئيسية!N10</f>
        <v>43617</v>
      </c>
      <c r="I4" s="273"/>
      <c r="U4" s="818"/>
      <c r="W4" s="272"/>
      <c r="AL4" s="272"/>
      <c r="AQ4"/>
      <c r="AR4"/>
      <c r="AS4"/>
      <c r="AT4"/>
      <c r="AU4"/>
      <c r="AV4"/>
      <c r="AW4"/>
      <c r="AX4"/>
      <c r="AY4"/>
      <c r="AZ4" s="447"/>
    </row>
    <row r="5" spans="2:52" s="3" customFormat="1" ht="23.25">
      <c r="F5" s="272"/>
      <c r="I5" s="273"/>
      <c r="U5" s="818"/>
      <c r="W5" s="272"/>
      <c r="AL5" s="272"/>
      <c r="AQ5"/>
      <c r="AR5"/>
      <c r="AS5"/>
      <c r="AT5"/>
      <c r="AU5"/>
      <c r="AV5"/>
      <c r="AW5"/>
      <c r="AX5"/>
      <c r="AY5"/>
      <c r="AZ5" s="447"/>
    </row>
    <row r="6" spans="2:52" s="3" customFormat="1" ht="23.25">
      <c r="B6" s="1445" t="s">
        <v>232</v>
      </c>
      <c r="C6" s="1445"/>
      <c r="D6" s="1445"/>
      <c r="E6" s="1445"/>
      <c r="F6" s="1445"/>
      <c r="G6" s="1445"/>
      <c r="H6" s="1445"/>
      <c r="I6" s="273"/>
      <c r="K6" s="523" t="str">
        <f>LOOKUP(F4,'ورقة العمل'!Y2:Y12,'ورقة العمل'!X2:X12)</f>
        <v>الحساب الجاري البريدي</v>
      </c>
      <c r="U6" s="818"/>
      <c r="W6" s="272"/>
      <c r="AL6" s="272"/>
      <c r="AQ6"/>
      <c r="AR6"/>
      <c r="AS6"/>
      <c r="AT6"/>
      <c r="AU6"/>
      <c r="AV6"/>
      <c r="AW6"/>
      <c r="AX6"/>
      <c r="AY6"/>
      <c r="AZ6" s="447"/>
    </row>
    <row r="7" spans="2:52" s="3" customFormat="1" ht="23.25">
      <c r="B7" s="1442" t="s">
        <v>233</v>
      </c>
      <c r="C7" s="1442"/>
      <c r="D7" s="1442"/>
      <c r="E7" s="1442"/>
      <c r="F7" s="1442"/>
      <c r="G7" s="1442"/>
      <c r="H7" s="1442"/>
      <c r="I7" s="273"/>
      <c r="U7" s="818"/>
      <c r="W7" s="272"/>
      <c r="AL7" s="272"/>
      <c r="AQ7"/>
      <c r="AR7"/>
      <c r="AS7"/>
      <c r="AT7"/>
      <c r="AU7"/>
      <c r="AV7"/>
      <c r="AW7"/>
      <c r="AX7"/>
      <c r="AY7"/>
      <c r="AZ7" s="447"/>
    </row>
    <row r="8" spans="2:52" s="3" customFormat="1" ht="23.25">
      <c r="B8" s="1442" t="s">
        <v>324</v>
      </c>
      <c r="C8" s="1442"/>
      <c r="D8" s="1442"/>
      <c r="E8" s="1442"/>
      <c r="F8" s="1442"/>
      <c r="G8" s="1442"/>
      <c r="H8" s="1442"/>
      <c r="I8" s="273"/>
      <c r="U8" s="818"/>
      <c r="W8" s="272"/>
      <c r="AL8" s="272"/>
      <c r="AQ8"/>
      <c r="AR8"/>
      <c r="AS8"/>
      <c r="AT8"/>
      <c r="AU8"/>
      <c r="AV8"/>
      <c r="AW8"/>
      <c r="AX8"/>
      <c r="AY8"/>
      <c r="AZ8" s="447"/>
    </row>
    <row r="9" spans="2:52" s="3" customFormat="1" ht="23.25">
      <c r="B9" s="157"/>
      <c r="C9" s="434" t="s">
        <v>325</v>
      </c>
      <c r="D9" s="1312" t="str">
        <f>الرئيسية!N8</f>
        <v>جوان</v>
      </c>
      <c r="E9" s="272"/>
      <c r="F9" s="1379" t="s">
        <v>794</v>
      </c>
      <c r="G9" s="272"/>
      <c r="H9" s="272"/>
      <c r="I9" s="273"/>
      <c r="K9" s="522">
        <f>C17*34%</f>
        <v>18398.47</v>
      </c>
      <c r="U9" s="818"/>
      <c r="W9" s="272"/>
      <c r="AL9" s="272"/>
      <c r="AQ9"/>
      <c r="AR9"/>
      <c r="AS9"/>
      <c r="AT9"/>
      <c r="AU9"/>
      <c r="AV9"/>
      <c r="AW9"/>
      <c r="AX9"/>
      <c r="AY9"/>
      <c r="AZ9" s="447"/>
    </row>
    <row r="10" spans="2:52" s="3" customFormat="1" ht="23.25">
      <c r="B10" s="157" t="s">
        <v>234</v>
      </c>
      <c r="C10" s="157"/>
      <c r="D10" s="272"/>
      <c r="E10" s="272"/>
      <c r="F10" s="1379" t="s">
        <v>795</v>
      </c>
      <c r="G10" s="272"/>
      <c r="H10" s="272"/>
      <c r="I10" s="273"/>
      <c r="K10" s="452">
        <f>G18-K9</f>
        <v>-0.01</v>
      </c>
      <c r="U10" s="818"/>
      <c r="W10" s="272"/>
      <c r="AL10" s="272"/>
      <c r="AQ10"/>
      <c r="AR10"/>
      <c r="AS10"/>
      <c r="AT10"/>
      <c r="AU10"/>
      <c r="AV10"/>
      <c r="AW10"/>
      <c r="AX10"/>
      <c r="AY10"/>
      <c r="AZ10" s="447"/>
    </row>
    <row r="11" spans="2:52" s="3" customFormat="1" ht="23.25">
      <c r="B11" s="157"/>
      <c r="C11" s="157" t="s">
        <v>235</v>
      </c>
      <c r="D11" s="272"/>
      <c r="E11" s="272"/>
      <c r="F11" s="157" t="str">
        <f ca="1">CONCATENATE("السنــة :","  ",YEAR(TODAY()))</f>
        <v>السنــة :  2019</v>
      </c>
      <c r="G11" s="272"/>
      <c r="H11" s="272"/>
      <c r="I11" s="273"/>
      <c r="U11" s="818"/>
      <c r="W11" s="272"/>
      <c r="AL11" s="272"/>
      <c r="AQ11"/>
      <c r="AR11"/>
      <c r="AS11"/>
      <c r="AT11"/>
      <c r="AU11"/>
      <c r="AV11"/>
      <c r="AW11"/>
      <c r="AX11"/>
      <c r="AY11"/>
      <c r="AZ11" s="447"/>
    </row>
    <row r="12" spans="2:52" s="3" customFormat="1" ht="23.25">
      <c r="B12" s="435" t="str">
        <f ca="1">'ETAT-PAY-PERM'!F10</f>
        <v>أجـــرة شهـــر جوان 2019</v>
      </c>
      <c r="C12" s="272"/>
      <c r="D12" s="272"/>
      <c r="E12" s="272"/>
      <c r="F12" s="436" t="s">
        <v>796</v>
      </c>
      <c r="G12" s="272"/>
      <c r="H12" s="272"/>
      <c r="I12" s="273"/>
      <c r="K12" s="523">
        <f>COUNTIF('ETAT-PAY-VACT'!Y14:Y37,K6)</f>
        <v>11</v>
      </c>
      <c r="U12" s="818"/>
      <c r="W12" s="272"/>
      <c r="AL12" s="272"/>
      <c r="AQ12"/>
      <c r="AR12"/>
      <c r="AS12"/>
      <c r="AT12"/>
      <c r="AU12"/>
      <c r="AV12"/>
      <c r="AW12"/>
      <c r="AX12"/>
      <c r="AY12"/>
      <c r="AZ12" s="447"/>
    </row>
    <row r="13" spans="2:52" s="3" customFormat="1" ht="23.25">
      <c r="B13" s="157" t="s">
        <v>237</v>
      </c>
      <c r="C13" s="272"/>
      <c r="D13" s="272"/>
      <c r="E13" s="272"/>
      <c r="F13" s="272"/>
      <c r="G13" s="272"/>
      <c r="H13" s="272"/>
      <c r="I13" s="273"/>
      <c r="U13" s="818"/>
      <c r="W13" s="272"/>
      <c r="AL13" s="272"/>
      <c r="AQ13"/>
      <c r="AR13"/>
      <c r="AS13"/>
      <c r="AT13"/>
      <c r="AU13"/>
      <c r="AV13"/>
      <c r="AW13"/>
      <c r="AX13"/>
      <c r="AY13"/>
      <c r="AZ13" s="447"/>
    </row>
    <row r="14" spans="2:52" s="3" customFormat="1" ht="23.25">
      <c r="F14" s="272"/>
      <c r="I14" s="273"/>
      <c r="U14" s="818"/>
      <c r="W14" s="272"/>
      <c r="AL14" s="272"/>
      <c r="AQ14"/>
      <c r="AR14"/>
      <c r="AS14"/>
      <c r="AT14"/>
      <c r="AU14"/>
      <c r="AV14"/>
      <c r="AW14"/>
      <c r="AX14"/>
      <c r="AY14"/>
      <c r="AZ14" s="447"/>
    </row>
    <row r="15" spans="2:52" s="3" customFormat="1" ht="23.25">
      <c r="B15" s="1446" t="s">
        <v>238</v>
      </c>
      <c r="C15" s="1448" t="s">
        <v>239</v>
      </c>
      <c r="D15" s="1449"/>
      <c r="E15" s="1450"/>
      <c r="F15" s="1446" t="s">
        <v>240</v>
      </c>
      <c r="G15" s="1448" t="s">
        <v>241</v>
      </c>
      <c r="H15" s="1450"/>
      <c r="I15" s="273"/>
      <c r="U15" s="818"/>
      <c r="W15" s="272"/>
      <c r="AL15" s="272"/>
      <c r="AQ15"/>
      <c r="AR15"/>
      <c r="AS15"/>
      <c r="AT15"/>
      <c r="AU15"/>
      <c r="AV15"/>
      <c r="AW15"/>
      <c r="AX15"/>
      <c r="AY15"/>
      <c r="AZ15" s="447"/>
    </row>
    <row r="16" spans="2:52" s="3" customFormat="1" ht="23.25">
      <c r="B16" s="1447"/>
      <c r="C16" s="1451" t="s">
        <v>242</v>
      </c>
      <c r="D16" s="1453"/>
      <c r="E16" s="1452"/>
      <c r="F16" s="1447"/>
      <c r="G16" s="1451"/>
      <c r="H16" s="1452"/>
      <c r="I16" s="273"/>
      <c r="U16" s="818"/>
      <c r="W16" s="272"/>
      <c r="AL16" s="272"/>
      <c r="AQ16"/>
      <c r="AR16"/>
      <c r="AS16"/>
      <c r="AT16"/>
      <c r="AU16"/>
      <c r="AV16"/>
      <c r="AW16"/>
      <c r="AX16"/>
      <c r="AY16"/>
      <c r="AZ16" s="447"/>
    </row>
    <row r="17" spans="2:52" s="449" customFormat="1" ht="129" customHeight="1">
      <c r="B17" s="437">
        <f>VLOOKUP(F4,TABMAND,U2+19,FALSE)</f>
        <v>4</v>
      </c>
      <c r="C17" s="1440">
        <f>VLOOKUP(F4,TABMAND,U2+18,FALSE)</f>
        <v>54113.14</v>
      </c>
      <c r="D17" s="1443"/>
      <c r="E17" s="1441"/>
      <c r="F17" s="437">
        <v>34</v>
      </c>
      <c r="G17" s="1440">
        <f>VLOOKUP(F4,TABMAND,U2+14,FALSE)</f>
        <v>18398.46</v>
      </c>
      <c r="H17" s="1441"/>
      <c r="U17" s="450"/>
      <c r="AQ17"/>
      <c r="AR17"/>
      <c r="AS17"/>
      <c r="AT17"/>
      <c r="AU17"/>
      <c r="AV17"/>
      <c r="AW17"/>
      <c r="AX17"/>
      <c r="AY17"/>
      <c r="AZ17" s="447"/>
    </row>
    <row r="18" spans="2:52" s="3" customFormat="1" ht="23.25">
      <c r="B18" s="437">
        <f>SUM(B17:B17)</f>
        <v>4</v>
      </c>
      <c r="C18" s="1440">
        <f>SUM(C17:C17)</f>
        <v>54113.14</v>
      </c>
      <c r="D18" s="1443"/>
      <c r="E18" s="1441"/>
      <c r="F18" s="820" t="s">
        <v>251</v>
      </c>
      <c r="G18" s="1440">
        <f>SUM(G17)</f>
        <v>18398.46</v>
      </c>
      <c r="H18" s="1441"/>
      <c r="U18" s="818"/>
      <c r="W18" s="272"/>
      <c r="AL18" s="272"/>
      <c r="AQ18"/>
      <c r="AR18"/>
      <c r="AS18"/>
      <c r="AT18"/>
      <c r="AU18"/>
      <c r="AV18"/>
      <c r="AW18"/>
      <c r="AX18"/>
      <c r="AY18"/>
      <c r="AZ18" s="447"/>
    </row>
    <row r="19" spans="2:52" s="3" customFormat="1" ht="23.25">
      <c r="F19" s="272"/>
      <c r="U19" s="818"/>
      <c r="W19" s="272"/>
      <c r="AL19" s="272"/>
      <c r="AQ19"/>
      <c r="AR19"/>
      <c r="AS19"/>
      <c r="AT19"/>
      <c r="AU19"/>
      <c r="AV19"/>
      <c r="AW19"/>
      <c r="AX19"/>
      <c r="AY19"/>
      <c r="AZ19" s="447"/>
    </row>
    <row r="20" spans="2:52" s="3" customFormat="1" ht="23.25">
      <c r="B20" s="159" t="s">
        <v>244</v>
      </c>
      <c r="F20" s="272"/>
      <c r="I20" s="449"/>
      <c r="U20" s="818"/>
      <c r="W20" s="272"/>
      <c r="AL20" s="272"/>
      <c r="AQ20"/>
      <c r="AR20"/>
      <c r="AS20"/>
      <c r="AT20"/>
      <c r="AU20"/>
      <c r="AV20"/>
      <c r="AW20"/>
      <c r="AX20"/>
      <c r="AY20"/>
      <c r="AZ20" s="447"/>
    </row>
    <row r="21" spans="2:52" s="3" customFormat="1" ht="23.25">
      <c r="B21" s="159" t="s">
        <v>245</v>
      </c>
      <c r="F21" s="272"/>
      <c r="I21" s="449"/>
      <c r="U21" s="818"/>
      <c r="W21" s="272"/>
      <c r="AL21" s="272"/>
      <c r="AQ21"/>
      <c r="AR21"/>
      <c r="AS21"/>
      <c r="AT21"/>
      <c r="AU21"/>
      <c r="AV21"/>
      <c r="AW21"/>
      <c r="AX21"/>
      <c r="AY21"/>
      <c r="AZ21" s="447"/>
    </row>
    <row r="22" spans="2:52" s="3" customFormat="1" ht="23.25">
      <c r="F22" s="1380" t="s">
        <v>797</v>
      </c>
      <c r="G22" s="1295">
        <f>H4</f>
        <v>43617</v>
      </c>
      <c r="I22" s="273"/>
      <c r="U22" s="818"/>
      <c r="W22" s="272"/>
      <c r="AL22" s="272"/>
      <c r="AQ22"/>
      <c r="AR22"/>
      <c r="AS22"/>
      <c r="AT22"/>
      <c r="AU22"/>
      <c r="AV22"/>
      <c r="AW22"/>
      <c r="AX22"/>
      <c r="AY22"/>
      <c r="AZ22" s="447"/>
    </row>
    <row r="23" spans="2:52" s="3" customFormat="1" ht="23.25">
      <c r="F23" s="272"/>
      <c r="I23" s="273"/>
      <c r="U23" s="818"/>
      <c r="W23" s="272"/>
      <c r="AL23" s="272"/>
      <c r="AQ23"/>
      <c r="AR23"/>
      <c r="AS23"/>
      <c r="AT23"/>
      <c r="AU23"/>
      <c r="AV23"/>
      <c r="AW23"/>
      <c r="AX23"/>
      <c r="AY23"/>
      <c r="AZ23" s="447"/>
    </row>
    <row r="24" spans="2:52" s="3" customFormat="1" ht="23.25">
      <c r="F24" s="443" t="s">
        <v>246</v>
      </c>
      <c r="I24" s="273"/>
      <c r="U24" s="818"/>
      <c r="W24" s="272"/>
      <c r="AL24" s="272"/>
      <c r="AQ24"/>
      <c r="AR24"/>
      <c r="AS24"/>
      <c r="AT24"/>
      <c r="AU24"/>
      <c r="AV24"/>
      <c r="AW24"/>
      <c r="AX24"/>
      <c r="AY24"/>
      <c r="AZ24" s="447"/>
    </row>
    <row r="30" spans="2:52" s="3" customFormat="1" ht="23.25">
      <c r="B30" s="1444" t="s">
        <v>231</v>
      </c>
      <c r="C30" s="1444"/>
      <c r="D30" s="1444"/>
      <c r="E30" s="1444"/>
      <c r="F30" s="1444"/>
      <c r="G30" s="1444"/>
      <c r="H30" s="1444"/>
      <c r="I30" s="273"/>
      <c r="U30" s="818"/>
      <c r="W30" s="272"/>
      <c r="AL30" s="272"/>
      <c r="AQ30"/>
      <c r="AR30"/>
      <c r="AS30"/>
      <c r="AT30"/>
      <c r="AU30"/>
      <c r="AV30"/>
      <c r="AW30"/>
      <c r="AX30"/>
      <c r="AY30"/>
      <c r="AZ30" s="447"/>
    </row>
    <row r="31" spans="2:52" s="3" customFormat="1" ht="23.25">
      <c r="B31"/>
      <c r="C31" s="819"/>
      <c r="D31" s="819"/>
      <c r="E31" s="819"/>
      <c r="F31" s="819"/>
      <c r="G31" s="819"/>
      <c r="H31" s="819"/>
      <c r="I31" s="273"/>
      <c r="U31" s="818"/>
      <c r="W31" s="272"/>
      <c r="AL31" s="272"/>
      <c r="AQ31"/>
      <c r="AR31"/>
      <c r="AS31"/>
      <c r="AT31"/>
      <c r="AU31"/>
      <c r="AV31"/>
      <c r="AW31"/>
      <c r="AX31"/>
      <c r="AY31"/>
      <c r="AZ31" s="447"/>
    </row>
    <row r="32" spans="2:52" s="3" customFormat="1" ht="23.25">
      <c r="B32" s="280" t="str">
        <f>B3</f>
        <v>المديرية العامة ,,,,,,,,,,,,,</v>
      </c>
      <c r="C32"/>
      <c r="D32"/>
      <c r="E32"/>
      <c r="F32" s="431"/>
      <c r="G32"/>
      <c r="H32"/>
      <c r="I32" s="273"/>
      <c r="U32" s="818"/>
      <c r="W32" s="272"/>
      <c r="AL32" s="272"/>
      <c r="AQ32"/>
      <c r="AR32"/>
      <c r="AS32"/>
      <c r="AT32"/>
      <c r="AU32"/>
      <c r="AV32"/>
      <c r="AW32"/>
      <c r="AX32"/>
      <c r="AY32"/>
      <c r="AZ32" s="447"/>
    </row>
    <row r="33" spans="2:52" s="3" customFormat="1" ht="23.25">
      <c r="B33" s="280" t="str">
        <f>B4</f>
        <v>مديرية ,,,,,,,,,,,,,,,,,,,,,,,</v>
      </c>
      <c r="C33" s="432"/>
      <c r="D33" s="284"/>
      <c r="E33" s="524" t="s">
        <v>326</v>
      </c>
      <c r="F33" s="448" t="str">
        <f>'MAND-SEC-SOC'!B11</f>
        <v>رقـــم:  74</v>
      </c>
      <c r="G33" s="433" t="s">
        <v>250</v>
      </c>
      <c r="H33" s="1295">
        <f>G22</f>
        <v>43617</v>
      </c>
      <c r="I33" s="273"/>
      <c r="U33" s="818"/>
      <c r="W33" s="272"/>
      <c r="AL33" s="272"/>
      <c r="AQ33"/>
      <c r="AR33"/>
      <c r="AS33"/>
      <c r="AT33"/>
      <c r="AU33"/>
      <c r="AV33"/>
      <c r="AW33"/>
      <c r="AX33"/>
      <c r="AY33"/>
      <c r="AZ33" s="447"/>
    </row>
    <row r="34" spans="2:52" s="3" customFormat="1" ht="23.25">
      <c r="F34" s="272"/>
      <c r="I34" s="273"/>
      <c r="U34" s="818"/>
      <c r="W34" s="272"/>
      <c r="AL34" s="272"/>
      <c r="AQ34"/>
      <c r="AR34"/>
      <c r="AS34"/>
      <c r="AT34"/>
      <c r="AU34"/>
      <c r="AV34"/>
      <c r="AW34"/>
      <c r="AX34"/>
      <c r="AY34"/>
      <c r="AZ34" s="447"/>
    </row>
    <row r="35" spans="2:52" s="3" customFormat="1" ht="23.25">
      <c r="B35" s="1445" t="s">
        <v>232</v>
      </c>
      <c r="C35" s="1445"/>
      <c r="D35" s="1445"/>
      <c r="E35" s="1445"/>
      <c r="F35" s="1445"/>
      <c r="G35" s="1445"/>
      <c r="H35" s="1445"/>
      <c r="I35" s="273"/>
      <c r="U35" s="818"/>
      <c r="W35" s="272"/>
      <c r="AL35" s="272"/>
      <c r="AQ35"/>
      <c r="AR35"/>
      <c r="AS35"/>
      <c r="AT35"/>
      <c r="AU35"/>
      <c r="AV35"/>
      <c r="AW35"/>
      <c r="AX35"/>
      <c r="AY35"/>
      <c r="AZ35" s="447"/>
    </row>
    <row r="36" spans="2:52" s="3" customFormat="1" ht="23.25">
      <c r="B36" s="1442" t="s">
        <v>233</v>
      </c>
      <c r="C36" s="1442"/>
      <c r="D36" s="1442"/>
      <c r="E36" s="1442"/>
      <c r="F36" s="1442"/>
      <c r="G36" s="1442"/>
      <c r="H36" s="1442"/>
      <c r="I36" s="273"/>
      <c r="U36" s="818"/>
      <c r="W36" s="272"/>
      <c r="AL36" s="272"/>
      <c r="AQ36"/>
      <c r="AR36"/>
      <c r="AS36"/>
      <c r="AT36"/>
      <c r="AU36"/>
      <c r="AV36"/>
      <c r="AW36"/>
      <c r="AX36"/>
      <c r="AY36"/>
      <c r="AZ36" s="447"/>
    </row>
    <row r="37" spans="2:52" s="3" customFormat="1" ht="23.25">
      <c r="B37" s="1442" t="s">
        <v>324</v>
      </c>
      <c r="C37" s="1442"/>
      <c r="D37" s="1442"/>
      <c r="E37" s="1442"/>
      <c r="F37" s="1442"/>
      <c r="G37" s="1442"/>
      <c r="H37" s="1442"/>
      <c r="I37" s="273"/>
      <c r="U37" s="818"/>
      <c r="W37" s="272"/>
      <c r="AL37" s="272"/>
      <c r="AQ37"/>
      <c r="AR37"/>
      <c r="AS37"/>
      <c r="AT37"/>
      <c r="AU37"/>
      <c r="AV37"/>
      <c r="AW37"/>
      <c r="AX37"/>
      <c r="AY37"/>
      <c r="AZ37" s="447"/>
    </row>
    <row r="38" spans="2:52" s="3" customFormat="1" ht="23.25">
      <c r="B38" s="157"/>
      <c r="C38" s="434" t="s">
        <v>325</v>
      </c>
      <c r="D38" s="1312" t="str">
        <f>D9</f>
        <v>جوان</v>
      </c>
      <c r="E38" s="272"/>
      <c r="F38" s="157" t="str">
        <f>F9</f>
        <v>المشترك رقم: 123456789    المفتاح :  123</v>
      </c>
      <c r="G38" s="272"/>
      <c r="H38" s="272"/>
      <c r="I38" s="273"/>
      <c r="U38" s="818"/>
      <c r="W38" s="272"/>
      <c r="AL38" s="272"/>
      <c r="AQ38"/>
      <c r="AR38"/>
      <c r="AS38"/>
      <c r="AT38"/>
      <c r="AU38"/>
      <c r="AV38"/>
      <c r="AW38"/>
      <c r="AX38"/>
      <c r="AY38"/>
      <c r="AZ38" s="447"/>
    </row>
    <row r="39" spans="2:52" s="3" customFormat="1" ht="23.25">
      <c r="B39" s="157" t="s">
        <v>234</v>
      </c>
      <c r="C39" s="157"/>
      <c r="D39" s="272"/>
      <c r="E39" s="272"/>
      <c r="F39" s="157" t="str">
        <f>F10</f>
        <v>العنوان الإجتماعي : ايبايايشاليابلابلاسبالبابسابلالبابلا -</v>
      </c>
      <c r="G39" s="272"/>
      <c r="H39" s="272"/>
      <c r="I39" s="273"/>
      <c r="U39" s="818"/>
      <c r="W39" s="272"/>
      <c r="AL39" s="272"/>
      <c r="AQ39"/>
      <c r="AR39"/>
      <c r="AS39"/>
      <c r="AT39"/>
      <c r="AU39"/>
      <c r="AV39"/>
      <c r="AW39"/>
      <c r="AX39"/>
      <c r="AY39"/>
      <c r="AZ39" s="447"/>
    </row>
    <row r="40" spans="2:52" s="3" customFormat="1" ht="23.25">
      <c r="B40" s="157"/>
      <c r="C40" s="157" t="s">
        <v>235</v>
      </c>
      <c r="D40" s="272"/>
      <c r="E40" s="272"/>
      <c r="F40" s="157" t="str">
        <f ca="1">CONCATENATE("السنــة :","  ",YEAR(TODAY()))</f>
        <v>السنــة :  2019</v>
      </c>
      <c r="G40" s="272"/>
      <c r="H40" s="272"/>
      <c r="I40" s="273"/>
      <c r="U40" s="818"/>
      <c r="W40" s="272"/>
      <c r="AL40" s="272"/>
      <c r="AQ40"/>
      <c r="AR40"/>
      <c r="AS40"/>
      <c r="AT40"/>
      <c r="AU40"/>
      <c r="AV40"/>
      <c r="AW40"/>
      <c r="AX40"/>
      <c r="AY40"/>
      <c r="AZ40" s="447"/>
    </row>
    <row r="41" spans="2:52" s="3" customFormat="1" ht="23.25">
      <c r="B41" s="435" t="str">
        <f ca="1">'ETAT-PAY-PERM'!F10</f>
        <v>أجـــرة شهـــر جوان 2019</v>
      </c>
      <c r="C41" s="272"/>
      <c r="D41" s="272"/>
      <c r="E41" s="272"/>
      <c r="F41" s="436" t="s">
        <v>236</v>
      </c>
      <c r="G41" s="272"/>
      <c r="H41" s="272"/>
      <c r="I41" s="273"/>
      <c r="K41" s="523"/>
      <c r="U41" s="818"/>
      <c r="W41" s="272"/>
      <c r="AL41" s="272"/>
      <c r="AQ41"/>
      <c r="AR41"/>
      <c r="AS41"/>
      <c r="AT41"/>
      <c r="AU41"/>
      <c r="AV41"/>
      <c r="AW41"/>
      <c r="AX41"/>
      <c r="AY41"/>
      <c r="AZ41" s="447"/>
    </row>
    <row r="42" spans="2:52" s="3" customFormat="1" ht="23.25">
      <c r="B42" s="157" t="s">
        <v>237</v>
      </c>
      <c r="C42" s="272"/>
      <c r="D42" s="272"/>
      <c r="E42" s="272"/>
      <c r="F42" s="272"/>
      <c r="G42" s="272"/>
      <c r="H42" s="272"/>
      <c r="I42" s="273"/>
      <c r="U42" s="818"/>
      <c r="W42" s="272"/>
      <c r="AL42" s="272"/>
      <c r="AQ42"/>
      <c r="AR42"/>
      <c r="AS42"/>
      <c r="AT42"/>
      <c r="AU42"/>
      <c r="AV42"/>
      <c r="AW42"/>
      <c r="AX42"/>
      <c r="AY42"/>
      <c r="AZ42" s="447"/>
    </row>
    <row r="43" spans="2:52">
      <c r="B43" s="3"/>
      <c r="C43" s="3"/>
      <c r="D43" s="3"/>
      <c r="E43" s="3"/>
      <c r="F43" s="272"/>
      <c r="G43" s="3"/>
      <c r="H43" s="3"/>
    </row>
    <row r="44" spans="2:52" ht="15.75">
      <c r="B44" s="1446" t="s">
        <v>238</v>
      </c>
      <c r="C44" s="1448" t="s">
        <v>239</v>
      </c>
      <c r="D44" s="1449"/>
      <c r="E44" s="1450"/>
      <c r="F44" s="1446" t="s">
        <v>240</v>
      </c>
      <c r="G44" s="1448" t="s">
        <v>241</v>
      </c>
      <c r="H44" s="1450"/>
    </row>
    <row r="45" spans="2:52" ht="15.75">
      <c r="B45" s="1447"/>
      <c r="C45" s="1451" t="s">
        <v>242</v>
      </c>
      <c r="D45" s="1453"/>
      <c r="E45" s="1452"/>
      <c r="F45" s="1447"/>
      <c r="G45" s="1451"/>
      <c r="H45" s="1452"/>
    </row>
    <row r="46" spans="2:52" ht="24.75" customHeight="1">
      <c r="B46" s="437">
        <f>'ورقة العمل'!AQ7</f>
        <v>7</v>
      </c>
      <c r="C46" s="1440">
        <f>'ورقة العمل'!AP7</f>
        <v>181310.33</v>
      </c>
      <c r="D46" s="1443"/>
      <c r="E46" s="1441"/>
      <c r="F46" s="437">
        <v>34</v>
      </c>
      <c r="G46" s="1440">
        <f>ROUND(C46*F46/100,2)</f>
        <v>61645.51</v>
      </c>
      <c r="H46" s="1441"/>
    </row>
    <row r="47" spans="2:52" ht="24.75" customHeight="1">
      <c r="B47" s="437">
        <f>'ورقة العمل'!AQ8</f>
        <v>4</v>
      </c>
      <c r="C47" s="1440">
        <f>'ورقة العمل'!AP8</f>
        <v>106120.12</v>
      </c>
      <c r="D47" s="1443"/>
      <c r="E47" s="1441"/>
      <c r="F47" s="437">
        <v>34</v>
      </c>
      <c r="G47" s="1440">
        <f>ROUND(C47*F47/100,2)</f>
        <v>36080.839999999997</v>
      </c>
      <c r="H47" s="1441"/>
    </row>
    <row r="48" spans="2:52" ht="24.75" customHeight="1">
      <c r="B48" s="437">
        <f>'ورقة العمل'!AQ9</f>
        <v>11</v>
      </c>
      <c r="C48" s="1440">
        <f>'ورقة العمل'!AP9</f>
        <v>264831.17</v>
      </c>
      <c r="D48" s="1443"/>
      <c r="E48" s="1441"/>
      <c r="F48" s="437">
        <v>34</v>
      </c>
      <c r="G48" s="1440">
        <f>ROUND(C48*F48/100,2)</f>
        <v>90042.6</v>
      </c>
      <c r="H48" s="1441"/>
    </row>
    <row r="49" spans="2:11" ht="24.75" customHeight="1">
      <c r="B49" s="437">
        <f>'ورقة العمل'!AQ10</f>
        <v>1</v>
      </c>
      <c r="C49" s="1440">
        <f>'ورقة العمل'!AP10</f>
        <v>15906.61</v>
      </c>
      <c r="D49" s="1443"/>
      <c r="E49" s="1441"/>
      <c r="F49" s="437">
        <v>34</v>
      </c>
      <c r="G49" s="1440">
        <f>ROUND(C49*F49/100,2)</f>
        <v>5408.25</v>
      </c>
      <c r="H49" s="1441"/>
    </row>
    <row r="50" spans="2:11" ht="24.75" customHeight="1">
      <c r="B50" s="437">
        <f>'ورقة العمل'!AQ11</f>
        <v>2</v>
      </c>
      <c r="C50" s="1440">
        <f>'ورقة العمل'!AP11</f>
        <v>61025.7</v>
      </c>
      <c r="D50" s="1443"/>
      <c r="E50" s="1441"/>
      <c r="F50" s="437">
        <v>34</v>
      </c>
      <c r="G50" s="1440">
        <f>ROUND(C50*F50/100,2)</f>
        <v>20748.740000000002</v>
      </c>
      <c r="H50" s="1441"/>
    </row>
    <row r="51" spans="2:11" ht="24.75" customHeight="1">
      <c r="B51" s="438">
        <f>B46+B47+B48+B49+B50</f>
        <v>25</v>
      </c>
      <c r="C51" s="1440">
        <f>SUM(C46:E50)</f>
        <v>629193.93000000005</v>
      </c>
      <c r="D51" s="1443"/>
      <c r="E51" s="1441"/>
      <c r="F51" s="439" t="s">
        <v>243</v>
      </c>
      <c r="G51" s="1440">
        <f>SUM(G46:H50)</f>
        <v>213925.94</v>
      </c>
      <c r="H51" s="1441"/>
      <c r="I51" s="141"/>
    </row>
    <row r="52" spans="2:11">
      <c r="B52" s="3"/>
      <c r="C52" s="440"/>
      <c r="D52" s="3"/>
      <c r="E52" s="3"/>
      <c r="F52" s="272"/>
      <c r="G52" s="3"/>
      <c r="H52" s="3"/>
      <c r="K52">
        <f>ROUND(C51*34%,2)</f>
        <v>213925.94</v>
      </c>
    </row>
    <row r="53" spans="2:11" ht="15.75">
      <c r="B53" s="159" t="s">
        <v>244</v>
      </c>
      <c r="C53" s="3"/>
      <c r="D53" s="3"/>
      <c r="E53" s="3"/>
      <c r="F53" s="272"/>
      <c r="G53" s="3"/>
      <c r="H53" s="3"/>
      <c r="K53" s="441">
        <f>G51-K52</f>
        <v>0</v>
      </c>
    </row>
    <row r="54" spans="2:11" ht="15.75">
      <c r="B54" s="159" t="s">
        <v>245</v>
      </c>
      <c r="C54" s="3"/>
      <c r="D54" s="3"/>
      <c r="E54" s="3"/>
      <c r="F54" s="272"/>
      <c r="G54" s="3"/>
      <c r="H54" s="3"/>
    </row>
    <row r="55" spans="2:11" ht="18">
      <c r="B55" s="3"/>
      <c r="C55" s="3"/>
      <c r="D55" s="3"/>
      <c r="E55" s="3"/>
      <c r="F55" s="442" t="str">
        <f>F22</f>
        <v>الولاية في:</v>
      </c>
      <c r="G55" s="1295">
        <f>H33</f>
        <v>43617</v>
      </c>
      <c r="H55" s="3"/>
    </row>
    <row r="56" spans="2:11">
      <c r="B56" s="3"/>
      <c r="C56" s="3"/>
      <c r="D56" s="3"/>
      <c r="E56" s="3"/>
      <c r="F56" s="272"/>
      <c r="G56" s="3"/>
      <c r="H56" s="3"/>
    </row>
    <row r="57" spans="2:11" ht="18">
      <c r="B57" s="3"/>
      <c r="C57" s="3"/>
      <c r="D57" s="3"/>
      <c r="E57" s="3"/>
      <c r="F57" s="443" t="s">
        <v>246</v>
      </c>
      <c r="G57" s="3"/>
      <c r="H57" s="3"/>
    </row>
    <row r="58" spans="2:11" ht="14.25" customHeight="1"/>
    <row r="59" spans="2:11" ht="14.25" customHeight="1"/>
    <row r="60" spans="2:11" ht="14.25" customHeight="1"/>
    <row r="61" spans="2:11" ht="14.25" customHeight="1"/>
    <row r="62" spans="2:11" s="2" customFormat="1"/>
    <row r="63" spans="2:11" s="2" customFormat="1"/>
    <row r="64" spans="2:11" s="2" customFormat="1"/>
    <row r="65" spans="2:52" s="2" customFormat="1"/>
    <row r="67" spans="2:52" s="3" customFormat="1" ht="23.25">
      <c r="B67" s="1444" t="s">
        <v>231</v>
      </c>
      <c r="C67" s="1444"/>
      <c r="D67" s="1444"/>
      <c r="E67" s="1444"/>
      <c r="F67" s="1444"/>
      <c r="G67" s="1444"/>
      <c r="H67" s="1444"/>
      <c r="I67" s="273"/>
      <c r="U67" s="818"/>
      <c r="W67" s="272"/>
      <c r="AL67" s="272"/>
      <c r="AQ67"/>
      <c r="AR67"/>
      <c r="AS67"/>
      <c r="AT67"/>
      <c r="AU67"/>
      <c r="AV67"/>
      <c r="AW67"/>
      <c r="AX67"/>
      <c r="AY67"/>
      <c r="AZ67" s="447"/>
    </row>
    <row r="68" spans="2:52" s="3" customFormat="1" ht="23.25">
      <c r="B68"/>
      <c r="C68" s="819"/>
      <c r="D68" s="819"/>
      <c r="E68" s="819"/>
      <c r="F68" s="819"/>
      <c r="G68" s="819"/>
      <c r="H68" s="819"/>
      <c r="I68" s="273"/>
      <c r="U68" s="818"/>
      <c r="W68" s="272"/>
      <c r="AL68" s="272"/>
      <c r="AQ68"/>
      <c r="AR68"/>
      <c r="AS68"/>
      <c r="AT68"/>
      <c r="AU68"/>
      <c r="AV68"/>
      <c r="AW68"/>
      <c r="AX68"/>
      <c r="AY68"/>
      <c r="AZ68" s="447"/>
    </row>
    <row r="69" spans="2:52" s="3" customFormat="1" ht="23.25">
      <c r="B69" s="280" t="str">
        <f>B32</f>
        <v>المديرية العامة ,,,,,,,,,,,,,</v>
      </c>
      <c r="C69"/>
      <c r="D69"/>
      <c r="E69"/>
      <c r="F69" s="431"/>
      <c r="G69"/>
      <c r="H69"/>
      <c r="I69" s="273"/>
      <c r="U69" s="818"/>
      <c r="W69" s="272"/>
      <c r="AL69" s="272"/>
      <c r="AQ69"/>
      <c r="AR69"/>
      <c r="AS69"/>
      <c r="AT69"/>
      <c r="AU69"/>
      <c r="AV69"/>
      <c r="AW69"/>
      <c r="AX69"/>
      <c r="AY69"/>
      <c r="AZ69" s="447"/>
    </row>
    <row r="70" spans="2:52" s="3" customFormat="1" ht="23.25">
      <c r="B70" s="280" t="str">
        <f>B33</f>
        <v>مديرية ,,,,,,,,,,,,,,,,,,,,,,,</v>
      </c>
      <c r="C70" s="432"/>
      <c r="D70" s="284"/>
      <c r="E70" s="433" t="s">
        <v>249</v>
      </c>
      <c r="F70" s="448"/>
      <c r="G70" s="433" t="s">
        <v>250</v>
      </c>
      <c r="H70" s="1311">
        <f>G55</f>
        <v>43617</v>
      </c>
      <c r="I70" s="273"/>
      <c r="U70" s="818"/>
      <c r="W70" s="272"/>
      <c r="AL70" s="272"/>
      <c r="AQ70"/>
      <c r="AR70"/>
      <c r="AS70"/>
      <c r="AT70"/>
      <c r="AU70"/>
      <c r="AV70"/>
      <c r="AW70"/>
      <c r="AX70"/>
      <c r="AY70"/>
      <c r="AZ70" s="447"/>
    </row>
    <row r="71" spans="2:52" s="3" customFormat="1" ht="23.25">
      <c r="F71" s="272"/>
      <c r="I71" s="273"/>
      <c r="U71" s="818"/>
      <c r="W71" s="272"/>
      <c r="AL71" s="272"/>
      <c r="AQ71"/>
      <c r="AR71"/>
      <c r="AS71"/>
      <c r="AT71"/>
      <c r="AU71"/>
      <c r="AV71"/>
      <c r="AW71"/>
      <c r="AX71"/>
      <c r="AY71"/>
      <c r="AZ71" s="447"/>
    </row>
    <row r="72" spans="2:52" s="3" customFormat="1" ht="23.25">
      <c r="B72" s="1445" t="s">
        <v>232</v>
      </c>
      <c r="C72" s="1445"/>
      <c r="D72" s="1445"/>
      <c r="E72" s="1445"/>
      <c r="F72" s="1445"/>
      <c r="G72" s="1445"/>
      <c r="H72" s="1445"/>
      <c r="I72" s="273"/>
      <c r="U72" s="818"/>
      <c r="W72" s="272"/>
      <c r="AL72" s="272"/>
      <c r="AQ72"/>
      <c r="AR72"/>
      <c r="AS72"/>
      <c r="AT72"/>
      <c r="AU72"/>
      <c r="AV72"/>
      <c r="AW72"/>
      <c r="AX72"/>
      <c r="AY72"/>
      <c r="AZ72" s="447"/>
    </row>
    <row r="73" spans="2:52" s="3" customFormat="1" ht="23.25">
      <c r="B73" s="1442" t="s">
        <v>233</v>
      </c>
      <c r="C73" s="1442"/>
      <c r="D73" s="1442"/>
      <c r="E73" s="1442"/>
      <c r="F73" s="1442"/>
      <c r="G73" s="1442"/>
      <c r="H73" s="1442"/>
      <c r="I73" s="273"/>
      <c r="U73" s="818"/>
      <c r="W73" s="272"/>
      <c r="AL73" s="272"/>
      <c r="AQ73"/>
      <c r="AR73"/>
      <c r="AS73"/>
      <c r="AT73"/>
      <c r="AU73"/>
      <c r="AV73"/>
      <c r="AW73"/>
      <c r="AX73"/>
      <c r="AY73"/>
      <c r="AZ73" s="447"/>
    </row>
    <row r="74" spans="2:52" s="3" customFormat="1" ht="23.25">
      <c r="B74" s="1442" t="s">
        <v>324</v>
      </c>
      <c r="C74" s="1442"/>
      <c r="D74" s="1442"/>
      <c r="E74" s="1442"/>
      <c r="F74" s="1442"/>
      <c r="G74" s="1442"/>
      <c r="H74" s="1442"/>
      <c r="I74" s="273"/>
      <c r="U74" s="818"/>
      <c r="W74" s="272"/>
      <c r="AL74" s="272"/>
      <c r="AQ74"/>
      <c r="AR74"/>
      <c r="AS74"/>
      <c r="AT74"/>
      <c r="AU74"/>
      <c r="AV74"/>
      <c r="AW74"/>
      <c r="AX74"/>
      <c r="AY74"/>
      <c r="AZ74" s="447"/>
    </row>
    <row r="75" spans="2:52" s="3" customFormat="1" ht="23.25">
      <c r="B75" s="157"/>
      <c r="C75" s="434" t="s">
        <v>325</v>
      </c>
      <c r="D75" s="1312" t="str">
        <f>D38</f>
        <v>جوان</v>
      </c>
      <c r="E75" s="272"/>
      <c r="F75" s="157" t="str">
        <f>F38</f>
        <v>المشترك رقم: 123456789    المفتاح :  123</v>
      </c>
      <c r="G75" s="272"/>
      <c r="H75" s="272"/>
      <c r="I75" s="273"/>
      <c r="U75" s="818"/>
      <c r="W75" s="272"/>
      <c r="AL75" s="272"/>
      <c r="AQ75"/>
      <c r="AR75"/>
      <c r="AS75"/>
      <c r="AT75"/>
      <c r="AU75"/>
      <c r="AV75"/>
      <c r="AW75"/>
      <c r="AX75"/>
      <c r="AY75"/>
      <c r="AZ75" s="447"/>
    </row>
    <row r="76" spans="2:52" s="3" customFormat="1" ht="23.25">
      <c r="B76" s="157" t="s">
        <v>234</v>
      </c>
      <c r="C76" s="157"/>
      <c r="D76" s="272"/>
      <c r="E76" s="272"/>
      <c r="F76" s="157" t="str">
        <f>F39</f>
        <v>العنوان الإجتماعي : ايبايايشاليابلابلاسبالبابسابلالبابلا -</v>
      </c>
      <c r="G76" s="272"/>
      <c r="H76" s="272"/>
      <c r="I76" s="273"/>
      <c r="U76" s="818"/>
      <c r="W76" s="272"/>
      <c r="AL76" s="272"/>
      <c r="AQ76"/>
      <c r="AR76"/>
      <c r="AS76"/>
      <c r="AT76"/>
      <c r="AU76"/>
      <c r="AV76"/>
      <c r="AW76"/>
      <c r="AX76"/>
      <c r="AY76"/>
      <c r="AZ76" s="447"/>
    </row>
    <row r="77" spans="2:52" s="3" customFormat="1" ht="23.25">
      <c r="B77" s="157"/>
      <c r="C77" s="157" t="s">
        <v>235</v>
      </c>
      <c r="D77" s="272"/>
      <c r="E77" s="272"/>
      <c r="F77" s="157" t="str">
        <f ca="1">CONCATENATE("السنــة :","  ",YEAR(TODAY()))</f>
        <v>السنــة :  2019</v>
      </c>
      <c r="G77" s="272"/>
      <c r="H77" s="272"/>
      <c r="I77" s="273"/>
      <c r="U77" s="818"/>
      <c r="W77" s="272"/>
      <c r="AL77" s="272"/>
      <c r="AQ77"/>
      <c r="AR77"/>
      <c r="AS77"/>
      <c r="AT77"/>
      <c r="AU77"/>
      <c r="AV77"/>
      <c r="AW77"/>
      <c r="AX77"/>
      <c r="AY77"/>
      <c r="AZ77" s="447"/>
    </row>
    <row r="78" spans="2:52" s="3" customFormat="1" ht="23.25">
      <c r="B78" s="435" t="str">
        <f ca="1">'ETAT-PAY-PERM'!F10</f>
        <v>أجـــرة شهـــر جوان 2019</v>
      </c>
      <c r="C78" s="272"/>
      <c r="D78" s="272"/>
      <c r="E78" s="272"/>
      <c r="F78" s="436" t="s">
        <v>236</v>
      </c>
      <c r="G78" s="272"/>
      <c r="H78" s="272"/>
      <c r="I78" s="273"/>
      <c r="K78" s="523"/>
      <c r="U78" s="818"/>
      <c r="W78" s="272"/>
      <c r="AL78" s="272"/>
      <c r="AQ78"/>
      <c r="AR78"/>
      <c r="AS78"/>
      <c r="AT78"/>
      <c r="AU78"/>
      <c r="AV78"/>
      <c r="AW78"/>
      <c r="AX78"/>
      <c r="AY78"/>
      <c r="AZ78" s="447"/>
    </row>
    <row r="79" spans="2:52" s="3" customFormat="1" ht="23.25">
      <c r="B79" s="157" t="s">
        <v>237</v>
      </c>
      <c r="C79" s="272"/>
      <c r="D79" s="272"/>
      <c r="E79" s="272"/>
      <c r="F79" s="272"/>
      <c r="G79" s="272"/>
      <c r="H79" s="272"/>
      <c r="I79" s="273"/>
      <c r="U79" s="818"/>
      <c r="W79" s="272"/>
      <c r="AL79" s="272"/>
      <c r="AQ79"/>
      <c r="AR79"/>
      <c r="AS79"/>
      <c r="AT79"/>
      <c r="AU79"/>
      <c r="AV79"/>
      <c r="AW79"/>
      <c r="AX79"/>
      <c r="AY79"/>
      <c r="AZ79" s="447"/>
    </row>
    <row r="80" spans="2:52">
      <c r="B80" s="3"/>
      <c r="C80" s="3"/>
      <c r="D80" s="3"/>
      <c r="E80" s="3"/>
      <c r="F80" s="272"/>
      <c r="G80" s="3"/>
      <c r="H80" s="3"/>
    </row>
    <row r="81" spans="2:8" ht="15.75">
      <c r="B81" s="1446" t="s">
        <v>247</v>
      </c>
      <c r="C81" s="1448" t="s">
        <v>239</v>
      </c>
      <c r="D81" s="1449"/>
      <c r="E81" s="1450"/>
      <c r="F81" s="1446" t="s">
        <v>240</v>
      </c>
      <c r="G81" s="1448" t="s">
        <v>241</v>
      </c>
      <c r="H81" s="1450"/>
    </row>
    <row r="82" spans="2:8" ht="15.75">
      <c r="B82" s="1447"/>
      <c r="C82" s="1451" t="s">
        <v>242</v>
      </c>
      <c r="D82" s="1453"/>
      <c r="E82" s="1452"/>
      <c r="F82" s="1447"/>
      <c r="G82" s="1451"/>
      <c r="H82" s="1452"/>
    </row>
    <row r="83" spans="2:8" ht="20.25">
      <c r="B83" s="445">
        <f>'ورقة العمل'!Y7</f>
        <v>75</v>
      </c>
      <c r="C83" s="1440">
        <f t="shared" ref="C83:C88" si="0">C46</f>
        <v>181310.33</v>
      </c>
      <c r="D83" s="1443"/>
      <c r="E83" s="1441"/>
      <c r="F83" s="437">
        <v>34</v>
      </c>
      <c r="G83" s="1440">
        <f t="shared" ref="G83:G88" si="1">G46</f>
        <v>61645.51</v>
      </c>
      <c r="H83" s="1441"/>
    </row>
    <row r="84" spans="2:8" ht="20.25">
      <c r="B84" s="445">
        <f>'ورقة العمل'!Y8</f>
        <v>76</v>
      </c>
      <c r="C84" s="1440">
        <f t="shared" si="0"/>
        <v>106120.12</v>
      </c>
      <c r="D84" s="1443"/>
      <c r="E84" s="1441"/>
      <c r="F84" s="437">
        <v>34</v>
      </c>
      <c r="G84" s="1440">
        <f t="shared" si="1"/>
        <v>36080.839999999997</v>
      </c>
      <c r="H84" s="1441"/>
    </row>
    <row r="85" spans="2:8" ht="20.25">
      <c r="B85" s="445">
        <f>'ورقة العمل'!Y9</f>
        <v>77</v>
      </c>
      <c r="C85" s="1440">
        <f t="shared" si="0"/>
        <v>264831.17</v>
      </c>
      <c r="D85" s="1443"/>
      <c r="E85" s="1441"/>
      <c r="F85" s="437">
        <v>34</v>
      </c>
      <c r="G85" s="1440">
        <f t="shared" si="1"/>
        <v>90042.6</v>
      </c>
      <c r="H85" s="1441"/>
    </row>
    <row r="86" spans="2:8" ht="20.25">
      <c r="B86" s="445">
        <f>'ورقة العمل'!Y10</f>
        <v>78</v>
      </c>
      <c r="C86" s="1440">
        <f t="shared" si="0"/>
        <v>15906.61</v>
      </c>
      <c r="D86" s="1443"/>
      <c r="E86" s="1441"/>
      <c r="F86" s="437">
        <v>34</v>
      </c>
      <c r="G86" s="1440">
        <f t="shared" si="1"/>
        <v>5408.25</v>
      </c>
      <c r="H86" s="1441"/>
    </row>
    <row r="87" spans="2:8" ht="20.25">
      <c r="B87" s="445">
        <f>'ورقة العمل'!Y11</f>
        <v>79</v>
      </c>
      <c r="C87" s="1440">
        <f t="shared" si="0"/>
        <v>61025.7</v>
      </c>
      <c r="D87" s="1443"/>
      <c r="E87" s="1441"/>
      <c r="F87" s="437">
        <v>34</v>
      </c>
      <c r="G87" s="1440">
        <f t="shared" si="1"/>
        <v>20748.740000000002</v>
      </c>
      <c r="H87" s="1441"/>
    </row>
    <row r="88" spans="2:8" ht="20.25">
      <c r="B88" s="445">
        <f>'ورقة العمل'!Y12</f>
        <v>80</v>
      </c>
      <c r="C88" s="1440">
        <f t="shared" si="0"/>
        <v>629193.93000000005</v>
      </c>
      <c r="D88" s="1443"/>
      <c r="E88" s="1441"/>
      <c r="F88" s="437">
        <v>34</v>
      </c>
      <c r="G88" s="1440">
        <f t="shared" si="1"/>
        <v>213925.94</v>
      </c>
      <c r="H88" s="1441"/>
    </row>
    <row r="89" spans="2:8" ht="20.25">
      <c r="B89" s="1437" t="s">
        <v>248</v>
      </c>
      <c r="C89" s="1438"/>
      <c r="D89" s="1438"/>
      <c r="E89" s="1438"/>
      <c r="F89" s="1439"/>
      <c r="G89" s="1440">
        <f>SUM(G83:H88)</f>
        <v>427851.88</v>
      </c>
      <c r="H89" s="1441"/>
    </row>
    <row r="90" spans="2:8">
      <c r="B90" s="3"/>
      <c r="C90" s="440"/>
      <c r="D90" s="3"/>
      <c r="E90" s="3"/>
      <c r="F90" s="272"/>
      <c r="G90" s="3"/>
      <c r="H90" s="3"/>
    </row>
    <row r="91" spans="2:8" ht="21.75" customHeight="1">
      <c r="B91" s="446" t="s">
        <v>244</v>
      </c>
      <c r="C91" s="3"/>
      <c r="D91" s="3"/>
      <c r="E91" s="3"/>
      <c r="F91" s="272"/>
      <c r="G91" s="3"/>
      <c r="H91" s="3"/>
    </row>
    <row r="92" spans="2:8" ht="21.75" customHeight="1">
      <c r="B92" s="159" t="s">
        <v>245</v>
      </c>
      <c r="C92" s="3"/>
      <c r="D92" s="3"/>
      <c r="E92" s="3"/>
      <c r="F92" s="272"/>
      <c r="G92" s="3"/>
      <c r="H92" s="3"/>
    </row>
    <row r="93" spans="2:8" ht="25.5" customHeight="1">
      <c r="B93" s="3"/>
      <c r="C93" s="3"/>
      <c r="D93" s="3"/>
      <c r="E93" s="3"/>
      <c r="F93" s="442" t="str">
        <f>F55</f>
        <v>الولاية في:</v>
      </c>
      <c r="G93" s="1295">
        <f>H70</f>
        <v>43617</v>
      </c>
      <c r="H93" s="3"/>
    </row>
    <row r="94" spans="2:8" ht="25.5" customHeight="1">
      <c r="B94" s="3"/>
      <c r="C94" s="3"/>
      <c r="D94" s="3"/>
      <c r="E94" s="3"/>
      <c r="F94" s="443" t="s">
        <v>246</v>
      </c>
      <c r="G94" s="3"/>
      <c r="H94" s="3"/>
    </row>
  </sheetData>
  <mergeCells count="57">
    <mergeCell ref="B89:F89"/>
    <mergeCell ref="G89:H89"/>
    <mergeCell ref="C86:E86"/>
    <mergeCell ref="G86:H86"/>
    <mergeCell ref="C87:E87"/>
    <mergeCell ref="G87:H87"/>
    <mergeCell ref="C88:E88"/>
    <mergeCell ref="G88:H88"/>
    <mergeCell ref="C83:E83"/>
    <mergeCell ref="G83:H83"/>
    <mergeCell ref="C84:E84"/>
    <mergeCell ref="G84:H84"/>
    <mergeCell ref="C85:E85"/>
    <mergeCell ref="G85:H85"/>
    <mergeCell ref="B67:H67"/>
    <mergeCell ref="B72:H72"/>
    <mergeCell ref="B73:H73"/>
    <mergeCell ref="B74:H74"/>
    <mergeCell ref="B81:B82"/>
    <mergeCell ref="C81:E81"/>
    <mergeCell ref="F81:F82"/>
    <mergeCell ref="G81:H82"/>
    <mergeCell ref="C82:E82"/>
    <mergeCell ref="C49:E49"/>
    <mergeCell ref="G49:H49"/>
    <mergeCell ref="C50:E50"/>
    <mergeCell ref="G50:H50"/>
    <mergeCell ref="C51:E51"/>
    <mergeCell ref="G51:H51"/>
    <mergeCell ref="C46:E46"/>
    <mergeCell ref="G46:H46"/>
    <mergeCell ref="C47:E47"/>
    <mergeCell ref="G47:H47"/>
    <mergeCell ref="C48:E48"/>
    <mergeCell ref="G48:H48"/>
    <mergeCell ref="B36:H36"/>
    <mergeCell ref="B37:H37"/>
    <mergeCell ref="B44:B45"/>
    <mergeCell ref="C44:E44"/>
    <mergeCell ref="F44:F45"/>
    <mergeCell ref="G44:H45"/>
    <mergeCell ref="C45:E45"/>
    <mergeCell ref="B35:H35"/>
    <mergeCell ref="B1:H1"/>
    <mergeCell ref="B6:H6"/>
    <mergeCell ref="B7:H7"/>
    <mergeCell ref="B8:H8"/>
    <mergeCell ref="B15:B16"/>
    <mergeCell ref="C15:E15"/>
    <mergeCell ref="F15:F16"/>
    <mergeCell ref="G15:H16"/>
    <mergeCell ref="C16:E16"/>
    <mergeCell ref="C17:E17"/>
    <mergeCell ref="G17:H17"/>
    <mergeCell ref="C18:E18"/>
    <mergeCell ref="G18:H18"/>
    <mergeCell ref="B30:H30"/>
  </mergeCells>
  <dataValidations count="1">
    <dataValidation type="list" allowBlank="1" showInputMessage="1" showErrorMessage="1" sqref="F4">
      <formula1>'ورقة العمل'!Y7:Y12</formula1>
    </dataValidation>
  </dataValidations>
  <printOptions horizontalCentered="1"/>
  <pageMargins left="0.39370078740157483" right="0.39370078740157483" top="0.39370078740157483" bottom="0.78740157480314965" header="0" footer="0"/>
  <pageSetup paperSize="134" orientation="portrait" horizontalDpi="180" verticalDpi="18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sheetPr>
    <tabColor rgb="FF00B0F0"/>
  </sheetPr>
  <dimension ref="A1:H41"/>
  <sheetViews>
    <sheetView rightToLeft="1" view="pageBreakPreview" topLeftCell="A19" zoomScale="115" zoomScaleNormal="70" workbookViewId="0">
      <selection activeCell="D9" sqref="D9"/>
    </sheetView>
  </sheetViews>
  <sheetFormatPr baseColWidth="10" defaultRowHeight="15"/>
  <cols>
    <col min="2" max="2" width="11.7109375" customWidth="1"/>
    <col min="3" max="3" width="24.28515625" customWidth="1"/>
    <col min="4" max="4" width="21" customWidth="1"/>
    <col min="5" max="5" width="31.140625" customWidth="1"/>
    <col min="6" max="6" width="6.5703125" style="952" customWidth="1"/>
    <col min="7" max="7" width="6.5703125" style="953" customWidth="1"/>
  </cols>
  <sheetData>
    <row r="1" spans="1:8" ht="27">
      <c r="B1" s="1461" t="s">
        <v>1</v>
      </c>
      <c r="C1" s="1461"/>
      <c r="D1" s="1461"/>
      <c r="E1" s="1461"/>
    </row>
    <row r="2" spans="1:8" ht="20.25">
      <c r="B2" s="453"/>
      <c r="C2" s="298"/>
      <c r="D2" s="298"/>
      <c r="E2" s="298"/>
    </row>
    <row r="3" spans="1:8" ht="20.25">
      <c r="B3" s="1359" t="s">
        <v>788</v>
      </c>
      <c r="C3" s="546"/>
      <c r="D3" s="298"/>
      <c r="E3" s="298"/>
      <c r="H3" s="182"/>
    </row>
    <row r="4" spans="1:8" ht="20.25">
      <c r="B4" s="1359" t="s">
        <v>789</v>
      </c>
      <c r="C4" s="546"/>
      <c r="E4" s="1361" t="s">
        <v>772</v>
      </c>
    </row>
    <row r="5" spans="1:8" ht="45.75" customHeight="1">
      <c r="B5" s="1465" t="s">
        <v>331</v>
      </c>
      <c r="C5" s="1465"/>
      <c r="D5" s="1465"/>
      <c r="E5" s="1465"/>
    </row>
    <row r="6" spans="1:8" ht="32.25" customHeight="1">
      <c r="B6" s="1462" t="s">
        <v>330</v>
      </c>
      <c r="C6" s="1462"/>
      <c r="D6" s="1462"/>
      <c r="E6" s="1462"/>
    </row>
    <row r="7" spans="1:8" ht="23.25">
      <c r="B7" s="1466" t="s">
        <v>791</v>
      </c>
      <c r="C7" s="1466"/>
      <c r="D7" s="1466"/>
      <c r="E7" s="1466"/>
      <c r="G7" s="954"/>
    </row>
    <row r="8" spans="1:8" ht="18">
      <c r="B8" s="547" t="s">
        <v>252</v>
      </c>
      <c r="C8" s="1322" t="str">
        <f>الرئيسية!N8</f>
        <v>جوان</v>
      </c>
      <c r="D8" s="547" t="s">
        <v>253</v>
      </c>
      <c r="E8" s="1323">
        <f ca="1">YEAR(TODAY())</f>
        <v>2019</v>
      </c>
      <c r="G8" s="955"/>
    </row>
    <row r="9" spans="1:8">
      <c r="B9" s="298"/>
      <c r="C9" s="298"/>
      <c r="D9" s="298"/>
      <c r="E9" s="298"/>
    </row>
    <row r="10" spans="1:8" ht="30" customHeight="1">
      <c r="B10" s="1460" t="s">
        <v>254</v>
      </c>
      <c r="C10" s="1460"/>
      <c r="D10" s="1463" t="s">
        <v>255</v>
      </c>
      <c r="E10" s="553" t="s">
        <v>329</v>
      </c>
    </row>
    <row r="11" spans="1:8" ht="30" customHeight="1">
      <c r="B11" s="555" t="s">
        <v>328</v>
      </c>
      <c r="C11" s="554"/>
      <c r="D11" s="1464"/>
      <c r="E11" s="1343">
        <f>الرئيسية!N10</f>
        <v>43617</v>
      </c>
      <c r="F11" s="956"/>
    </row>
    <row r="12" spans="1:8" ht="33" customHeight="1">
      <c r="B12" s="1739" t="str">
        <f>CONCATENATE(," ",C8)</f>
        <v xml:space="preserve"> جوان</v>
      </c>
      <c r="C12" s="1740"/>
      <c r="D12" s="1324">
        <f>VLOOKUP(E12,TABMAND,T2+8,FALSE)</f>
        <v>0</v>
      </c>
      <c r="E12" s="1325">
        <v>78</v>
      </c>
      <c r="F12" s="957"/>
    </row>
    <row r="13" spans="1:8">
      <c r="B13" s="298"/>
      <c r="C13" s="298"/>
      <c r="D13" s="298"/>
      <c r="E13" s="298"/>
    </row>
    <row r="14" spans="1:8" ht="31.5" customHeight="1">
      <c r="B14" s="548" t="s">
        <v>256</v>
      </c>
      <c r="C14" s="549"/>
      <c r="D14" s="551" t="s">
        <v>257</v>
      </c>
      <c r="E14" s="552" t="s">
        <v>258</v>
      </c>
      <c r="F14" s="1308">
        <v>1</v>
      </c>
      <c r="G14" s="1308" t="str">
        <f>LOOKUP(E12,'ورقة العمل'!Y2:Y12,'ورقة العمل'!X2:X12)</f>
        <v>بنك الفلاحة والتنمية الريفية</v>
      </c>
    </row>
    <row r="15" spans="1:8" ht="15.75">
      <c r="A15">
        <f>'ETAT-PAY-VACT'!A15</f>
        <v>1</v>
      </c>
      <c r="B15" s="958">
        <f>'ETAT-PAY-VACT'!B15</f>
        <v>1</v>
      </c>
      <c r="C15" s="959" t="str">
        <f>LOOKUP(A15,'VAC-TCMP'!A:A,'VAC-TCMP'!B:B)</f>
        <v>علي علي</v>
      </c>
      <c r="D15" s="552">
        <f>LOOKUP(A15,'VAC-TCMP'!A:A,'VAC-TCMP'!K:K)</f>
        <v>0</v>
      </c>
      <c r="E15" s="960">
        <f>LOOKUP(A15,'VAC-TCMP'!A:A,'VAC-TCMP'!AM:AM)</f>
        <v>506.52</v>
      </c>
      <c r="F15" s="1320">
        <f>IF(E15&gt;0,1,0)</f>
        <v>1</v>
      </c>
      <c r="G15" s="1318" t="str">
        <f>LOOKUP(A15,'VAC-TCMP'!A:A,'VAC-TCMP'!N:N)</f>
        <v>بنك التنمية المحلية</v>
      </c>
    </row>
    <row r="16" spans="1:8" ht="12.75" customHeight="1">
      <c r="A16">
        <f>'ETAT-PAY-VACT'!A16</f>
        <v>2</v>
      </c>
      <c r="B16" s="958" t="str">
        <f>'ETAT-PAY-VACT'!B16</f>
        <v>01</v>
      </c>
      <c r="C16" s="959" t="str">
        <f>LOOKUP(A16,'VAC-TCMP'!A:A,'VAC-TCMP'!B:B)</f>
        <v>أحمد بن أحمد</v>
      </c>
      <c r="D16" s="552">
        <f>LOOKUP(A16,'VAC-TCMP'!A:A,'VAC-TCMP'!K:K)</f>
        <v>0</v>
      </c>
      <c r="E16" s="960">
        <f>LOOKUP(A16,'VAC-TCMP'!A:A,'VAC-TCMP'!AM:AM)</f>
        <v>0</v>
      </c>
      <c r="F16" s="1320">
        <f t="shared" ref="F16:F36" si="0">IF(E16&gt;0,1,0)</f>
        <v>0</v>
      </c>
      <c r="G16" s="1318" t="str">
        <f>LOOKUP(A16,'VAC-TCMP'!A:A,'VAC-TCMP'!N:N)</f>
        <v>الخزينة الولائية</v>
      </c>
    </row>
    <row r="17" spans="1:7" ht="12.75" customHeight="1">
      <c r="A17">
        <f>'ETAT-PAY-VACT'!A17</f>
        <v>3</v>
      </c>
      <c r="B17" s="958">
        <f>'ETAT-PAY-VACT'!B17</f>
        <v>1</v>
      </c>
      <c r="C17" s="959" t="str">
        <f>LOOKUP(A17,'VAC-TCMP'!A:A,'VAC-TCMP'!B:B)</f>
        <v>عبد الحميد بن عبد الحميد</v>
      </c>
      <c r="D17" s="552">
        <f>LOOKUP(A17,'VAC-TCMP'!A:A,'VAC-TCMP'!K:K)</f>
        <v>0</v>
      </c>
      <c r="E17" s="960">
        <f>LOOKUP(A17,'VAC-TCMP'!A:A,'VAC-TCMP'!AM:AM)</f>
        <v>0</v>
      </c>
      <c r="F17" s="1320">
        <f t="shared" si="0"/>
        <v>0</v>
      </c>
      <c r="G17" s="1318" t="str">
        <f>LOOKUP(A17,'VAC-TCMP'!A:A,'VAC-TCMP'!N:N)</f>
        <v>الحساب الجاري البريدي</v>
      </c>
    </row>
    <row r="18" spans="1:7" ht="15.75">
      <c r="A18">
        <f>'ETAT-PAY-VACT'!A18</f>
        <v>4</v>
      </c>
      <c r="B18" s="958">
        <f>'ETAT-PAY-VACT'!B18</f>
        <v>2</v>
      </c>
      <c r="C18" s="959" t="str">
        <f>LOOKUP(A18,'VAC-TCMP'!A:A,'VAC-TCMP'!B:B)</f>
        <v>جمال بن جمال</v>
      </c>
      <c r="D18" s="552">
        <f>LOOKUP(A18,'VAC-TCMP'!A:A,'VAC-TCMP'!K:K)</f>
        <v>0</v>
      </c>
      <c r="E18" s="960">
        <f>LOOKUP(A18,'VAC-TCMP'!A:A,'VAC-TCMP'!AM:AM)</f>
        <v>0</v>
      </c>
      <c r="F18" s="1320">
        <f t="shared" si="0"/>
        <v>0</v>
      </c>
      <c r="G18" s="1318" t="str">
        <f>LOOKUP(A18,'VAC-TCMP'!A:A,'VAC-TCMP'!N:N)</f>
        <v>الحساب الجاري البريدي</v>
      </c>
    </row>
    <row r="19" spans="1:7" ht="15.75">
      <c r="A19">
        <f>'ETAT-PAY-VACT'!A19</f>
        <v>5</v>
      </c>
      <c r="B19" s="958">
        <f>'ETAT-PAY-VACT'!B19</f>
        <v>2</v>
      </c>
      <c r="C19" s="959" t="str">
        <f>LOOKUP(A19,'VAC-TCMP'!A:A,'VAC-TCMP'!B:B)</f>
        <v>سليمان بن سليمان</v>
      </c>
      <c r="D19" s="552">
        <f>LOOKUP(A19,'VAC-TCMP'!A:A,'VAC-TCMP'!K:K)</f>
        <v>0</v>
      </c>
      <c r="E19" s="960">
        <f>LOOKUP(A19,'VAC-TCMP'!A:A,'VAC-TCMP'!AM:AM)</f>
        <v>0</v>
      </c>
      <c r="F19" s="1320">
        <f t="shared" si="0"/>
        <v>0</v>
      </c>
      <c r="G19" s="1318" t="str">
        <f>LOOKUP(A19,'VAC-TCMP'!A:A,'VAC-TCMP'!N:N)</f>
        <v>الحساب الجاري البريدي</v>
      </c>
    </row>
    <row r="20" spans="1:7" ht="15.75">
      <c r="A20">
        <f>'ETAT-PAY-VACT'!A20</f>
        <v>6</v>
      </c>
      <c r="B20" s="958">
        <f>'ETAT-PAY-VACT'!B20</f>
        <v>2</v>
      </c>
      <c r="C20" s="959" t="str">
        <f>LOOKUP(A20,'VAC-TCMP'!A:A,'VAC-TCMP'!B:B)</f>
        <v>الوافي بن الوافي</v>
      </c>
      <c r="D20" s="552">
        <f>LOOKUP(A20,'VAC-TCMP'!A:A,'VAC-TCMP'!K:K)</f>
        <v>0</v>
      </c>
      <c r="E20" s="960">
        <f>LOOKUP(A20,'VAC-TCMP'!A:A,'VAC-TCMP'!AM:AM)</f>
        <v>0</v>
      </c>
      <c r="F20" s="1320">
        <f t="shared" si="0"/>
        <v>0</v>
      </c>
      <c r="G20" s="1318" t="str">
        <f>LOOKUP(A20,'VAC-TCMP'!A:A,'VAC-TCMP'!N:N)</f>
        <v>بنك التنمية المحلية</v>
      </c>
    </row>
    <row r="21" spans="1:7" ht="15.75">
      <c r="A21">
        <f>'ETAT-PAY-VACT'!A21</f>
        <v>7</v>
      </c>
      <c r="B21" s="958">
        <f>'ETAT-PAY-VACT'!B21</f>
        <v>3</v>
      </c>
      <c r="C21" s="959" t="str">
        <f>LOOKUP(A21,'VAC-TCMP'!A:A,'VAC-TCMP'!B:B)</f>
        <v>مصطفى بن مصطفى</v>
      </c>
      <c r="D21" s="552">
        <f>LOOKUP(A21,'VAC-TCMP'!A:A,'VAC-TCMP'!K:K)</f>
        <v>0</v>
      </c>
      <c r="E21" s="960">
        <f>LOOKUP(A21,'VAC-TCMP'!A:A,'VAC-TCMP'!AM:AM)</f>
        <v>0</v>
      </c>
      <c r="F21" s="1320">
        <f t="shared" si="0"/>
        <v>0</v>
      </c>
      <c r="G21" s="1318" t="str">
        <f>LOOKUP(A21,'VAC-TCMP'!A:A,'VAC-TCMP'!N:N)</f>
        <v>بنك التنمية المحلية</v>
      </c>
    </row>
    <row r="22" spans="1:7" ht="15.75">
      <c r="A22">
        <f>'ETAT-PAY-VACT'!A22</f>
        <v>8</v>
      </c>
      <c r="B22" s="958">
        <f>'ETAT-PAY-VACT'!B22</f>
        <v>4</v>
      </c>
      <c r="C22" s="959" t="str">
        <f>LOOKUP(A22,'VAC-TCMP'!A:A,'VAC-TCMP'!B:B)</f>
        <v>سليم بن سليم</v>
      </c>
      <c r="D22" s="552">
        <f>LOOKUP(A22,'VAC-TCMP'!A:A,'VAC-TCMP'!K:K)</f>
        <v>0</v>
      </c>
      <c r="E22" s="960">
        <f>LOOKUP(A22,'VAC-TCMP'!A:A,'VAC-TCMP'!AM:AM)</f>
        <v>0</v>
      </c>
      <c r="F22" s="1320">
        <f t="shared" si="0"/>
        <v>0</v>
      </c>
      <c r="G22" s="1318" t="str">
        <f>LOOKUP(A22,'VAC-TCMP'!A:A,'VAC-TCMP'!N:N)</f>
        <v>بنك التنمية المحلية</v>
      </c>
    </row>
    <row r="23" spans="1:7" ht="15.75">
      <c r="A23">
        <f>'ETAT-PAY-VACT'!A23</f>
        <v>9</v>
      </c>
      <c r="B23" s="958">
        <f>'ETAT-PAY-VACT'!B23</f>
        <v>6</v>
      </c>
      <c r="C23" s="959" t="str">
        <f>LOOKUP(A23,'VAC-TCMP'!A:A,'VAC-TCMP'!B:B)</f>
        <v>جميل بن جميل</v>
      </c>
      <c r="D23" s="552">
        <f>LOOKUP(A23,'VAC-TCMP'!A:A,'VAC-TCMP'!K:K)</f>
        <v>0</v>
      </c>
      <c r="E23" s="960">
        <f>LOOKUP(A23,'VAC-TCMP'!A:A,'VAC-TCMP'!AM:AM)</f>
        <v>0</v>
      </c>
      <c r="F23" s="1320">
        <f t="shared" si="0"/>
        <v>0</v>
      </c>
      <c r="G23" s="1318" t="str">
        <f>LOOKUP(A23,'VAC-TCMP'!A:A,'VAC-TCMP'!N:N)</f>
        <v>الحساب الجاري البريدي</v>
      </c>
    </row>
    <row r="24" spans="1:7" ht="15.75">
      <c r="A24">
        <f>'ETAT-PAY-VACT'!A24</f>
        <v>10</v>
      </c>
      <c r="B24" s="958">
        <f>'ETAT-PAY-VACT'!B24</f>
        <v>5</v>
      </c>
      <c r="C24" s="959" t="str">
        <f>LOOKUP(A24,'VAC-TCMP'!A:A,'VAC-TCMP'!B:B)</f>
        <v>مبيىاكمتنيبىامني</v>
      </c>
      <c r="D24" s="552">
        <f>LOOKUP(A24,'VAC-TCMP'!A:A,'VAC-TCMP'!K:K)</f>
        <v>0</v>
      </c>
      <c r="E24" s="960">
        <f>LOOKUP(A24,'VAC-TCMP'!A:A,'VAC-TCMP'!AM:AM)</f>
        <v>0</v>
      </c>
      <c r="F24" s="1320">
        <f t="shared" si="0"/>
        <v>0</v>
      </c>
      <c r="G24" s="1318" t="str">
        <f>LOOKUP(A24,'VAC-TCMP'!A:A,'VAC-TCMP'!N:N)</f>
        <v>بنك التنمية المحلية</v>
      </c>
    </row>
    <row r="25" spans="1:7" ht="15.75">
      <c r="A25">
        <f>'ETAT-PAY-VACT'!A25</f>
        <v>11</v>
      </c>
      <c r="B25" s="958">
        <f>'ETAT-PAY-VACT'!B25</f>
        <v>6</v>
      </c>
      <c r="C25" s="959" t="str">
        <f>LOOKUP(A25,'VAC-TCMP'!A:A,'VAC-TCMP'!B:B)</f>
        <v>يمنباسىكامنىلبا</v>
      </c>
      <c r="D25" s="552">
        <f>LOOKUP(A25,'VAC-TCMP'!A:A,'VAC-TCMP'!K:K)</f>
        <v>0</v>
      </c>
      <c r="E25" s="960">
        <f>LOOKUP(A25,'VAC-TCMP'!A:A,'VAC-TCMP'!AM:AM)</f>
        <v>0</v>
      </c>
      <c r="F25" s="1320">
        <f t="shared" si="0"/>
        <v>0</v>
      </c>
      <c r="G25" s="1318" t="str">
        <f>LOOKUP(A25,'VAC-TCMP'!A:A,'VAC-TCMP'!N:N)</f>
        <v>بنك التنمية المحلية</v>
      </c>
    </row>
    <row r="26" spans="1:7" ht="15.75">
      <c r="A26">
        <f>'ETAT-PAY-VACT'!A26</f>
        <v>12</v>
      </c>
      <c r="B26" s="958">
        <f>'ETAT-PAY-VACT'!B26</f>
        <v>7</v>
      </c>
      <c r="C26" s="959" t="str">
        <f>LOOKUP(A26,'VAC-TCMP'!A:A,'VAC-TCMP'!B:B)</f>
        <v>مىلاورؤةلارؤوةلا</v>
      </c>
      <c r="D26" s="552">
        <f>LOOKUP(A26,'VAC-TCMP'!A:A,'VAC-TCMP'!K:K)</f>
        <v>0</v>
      </c>
      <c r="E26" s="960">
        <f>LOOKUP(A26,'VAC-TCMP'!A:A,'VAC-TCMP'!AM:AM)</f>
        <v>0</v>
      </c>
      <c r="F26" s="1320">
        <f t="shared" si="0"/>
        <v>0</v>
      </c>
      <c r="G26" s="1318" t="str">
        <f>LOOKUP(A26,'VAC-TCMP'!A:A,'VAC-TCMP'!N:N)</f>
        <v>بنك التنمية المحلية</v>
      </c>
    </row>
    <row r="27" spans="1:7" ht="15.75">
      <c r="A27">
        <f>'ETAT-PAY-VACT'!A27</f>
        <v>13</v>
      </c>
      <c r="B27" s="958">
        <f>'ETAT-PAY-VACT'!B27</f>
        <v>2</v>
      </c>
      <c r="C27" s="959" t="str">
        <f>LOOKUP(A27,'VAC-TCMP'!A:A,'VAC-TCMP'!B:B)</f>
        <v>لالالالالالالا</v>
      </c>
      <c r="D27" s="552">
        <f>LOOKUP(A27,'VAC-TCMP'!A:A,'VAC-TCMP'!K:K)</f>
        <v>0</v>
      </c>
      <c r="E27" s="960">
        <f>LOOKUP(A27,'VAC-TCMP'!A:A,'VAC-TCMP'!AM:AM)</f>
        <v>0</v>
      </c>
      <c r="F27" s="1320">
        <f t="shared" si="0"/>
        <v>0</v>
      </c>
      <c r="G27" s="1318" t="str">
        <f>LOOKUP(A27,'VAC-TCMP'!A:A,'VAC-TCMP'!N:N)</f>
        <v>الخزينة الولائية</v>
      </c>
    </row>
    <row r="28" spans="1:7" ht="15.75">
      <c r="A28">
        <f>'ETAT-PAY-VACT'!A28</f>
        <v>14</v>
      </c>
      <c r="B28" s="958">
        <f>'ETAT-PAY-VACT'!B28</f>
        <v>3</v>
      </c>
      <c r="C28" s="959" t="str">
        <f>LOOKUP(A28,'VAC-TCMP'!A:A,'VAC-TCMP'!B:B)</f>
        <v>لللللللللل</v>
      </c>
      <c r="D28" s="552">
        <f>LOOKUP(A28,'VAC-TCMP'!A:A,'VAC-TCMP'!K:K)</f>
        <v>0</v>
      </c>
      <c r="E28" s="960">
        <f>LOOKUP(A28,'VAC-TCMP'!A:A,'VAC-TCMP'!AM:AM)</f>
        <v>0</v>
      </c>
      <c r="F28" s="1320">
        <f t="shared" si="0"/>
        <v>0</v>
      </c>
      <c r="G28" s="1318" t="str">
        <f>LOOKUP(A28,'VAC-TCMP'!A:A,'VAC-TCMP'!N:N)</f>
        <v>الخزينة الولائية</v>
      </c>
    </row>
    <row r="29" spans="1:7" ht="15.75">
      <c r="A29">
        <f>'ETAT-PAY-VACT'!A29</f>
        <v>15</v>
      </c>
      <c r="B29" s="958">
        <f>'ETAT-PAY-VACT'!B29</f>
        <v>3</v>
      </c>
      <c r="C29" s="959" t="str">
        <f>LOOKUP(A29,'VAC-TCMP'!A:A,'VAC-TCMP'!B:B)</f>
        <v>قثققققثثقققثققثقث</v>
      </c>
      <c r="D29" s="552">
        <f>LOOKUP(A29,'VAC-TCMP'!A:A,'VAC-TCMP'!K:K)</f>
        <v>0</v>
      </c>
      <c r="E29" s="960">
        <f>LOOKUP(A29,'VAC-TCMP'!A:A,'VAC-TCMP'!AM:AM)</f>
        <v>0</v>
      </c>
      <c r="F29" s="1320">
        <f t="shared" si="0"/>
        <v>0</v>
      </c>
      <c r="G29" s="1318" t="str">
        <f>LOOKUP(A29,'VAC-TCMP'!A:A,'VAC-TCMP'!N:N)</f>
        <v>الحساب الجاري البريدي</v>
      </c>
    </row>
    <row r="30" spans="1:7" ht="15.75">
      <c r="A30">
        <f>'ETAT-PAY-VACT'!A30</f>
        <v>16</v>
      </c>
      <c r="B30" s="958">
        <f>'ETAT-PAY-VACT'!B30</f>
        <v>4</v>
      </c>
      <c r="C30" s="959" t="str">
        <f>LOOKUP(A30,'VAC-TCMP'!A:A,'VAC-TCMP'!B:B)</f>
        <v>لبلبيليبلبيلبيلبي</v>
      </c>
      <c r="D30" s="552">
        <f>LOOKUP(A30,'VAC-TCMP'!A:A,'VAC-TCMP'!K:K)</f>
        <v>0</v>
      </c>
      <c r="E30" s="960">
        <f>LOOKUP(A30,'VAC-TCMP'!A:A,'VAC-TCMP'!AM:AM)</f>
        <v>0</v>
      </c>
      <c r="F30" s="1320">
        <f t="shared" si="0"/>
        <v>0</v>
      </c>
      <c r="G30" s="1318" t="str">
        <f>LOOKUP(A30,'VAC-TCMP'!A:A,'VAC-TCMP'!N:N)</f>
        <v>الحساب الجاري البريدي</v>
      </c>
    </row>
    <row r="31" spans="1:7" ht="15.75">
      <c r="A31">
        <f>'ETAT-PAY-VACT'!A31</f>
        <v>17</v>
      </c>
      <c r="B31" s="958">
        <f>'ETAT-PAY-VACT'!B31</f>
        <v>5</v>
      </c>
      <c r="C31" s="959" t="str">
        <f>LOOKUP(A31,'VAC-TCMP'!A:A,'VAC-TCMP'!B:B)</f>
        <v>ؤوةلاىرؤزولاى</v>
      </c>
      <c r="D31" s="552">
        <f>LOOKUP(A31,'VAC-TCMP'!A:A,'VAC-TCMP'!K:K)</f>
        <v>0</v>
      </c>
      <c r="E31" s="960">
        <f>LOOKUP(A31,'VAC-TCMP'!A:A,'VAC-TCMP'!AM:AM)</f>
        <v>0</v>
      </c>
      <c r="F31" s="1320">
        <f t="shared" si="0"/>
        <v>0</v>
      </c>
      <c r="G31" s="1318" t="str">
        <f>LOOKUP(A31,'VAC-TCMP'!A:A,'VAC-TCMP'!N:N)</f>
        <v>الحساب الجاري البريدي</v>
      </c>
    </row>
    <row r="32" spans="1:7" ht="15.75">
      <c r="A32">
        <f>'ETAT-PAY-VACT'!A32</f>
        <v>18</v>
      </c>
      <c r="B32" s="958">
        <f>'ETAT-PAY-VACT'!B32</f>
        <v>6</v>
      </c>
      <c r="C32" s="959" t="str">
        <f>LOOKUP(A32,'VAC-TCMP'!A:A,'VAC-TCMP'!B:B)</f>
        <v>ةوزرؤىلاوةزىؤرء</v>
      </c>
      <c r="D32" s="552">
        <f>LOOKUP(A32,'VAC-TCMP'!A:A,'VAC-TCMP'!K:K)</f>
        <v>0</v>
      </c>
      <c r="E32" s="960">
        <f>LOOKUP(A32,'VAC-TCMP'!A:A,'VAC-TCMP'!AM:AM)</f>
        <v>0</v>
      </c>
      <c r="F32" s="1320">
        <f t="shared" si="0"/>
        <v>0</v>
      </c>
      <c r="G32" s="1318" t="str">
        <f>LOOKUP(A32,'VAC-TCMP'!A:A,'VAC-TCMP'!N:N)</f>
        <v>الحساب الجاري البريدي</v>
      </c>
    </row>
    <row r="33" spans="1:7" ht="15.75">
      <c r="A33">
        <f>'ETAT-PAY-VACT'!A33</f>
        <v>19</v>
      </c>
      <c r="B33" s="958">
        <f>'ETAT-PAY-VACT'!B33</f>
        <v>7</v>
      </c>
      <c r="C33" s="959" t="str">
        <f>LOOKUP(A33,'VAC-TCMP'!A:A,'VAC-TCMP'!B:B)</f>
        <v>ظوزةلاؤءروةلارؤلا</v>
      </c>
      <c r="D33" s="552">
        <f>LOOKUP(A33,'VAC-TCMP'!A:A,'VAC-TCMP'!K:K)</f>
        <v>0</v>
      </c>
      <c r="E33" s="960">
        <f>LOOKUP(A33,'VAC-TCMP'!A:A,'VAC-TCMP'!AM:AM)</f>
        <v>0</v>
      </c>
      <c r="F33" s="1320">
        <f>IF(E33&gt;0,1,0)</f>
        <v>0</v>
      </c>
      <c r="G33" s="1318" t="str">
        <f>LOOKUP(A33,'VAC-TCMP'!A:A,'VAC-TCMP'!N:N)</f>
        <v>الحساب الجاري البريدي</v>
      </c>
    </row>
    <row r="34" spans="1:7" ht="15.75">
      <c r="A34">
        <f>'ETAT-PAY-VACT'!A34</f>
        <v>20</v>
      </c>
      <c r="B34" s="958">
        <f>'ETAT-PAY-VACT'!B34</f>
        <v>8</v>
      </c>
      <c r="C34" s="959" t="str">
        <f>LOOKUP(A34,'VAC-TCMP'!A:A,'VAC-TCMP'!B:B)</f>
        <v>ؤرزوءظةلانتكلمسنات</v>
      </c>
      <c r="D34" s="552">
        <f>LOOKUP(A34,'VAC-TCMP'!A:A,'VAC-TCMP'!K:K)</f>
        <v>0</v>
      </c>
      <c r="E34" s="960">
        <f>LOOKUP(A34,'VAC-TCMP'!A:A,'VAC-TCMP'!AM:AM)</f>
        <v>0</v>
      </c>
      <c r="F34" s="1320">
        <f t="shared" si="0"/>
        <v>0</v>
      </c>
      <c r="G34" s="1318" t="str">
        <f>LOOKUP(A34,'VAC-TCMP'!A:A,'VAC-TCMP'!N:N)</f>
        <v>الحساب الجاري البريدي</v>
      </c>
    </row>
    <row r="35" spans="1:7" ht="15.75">
      <c r="A35">
        <f>'ETAT-PAY-VACT'!A35</f>
        <v>21</v>
      </c>
      <c r="B35" s="958">
        <f>'ETAT-PAY-VACT'!B35</f>
        <v>4</v>
      </c>
      <c r="C35" s="959" t="str">
        <f>LOOKUP(A35,'VAC-TCMP'!A:A,'VAC-TCMP'!B:B)</f>
        <v>منؤرءىلارؤ نمؤلارنلا</v>
      </c>
      <c r="D35" s="552">
        <f>LOOKUP(A35,'VAC-TCMP'!A:A,'VAC-TCMP'!K:K)</f>
        <v>0</v>
      </c>
      <c r="E35" s="960">
        <f>LOOKUP(A35,'VAC-TCMP'!A:A,'VAC-TCMP'!AM:AM)</f>
        <v>0</v>
      </c>
      <c r="F35" s="1320">
        <f t="shared" si="0"/>
        <v>0</v>
      </c>
      <c r="G35" s="1318" t="str">
        <f>LOOKUP(A35,'VAC-TCMP'!A:A,'VAC-TCMP'!N:N)</f>
        <v>الخزينة الولائية</v>
      </c>
    </row>
    <row r="36" spans="1:7" ht="15.75">
      <c r="A36">
        <f>'ETAT-PAY-VACT'!A36</f>
        <v>22</v>
      </c>
      <c r="B36" s="958">
        <f>'ETAT-PAY-VACT'!B36</f>
        <v>9</v>
      </c>
      <c r="C36" s="959" t="str">
        <f>LOOKUP(A36,'VAC-TCMP'!A:A,'VAC-TCMP'!B:B)</f>
        <v>ةوىلاؤةرءلاىزوؤةىروةى</v>
      </c>
      <c r="D36" s="552">
        <f>LOOKUP(A36,'VAC-TCMP'!A:A,'VAC-TCMP'!K:K)</f>
        <v>0</v>
      </c>
      <c r="E36" s="960">
        <f>LOOKUP(A36,'VAC-TCMP'!A:A,'VAC-TCMP'!AM:AM)</f>
        <v>0</v>
      </c>
      <c r="F36" s="1320">
        <f t="shared" si="0"/>
        <v>0</v>
      </c>
      <c r="G36" s="1318" t="str">
        <f>LOOKUP(A36,'VAC-TCMP'!A:A,'VAC-TCMP'!N:N)</f>
        <v>الحساب الجاري البريدي</v>
      </c>
    </row>
    <row r="37" spans="1:7" ht="36.75" customHeight="1">
      <c r="B37" s="1467" t="str">
        <f>CONCATENATE("أوقف هذا الكشف بمبلغ :"," ",[1]!Arreta(E37))</f>
        <v xml:space="preserve">أوقف هذا الكشف بمبلغ : </v>
      </c>
      <c r="C37" s="1468"/>
      <c r="D37" s="1469"/>
      <c r="E37" s="550">
        <f>SUMIF(G15:G36,G37,E15:E36)</f>
        <v>0</v>
      </c>
      <c r="F37" s="1321">
        <v>1</v>
      </c>
      <c r="G37" s="1319" t="s">
        <v>550</v>
      </c>
    </row>
    <row r="38" spans="1:7" ht="36.75" customHeight="1">
      <c r="B38" s="1467" t="str">
        <f>CONCATENATE("أوقف هذا الكشف بمبلغ :"," ",[1]!Arreta(E38))</f>
        <v xml:space="preserve">أوقف هذا الكشف بمبلغ : </v>
      </c>
      <c r="C38" s="1468"/>
      <c r="D38" s="1469"/>
      <c r="E38" s="550">
        <f>SUMIF(G15:G36,G38,E15:E36)</f>
        <v>0</v>
      </c>
      <c r="F38" s="1321">
        <v>1</v>
      </c>
      <c r="G38" s="1319" t="s">
        <v>549</v>
      </c>
    </row>
    <row r="39" spans="1:7" ht="36.75" customHeight="1">
      <c r="B39" s="1467" t="str">
        <f>CONCATENATE("أوقف هذا الكشف بمبلغ :"," ",[1]!Arreta(E39))</f>
        <v xml:space="preserve">أوقف هذا الكشف بمبلغ : </v>
      </c>
      <c r="C39" s="1468"/>
      <c r="D39" s="1469"/>
      <c r="E39" s="550">
        <f>SUMIF(G15:G36,G39,E15:E36)</f>
        <v>0</v>
      </c>
      <c r="F39" s="1321">
        <v>1</v>
      </c>
      <c r="G39" s="1319" t="s">
        <v>548</v>
      </c>
    </row>
    <row r="40" spans="1:7" ht="36.75" customHeight="1">
      <c r="B40" s="1467" t="str">
        <f>CONCATENATE("أوقف هذا الكشف بمبلغ :"," ",[1]!Arreta(E40))</f>
        <v>أوقف هذا الكشف بمبلغ : خمسمائة وستة دنانير جزائرية وإثنان وخمسون سنتيما</v>
      </c>
      <c r="C40" s="1468"/>
      <c r="D40" s="1469"/>
      <c r="E40" s="550">
        <f>SUMIF(G15:G36,G40,E15:E36)</f>
        <v>506.52</v>
      </c>
      <c r="F40" s="1321">
        <v>1</v>
      </c>
      <c r="G40" s="1319" t="s">
        <v>561</v>
      </c>
    </row>
    <row r="41" spans="1:7" ht="36.75" customHeight="1">
      <c r="B41" s="1467" t="str">
        <f>CONCATENATE("أوقف هذا الكشف بمبلغ :"," ",[1]!Arreta(E41))</f>
        <v xml:space="preserve">أوقف هذا الكشف بمبلغ : </v>
      </c>
      <c r="C41" s="1468"/>
      <c r="D41" s="1469"/>
      <c r="E41" s="550">
        <f>SUMIF(G15:G36,G41,E15:E36)</f>
        <v>0</v>
      </c>
      <c r="F41" s="1321">
        <v>1</v>
      </c>
      <c r="G41" s="1319" t="s">
        <v>562</v>
      </c>
    </row>
  </sheetData>
  <autoFilter ref="F14:G41">
    <filterColumn colId="0"/>
    <filterColumn colId="1"/>
  </autoFilter>
  <mergeCells count="12">
    <mergeCell ref="B41:D41"/>
    <mergeCell ref="B1:E1"/>
    <mergeCell ref="B5:E5"/>
    <mergeCell ref="B6:E6"/>
    <mergeCell ref="B7:E7"/>
    <mergeCell ref="B10:C10"/>
    <mergeCell ref="D10:D11"/>
    <mergeCell ref="B12:C12"/>
    <mergeCell ref="B37:D37"/>
    <mergeCell ref="B38:D38"/>
    <mergeCell ref="B39:D39"/>
    <mergeCell ref="B40:D40"/>
  </mergeCells>
  <dataValidations count="1">
    <dataValidation type="list" allowBlank="1" showInputMessage="1" showErrorMessage="1" sqref="E12">
      <formula1>'ورقة العمل'!Y7:Y12</formula1>
    </dataValidation>
  </dataValidations>
  <printOptions horizontalCentered="1"/>
  <pageMargins left="0.19685039370078741" right="0.19685039370078741" top="0.39370078740157483" bottom="0.59055118110236227" header="0" footer="0"/>
  <pageSetup paperSize="134" orientation="portrait" horizontalDpi="180" verticalDpi="18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sheetPr filterMode="1">
    <tabColor rgb="FF00B0F0"/>
  </sheetPr>
  <dimension ref="B2:O95"/>
  <sheetViews>
    <sheetView rightToLeft="1" view="pageBreakPreview" zoomScale="85" zoomScaleSheetLayoutView="85" workbookViewId="0">
      <selection activeCell="D29" sqref="D29"/>
    </sheetView>
  </sheetViews>
  <sheetFormatPr baseColWidth="10" defaultRowHeight="12.75"/>
  <cols>
    <col min="2" max="2" width="19.85546875" customWidth="1"/>
    <col min="3" max="3" width="16.5703125" customWidth="1"/>
    <col min="4" max="4" width="21.7109375" customWidth="1"/>
    <col min="5" max="5" width="35.28515625" customWidth="1"/>
    <col min="6" max="6" width="17.5703125" customWidth="1"/>
    <col min="7" max="7" width="0" hidden="1" customWidth="1"/>
    <col min="8" max="8" width="24.5703125" customWidth="1"/>
    <col min="9" max="11" width="8.140625" customWidth="1"/>
    <col min="12" max="12" width="15.140625" customWidth="1"/>
    <col min="13" max="13" width="21.85546875" bestFit="1" customWidth="1"/>
    <col min="14" max="14" width="18" bestFit="1" customWidth="1"/>
  </cols>
  <sheetData>
    <row r="2" spans="2:12" ht="23.25">
      <c r="B2" s="1638" t="s">
        <v>266</v>
      </c>
      <c r="C2" s="1638"/>
      <c r="D2" s="1638"/>
      <c r="E2" s="1638"/>
      <c r="F2" s="467" t="s">
        <v>267</v>
      </c>
      <c r="I2" s="532"/>
      <c r="J2" s="532"/>
      <c r="K2" s="532"/>
      <c r="L2" s="532"/>
    </row>
    <row r="3" spans="2:12" ht="18">
      <c r="C3" s="468" t="s">
        <v>268</v>
      </c>
      <c r="I3" s="532"/>
      <c r="J3" s="532"/>
      <c r="K3" s="532"/>
      <c r="L3" s="532"/>
    </row>
    <row r="4" spans="2:12" ht="26.25">
      <c r="C4" s="469" t="s">
        <v>269</v>
      </c>
      <c r="E4" s="964">
        <v>77</v>
      </c>
      <c r="F4" s="467" t="s">
        <v>270</v>
      </c>
      <c r="I4" s="532"/>
      <c r="J4" s="532"/>
      <c r="K4" s="532"/>
      <c r="L4" s="532"/>
    </row>
    <row r="5" spans="2:12" ht="18">
      <c r="C5" s="468"/>
      <c r="I5" s="532"/>
      <c r="J5" s="532"/>
      <c r="K5" s="532"/>
      <c r="L5" s="532"/>
    </row>
    <row r="6" spans="2:12" ht="23.25">
      <c r="B6" s="1639" t="s">
        <v>271</v>
      </c>
      <c r="C6" s="1639"/>
      <c r="D6" s="1639"/>
      <c r="E6" s="1639"/>
      <c r="F6" s="1639"/>
      <c r="H6" s="1"/>
      <c r="I6" s="307"/>
      <c r="J6" s="532"/>
      <c r="K6" s="532"/>
      <c r="L6" s="532"/>
    </row>
    <row r="8" spans="2:12" ht="33.75">
      <c r="H8" s="302"/>
      <c r="I8" s="303"/>
    </row>
    <row r="10" spans="2:12" ht="18">
      <c r="F10" s="470" t="s">
        <v>272</v>
      </c>
    </row>
    <row r="11" spans="2:12" ht="18">
      <c r="F11" s="470" t="s">
        <v>273</v>
      </c>
    </row>
    <row r="13" spans="2:12" ht="38.25" customHeight="1">
      <c r="B13" s="471" t="s">
        <v>274</v>
      </c>
      <c r="C13" s="472" t="s">
        <v>275</v>
      </c>
      <c r="D13" s="472" t="s">
        <v>276</v>
      </c>
      <c r="E13" s="472" t="s">
        <v>277</v>
      </c>
      <c r="F13" s="472" t="s">
        <v>278</v>
      </c>
      <c r="H13" s="1308" t="s">
        <v>562</v>
      </c>
    </row>
    <row r="14" spans="2:12" ht="25.5" hidden="1" customHeight="1">
      <c r="B14" s="535">
        <f>'ETAT-PAY-VACT'!H15</f>
        <v>22952.76</v>
      </c>
      <c r="C14" s="534" t="s">
        <v>659</v>
      </c>
      <c r="D14" s="965">
        <f>'ETAT-PAY-VACT'!D15</f>
        <v>253532</v>
      </c>
      <c r="E14" s="965" t="str">
        <f>'ETAT-PAY-VACT'!C15</f>
        <v>علي علي</v>
      </c>
      <c r="F14" s="534">
        <f>'ETAT-PAY-VACT'!B15</f>
        <v>1</v>
      </c>
      <c r="H14" s="1" t="str">
        <f>'ETAT-PAY-VACT'!Y15</f>
        <v>بنك التنمية المحلية</v>
      </c>
    </row>
    <row r="15" spans="2:12" ht="25.5" hidden="1" customHeight="1">
      <c r="B15" s="535">
        <f>'ETAT-PAY-VACT'!H16</f>
        <v>22547.58</v>
      </c>
      <c r="C15" s="534" t="s">
        <v>659</v>
      </c>
      <c r="D15" s="965">
        <f>'ETAT-PAY-VACT'!D16</f>
        <v>12214</v>
      </c>
      <c r="E15" s="965" t="str">
        <f>'ETAT-PAY-VACT'!C16</f>
        <v>أحمد بن أحمد</v>
      </c>
      <c r="F15" s="534" t="str">
        <f>'ETAT-PAY-VACT'!B16</f>
        <v>01</v>
      </c>
      <c r="H15" s="1" t="str">
        <f>'ETAT-PAY-VACT'!Y16</f>
        <v>الخزينة الولائية</v>
      </c>
    </row>
    <row r="16" spans="2:12" ht="25.5" customHeight="1">
      <c r="B16" s="535">
        <f>'ETAT-PAY-VACT'!H17</f>
        <v>24719.45</v>
      </c>
      <c r="C16" s="534" t="s">
        <v>659</v>
      </c>
      <c r="D16" s="965">
        <f>'ETAT-PAY-VACT'!D17</f>
        <v>122121</v>
      </c>
      <c r="E16" s="965" t="str">
        <f>'ETAT-PAY-VACT'!C17</f>
        <v>عبد الحميد بن عبد الحميد</v>
      </c>
      <c r="F16" s="534">
        <f>'ETAT-PAY-VACT'!B17</f>
        <v>1</v>
      </c>
      <c r="H16" s="1330" t="str">
        <f>'ETAT-PAY-VACT'!Y17</f>
        <v>الحساب الجاري البريدي</v>
      </c>
    </row>
    <row r="17" spans="2:8" ht="25.5" customHeight="1">
      <c r="B17" s="535">
        <f>'ETAT-PAY-VACT'!H18</f>
        <v>22693.759999999998</v>
      </c>
      <c r="C17" s="534" t="s">
        <v>659</v>
      </c>
      <c r="D17" s="965">
        <f>'ETAT-PAY-VACT'!D18</f>
        <v>21245</v>
      </c>
      <c r="E17" s="965" t="str">
        <f>'ETAT-PAY-VACT'!C18</f>
        <v>جمال بن جمال</v>
      </c>
      <c r="F17" s="534">
        <f>'ETAT-PAY-VACT'!B18</f>
        <v>2</v>
      </c>
      <c r="H17" s="1330" t="str">
        <f>'ETAT-PAY-VACT'!Y18</f>
        <v>الحساب الجاري البريدي</v>
      </c>
    </row>
    <row r="18" spans="2:8" ht="25.5" customHeight="1">
      <c r="B18" s="535">
        <f>'ETAT-PAY-VACT'!H19</f>
        <v>17755.84</v>
      </c>
      <c r="C18" s="534" t="s">
        <v>659</v>
      </c>
      <c r="D18" s="965">
        <f>'ETAT-PAY-VACT'!D19</f>
        <v>544534524</v>
      </c>
      <c r="E18" s="965" t="str">
        <f>'ETAT-PAY-VACT'!C19</f>
        <v>سليمان بن سليمان</v>
      </c>
      <c r="F18" s="534">
        <f>'ETAT-PAY-VACT'!B19</f>
        <v>2</v>
      </c>
      <c r="H18" s="1330" t="str">
        <f>'ETAT-PAY-VACT'!Y19</f>
        <v>الحساب الجاري البريدي</v>
      </c>
    </row>
    <row r="19" spans="2:8" ht="25.5" hidden="1" customHeight="1">
      <c r="B19" s="535">
        <f>'ETAT-PAY-VACT'!H20</f>
        <v>19171.099999999999</v>
      </c>
      <c r="C19" s="534" t="s">
        <v>659</v>
      </c>
      <c r="D19" s="965">
        <f>'ETAT-PAY-VACT'!D20</f>
        <v>54454</v>
      </c>
      <c r="E19" s="965" t="str">
        <f>'ETAT-PAY-VACT'!C20</f>
        <v>الوافي بن الوافي</v>
      </c>
      <c r="F19" s="534">
        <f>'ETAT-PAY-VACT'!B20</f>
        <v>2</v>
      </c>
      <c r="H19" s="1" t="str">
        <f>'ETAT-PAY-VACT'!Y20</f>
        <v>بنك التنمية المحلية</v>
      </c>
    </row>
    <row r="20" spans="2:8" ht="25.5" hidden="1" customHeight="1">
      <c r="B20" s="535">
        <f>'ETAT-PAY-VACT'!H21</f>
        <v>19124.96</v>
      </c>
      <c r="C20" s="534" t="s">
        <v>659</v>
      </c>
      <c r="D20" s="965">
        <f>'ETAT-PAY-VACT'!D21</f>
        <v>1121212</v>
      </c>
      <c r="E20" s="965" t="str">
        <f>'ETAT-PAY-VACT'!C21</f>
        <v>مصطفى بن مصطفى</v>
      </c>
      <c r="F20" s="534">
        <f>'ETAT-PAY-VACT'!B21</f>
        <v>3</v>
      </c>
      <c r="H20" s="1" t="str">
        <f>'ETAT-PAY-VACT'!Y21</f>
        <v>بنك التنمية المحلية</v>
      </c>
    </row>
    <row r="21" spans="2:8" ht="25.5" hidden="1" customHeight="1">
      <c r="B21" s="535">
        <f>'ETAT-PAY-VACT'!H22</f>
        <v>22625.16</v>
      </c>
      <c r="C21" s="534" t="s">
        <v>659</v>
      </c>
      <c r="D21" s="965">
        <f>'ETAT-PAY-VACT'!D22</f>
        <v>1111111111</v>
      </c>
      <c r="E21" s="965" t="str">
        <f>'ETAT-PAY-VACT'!C22</f>
        <v>سليم بن سليم</v>
      </c>
      <c r="F21" s="534">
        <f>'ETAT-PAY-VACT'!B22</f>
        <v>4</v>
      </c>
      <c r="H21" s="1" t="str">
        <f>'ETAT-PAY-VACT'!Y22</f>
        <v>بنك التنمية المحلية</v>
      </c>
    </row>
    <row r="22" spans="2:8" ht="25.5" customHeight="1">
      <c r="B22" s="535">
        <f>'ETAT-PAY-VACT'!H23</f>
        <v>19680.28</v>
      </c>
      <c r="C22" s="534" t="s">
        <v>659</v>
      </c>
      <c r="D22" s="965">
        <f>'ETAT-PAY-VACT'!D23</f>
        <v>222222222</v>
      </c>
      <c r="E22" s="965" t="str">
        <f>'ETAT-PAY-VACT'!C23</f>
        <v>جميل بن جميل</v>
      </c>
      <c r="F22" s="534">
        <f>'ETAT-PAY-VACT'!B23</f>
        <v>6</v>
      </c>
      <c r="H22" s="1330" t="str">
        <f>'ETAT-PAY-VACT'!Y23</f>
        <v>الحساب الجاري البريدي</v>
      </c>
    </row>
    <row r="23" spans="2:8" ht="25.5" hidden="1" customHeight="1">
      <c r="B23" s="535">
        <f>'ETAT-PAY-VACT'!H24</f>
        <v>23594.560000000001</v>
      </c>
      <c r="C23" s="534" t="s">
        <v>659</v>
      </c>
      <c r="D23" s="965">
        <f>'ETAT-PAY-VACT'!D24</f>
        <v>1212114</v>
      </c>
      <c r="E23" s="965" t="str">
        <f>'ETAT-PAY-VACT'!C24</f>
        <v>مبيىاكمتنيبىامني</v>
      </c>
      <c r="F23" s="534">
        <f>'ETAT-PAY-VACT'!B24</f>
        <v>5</v>
      </c>
      <c r="H23" s="1" t="str">
        <f>'ETAT-PAY-VACT'!Y24</f>
        <v>بنك التنمية المحلية</v>
      </c>
    </row>
    <row r="24" spans="2:8" ht="25.5" hidden="1" customHeight="1">
      <c r="B24" s="535">
        <f>'ETAT-PAY-VACT'!H25</f>
        <v>21076.9</v>
      </c>
      <c r="C24" s="534" t="s">
        <v>659</v>
      </c>
      <c r="D24" s="965">
        <f>'ETAT-PAY-VACT'!D25</f>
        <v>424242</v>
      </c>
      <c r="E24" s="965" t="str">
        <f>'ETAT-PAY-VACT'!C25</f>
        <v>يمنباسىكامنىلبا</v>
      </c>
      <c r="F24" s="534">
        <f>'ETAT-PAY-VACT'!B25</f>
        <v>6</v>
      </c>
      <c r="H24" s="1" t="str">
        <f>'ETAT-PAY-VACT'!Y25</f>
        <v>بنك التنمية المحلية</v>
      </c>
    </row>
    <row r="25" spans="2:8" s="536" customFormat="1" ht="21" hidden="1" customHeight="1">
      <c r="B25" s="535">
        <f>'ETAT-PAY-VACT'!H26</f>
        <v>22896.65</v>
      </c>
      <c r="C25" s="534" t="s">
        <v>659</v>
      </c>
      <c r="D25" s="965">
        <f>'ETAT-PAY-VACT'!D26</f>
        <v>42525424</v>
      </c>
      <c r="E25" s="965" t="str">
        <f>'ETAT-PAY-VACT'!C26</f>
        <v>مىلاورؤةلارؤوةلا</v>
      </c>
      <c r="F25" s="534">
        <f>'ETAT-PAY-VACT'!B26</f>
        <v>7</v>
      </c>
      <c r="G25"/>
      <c r="H25" s="1" t="str">
        <f>'ETAT-PAY-VACT'!Y26</f>
        <v>بنك التنمية المحلية</v>
      </c>
    </row>
    <row r="26" spans="2:8" s="536" customFormat="1" ht="21" hidden="1" customHeight="1">
      <c r="B26" s="535">
        <f>'ETAT-PAY-VACT'!H27</f>
        <v>20680.21</v>
      </c>
      <c r="C26" s="534" t="s">
        <v>659</v>
      </c>
      <c r="D26" s="965">
        <f>'ETAT-PAY-VACT'!D27</f>
        <v>147587587</v>
      </c>
      <c r="E26" s="965" t="str">
        <f>'ETAT-PAY-VACT'!C27</f>
        <v>لالالالالالالا</v>
      </c>
      <c r="F26" s="534">
        <f>'ETAT-PAY-VACT'!B27</f>
        <v>2</v>
      </c>
      <c r="G26"/>
      <c r="H26" s="1" t="str">
        <f>'ETAT-PAY-VACT'!Y27</f>
        <v>الخزينة الولائية</v>
      </c>
    </row>
    <row r="27" spans="2:8" ht="25.5" hidden="1" customHeight="1">
      <c r="B27" s="535">
        <f>'ETAT-PAY-VACT'!H28</f>
        <v>20645.28</v>
      </c>
      <c r="C27" s="534" t="s">
        <v>659</v>
      </c>
      <c r="D27" s="965">
        <f>'ETAT-PAY-VACT'!D28</f>
        <v>35434</v>
      </c>
      <c r="E27" s="965" t="str">
        <f>'ETAT-PAY-VACT'!C28</f>
        <v>لللللللللل</v>
      </c>
      <c r="F27" s="534">
        <f>'ETAT-PAY-VACT'!B28</f>
        <v>3</v>
      </c>
      <c r="H27" s="1" t="str">
        <f>'ETAT-PAY-VACT'!Y28</f>
        <v>الخزينة الولائية</v>
      </c>
    </row>
    <row r="28" spans="2:8" ht="25.5" customHeight="1">
      <c r="B28" s="535">
        <f>'ETAT-PAY-VACT'!H29</f>
        <v>14984.59</v>
      </c>
      <c r="C28" s="534" t="s">
        <v>659</v>
      </c>
      <c r="D28" s="965">
        <f>'ETAT-PAY-VACT'!D29</f>
        <v>885585885</v>
      </c>
      <c r="E28" s="965" t="str">
        <f>'ETAT-PAY-VACT'!C29</f>
        <v>قثققققثثقققثققثقث</v>
      </c>
      <c r="F28" s="534">
        <f>'ETAT-PAY-VACT'!B29</f>
        <v>3</v>
      </c>
      <c r="H28" s="1330" t="str">
        <f>'ETAT-PAY-VACT'!Y29</f>
        <v>الحساب الجاري البريدي</v>
      </c>
    </row>
    <row r="29" spans="2:8" s="536" customFormat="1" ht="21" customHeight="1">
      <c r="B29" s="535">
        <f>'ETAT-PAY-VACT'!H30</f>
        <v>16012.8</v>
      </c>
      <c r="C29" s="534" t="s">
        <v>659</v>
      </c>
      <c r="D29" s="965">
        <f>'ETAT-PAY-VACT'!D30</f>
        <v>575757575</v>
      </c>
      <c r="E29" s="965" t="str">
        <f>'ETAT-PAY-VACT'!C30</f>
        <v>لبلبيليبلبيلبيلبي</v>
      </c>
      <c r="F29" s="534">
        <f>'ETAT-PAY-VACT'!B30</f>
        <v>4</v>
      </c>
      <c r="G29"/>
      <c r="H29" s="1330" t="str">
        <f>'ETAT-PAY-VACT'!Y30</f>
        <v>الحساب الجاري البريدي</v>
      </c>
    </row>
    <row r="30" spans="2:8" s="536" customFormat="1" ht="21" customHeight="1">
      <c r="B30" s="535">
        <f>'ETAT-PAY-VACT'!H31</f>
        <v>21893.58</v>
      </c>
      <c r="C30" s="534" t="s">
        <v>659</v>
      </c>
      <c r="D30" s="965">
        <f>'ETAT-PAY-VACT'!D31</f>
        <v>447747</v>
      </c>
      <c r="E30" s="965" t="str">
        <f>'ETAT-PAY-VACT'!C31</f>
        <v>ؤوةلاىرؤزولاى</v>
      </c>
      <c r="F30" s="534">
        <f>'ETAT-PAY-VACT'!B31</f>
        <v>5</v>
      </c>
      <c r="G30"/>
      <c r="H30" s="1330" t="str">
        <f>'ETAT-PAY-VACT'!Y31</f>
        <v>الحساب الجاري البريدي</v>
      </c>
    </row>
    <row r="31" spans="2:8" s="536" customFormat="1" ht="21" customHeight="1">
      <c r="B31" s="535">
        <f>'ETAT-PAY-VACT'!H32</f>
        <v>20847.580000000002</v>
      </c>
      <c r="C31" s="534" t="s">
        <v>659</v>
      </c>
      <c r="D31" s="965">
        <f>'ETAT-PAY-VACT'!D32</f>
        <v>4</v>
      </c>
      <c r="E31" s="965" t="str">
        <f>'ETAT-PAY-VACT'!C32</f>
        <v>ةوزرؤىلاوةزىؤرء</v>
      </c>
      <c r="F31" s="534">
        <f>'ETAT-PAY-VACT'!B32</f>
        <v>6</v>
      </c>
      <c r="G31"/>
      <c r="H31" s="1330" t="str">
        <f>'ETAT-PAY-VACT'!Y32</f>
        <v>الحساب الجاري البريدي</v>
      </c>
    </row>
    <row r="32" spans="2:8" s="536" customFormat="1" ht="21" customHeight="1">
      <c r="B32" s="535">
        <f>'ETAT-PAY-VACT'!H33</f>
        <v>14998.25</v>
      </c>
      <c r="C32" s="534" t="s">
        <v>659</v>
      </c>
      <c r="D32" s="965">
        <f>'ETAT-PAY-VACT'!D33</f>
        <v>7474</v>
      </c>
      <c r="E32" s="965" t="str">
        <f>'ETAT-PAY-VACT'!C33</f>
        <v>ظوزةلاؤءروةلارؤلا</v>
      </c>
      <c r="F32" s="534">
        <f>'ETAT-PAY-VACT'!B33</f>
        <v>7</v>
      </c>
      <c r="G32"/>
      <c r="H32" s="1330" t="str">
        <f>'ETAT-PAY-VACT'!Y33</f>
        <v>الحساب الجاري البريدي</v>
      </c>
    </row>
    <row r="33" spans="2:8" s="536" customFormat="1" ht="21" customHeight="1">
      <c r="B33" s="535">
        <f>'ETAT-PAY-VACT'!H34</f>
        <v>19297.07</v>
      </c>
      <c r="C33" s="534" t="s">
        <v>659</v>
      </c>
      <c r="D33" s="965">
        <f>'ETAT-PAY-VACT'!D34</f>
        <v>7</v>
      </c>
      <c r="E33" s="965" t="str">
        <f>'ETAT-PAY-VACT'!C34</f>
        <v>ؤرزوءظةلانتكلمسنات</v>
      </c>
      <c r="F33" s="534">
        <f>'ETAT-PAY-VACT'!B34</f>
        <v>8</v>
      </c>
      <c r="G33"/>
      <c r="H33" s="1330" t="str">
        <f>'ETAT-PAY-VACT'!Y34</f>
        <v>الحساب الجاري البريدي</v>
      </c>
    </row>
    <row r="34" spans="2:8" ht="25.5" hidden="1" customHeight="1">
      <c r="B34" s="535">
        <f>'ETAT-PAY-VACT'!H35</f>
        <v>19291.88</v>
      </c>
      <c r="C34" s="534" t="s">
        <v>659</v>
      </c>
      <c r="D34" s="965">
        <f>'ETAT-PAY-VACT'!D35</f>
        <v>77</v>
      </c>
      <c r="E34" s="965" t="str">
        <f>'ETAT-PAY-VACT'!C35</f>
        <v>منؤرءىلارؤ نمؤلارنلا</v>
      </c>
      <c r="F34" s="534">
        <f>'ETAT-PAY-VACT'!B35</f>
        <v>4</v>
      </c>
      <c r="H34" s="1" t="str">
        <f>'ETAT-PAY-VACT'!Y35</f>
        <v>الخزينة الولائية</v>
      </c>
    </row>
    <row r="35" spans="2:8" ht="25.5" customHeight="1">
      <c r="B35" s="535">
        <f>'ETAT-PAY-VACT'!H36</f>
        <v>21197.71</v>
      </c>
      <c r="C35" s="534" t="s">
        <v>659</v>
      </c>
      <c r="D35" s="965">
        <f>'ETAT-PAY-VACT'!D36</f>
        <v>43454</v>
      </c>
      <c r="E35" s="965" t="str">
        <f>'ETAT-PAY-VACT'!C36</f>
        <v>ةوىلاؤةرءلاىزوؤةىروةى</v>
      </c>
      <c r="F35" s="534">
        <f>'ETAT-PAY-VACT'!B36</f>
        <v>9</v>
      </c>
      <c r="H35" s="1330" t="str">
        <f>'ETAT-PAY-VACT'!Y36</f>
        <v>الحساب الجاري البريدي</v>
      </c>
    </row>
    <row r="36" spans="2:8" s="536" customFormat="1" ht="21" hidden="1" customHeight="1">
      <c r="B36" s="535" t="e">
        <f>'ETAT-PAY-VACT'!#REF!</f>
        <v>#REF!</v>
      </c>
      <c r="C36" s="534" t="s">
        <v>659</v>
      </c>
      <c r="D36" s="965" t="e">
        <f>'ETAT-PAY-VACT'!#REF!</f>
        <v>#REF!</v>
      </c>
      <c r="E36" s="965" t="e">
        <f>'ETAT-PAY-VACT'!#REF!</f>
        <v>#REF!</v>
      </c>
      <c r="F36" s="534" t="e">
        <f>'ETAT-PAY-VACT'!#REF!</f>
        <v>#REF!</v>
      </c>
      <c r="G36"/>
      <c r="H36" s="1" t="e">
        <f>'ETAT-PAY-VACT'!#REF!</f>
        <v>#REF!</v>
      </c>
    </row>
    <row r="37" spans="2:8" s="536" customFormat="1" ht="21" hidden="1" customHeight="1">
      <c r="B37" s="535" t="e">
        <f>'ETAT-PAY-VACT'!#REF!</f>
        <v>#REF!</v>
      </c>
      <c r="C37" s="534" t="s">
        <v>659</v>
      </c>
      <c r="D37" s="965" t="e">
        <f>'ETAT-PAY-VACT'!#REF!</f>
        <v>#REF!</v>
      </c>
      <c r="E37" s="965" t="e">
        <f>'ETAT-PAY-VACT'!#REF!</f>
        <v>#REF!</v>
      </c>
      <c r="F37" s="534" t="e">
        <f>'ETAT-PAY-VACT'!#REF!</f>
        <v>#REF!</v>
      </c>
      <c r="G37"/>
      <c r="H37" s="1" t="e">
        <f>'ETAT-PAY-VACT'!#REF!</f>
        <v>#REF!</v>
      </c>
    </row>
    <row r="38" spans="2:8" s="536" customFormat="1" ht="21" hidden="1" customHeight="1">
      <c r="B38" s="535" t="e">
        <f>'ETAT-PAY-VACT'!#REF!</f>
        <v>#REF!</v>
      </c>
      <c r="C38" s="534" t="s">
        <v>659</v>
      </c>
      <c r="D38" s="965" t="e">
        <f>'ETAT-PAY-VACT'!#REF!</f>
        <v>#REF!</v>
      </c>
      <c r="E38" s="965" t="e">
        <f>'ETAT-PAY-VACT'!#REF!</f>
        <v>#REF!</v>
      </c>
      <c r="F38" s="534" t="e">
        <f>'ETAT-PAY-VACT'!#REF!</f>
        <v>#REF!</v>
      </c>
      <c r="G38"/>
      <c r="H38" s="1" t="e">
        <f>'ETAT-PAY-VACT'!#REF!</f>
        <v>#REF!</v>
      </c>
    </row>
    <row r="39" spans="2:8" ht="25.5" hidden="1" customHeight="1">
      <c r="B39" s="535" t="e">
        <f>'ETAT-PAY-VACT'!#REF!</f>
        <v>#REF!</v>
      </c>
      <c r="C39" s="534" t="s">
        <v>659</v>
      </c>
      <c r="D39" s="965" t="e">
        <f>'ETAT-PAY-VACT'!#REF!</f>
        <v>#REF!</v>
      </c>
      <c r="E39" s="965" t="e">
        <f>'ETAT-PAY-VACT'!#REF!</f>
        <v>#REF!</v>
      </c>
      <c r="F39" s="534" t="e">
        <f>'ETAT-PAY-VACT'!#REF!</f>
        <v>#REF!</v>
      </c>
      <c r="H39" s="1" t="e">
        <f>'ETAT-PAY-VACT'!#REF!</f>
        <v>#REF!</v>
      </c>
    </row>
    <row r="40" spans="2:8" s="536" customFormat="1" ht="21" hidden="1" customHeight="1">
      <c r="B40" s="535" t="e">
        <f>'ETAT-PAY-VACT'!#REF!</f>
        <v>#REF!</v>
      </c>
      <c r="C40" s="534" t="s">
        <v>659</v>
      </c>
      <c r="D40" s="965" t="e">
        <f>'ETAT-PAY-VACT'!#REF!</f>
        <v>#REF!</v>
      </c>
      <c r="E40" s="965" t="e">
        <f>'ETAT-PAY-VACT'!#REF!</f>
        <v>#REF!</v>
      </c>
      <c r="F40" s="534" t="e">
        <f>'ETAT-PAY-VACT'!#REF!</f>
        <v>#REF!</v>
      </c>
      <c r="G40"/>
      <c r="H40" s="1" t="e">
        <f>'ETAT-PAY-VACT'!#REF!</f>
        <v>#REF!</v>
      </c>
    </row>
    <row r="41" spans="2:8" s="536" customFormat="1" ht="21" hidden="1" customHeight="1">
      <c r="B41" s="535" t="e">
        <f>'ETAT-PAY-VACT'!#REF!</f>
        <v>#REF!</v>
      </c>
      <c r="C41" s="534" t="s">
        <v>659</v>
      </c>
      <c r="D41" s="965" t="e">
        <f>'ETAT-PAY-VACT'!#REF!</f>
        <v>#REF!</v>
      </c>
      <c r="E41" s="965" t="e">
        <f>'ETAT-PAY-VACT'!#REF!</f>
        <v>#REF!</v>
      </c>
      <c r="F41" s="534" t="e">
        <f>'ETAT-PAY-VACT'!#REF!</f>
        <v>#REF!</v>
      </c>
      <c r="G41"/>
      <c r="H41" s="1" t="e">
        <f>'ETAT-PAY-VACT'!#REF!</f>
        <v>#REF!</v>
      </c>
    </row>
    <row r="42" spans="2:8" s="536" customFormat="1" ht="21" hidden="1" customHeight="1">
      <c r="B42" s="535">
        <f>'ETAT-PAY-VACT'!H37</f>
        <v>0</v>
      </c>
      <c r="C42" s="534" t="s">
        <v>659</v>
      </c>
      <c r="D42" s="965">
        <f>'ETAT-PAY-VACT'!D37</f>
        <v>0</v>
      </c>
      <c r="E42" s="965">
        <f>'ETAT-PAY-VACT'!C37</f>
        <v>0</v>
      </c>
      <c r="F42" s="534">
        <f>'ETAT-PAY-VACT'!B37</f>
        <v>0</v>
      </c>
      <c r="G42"/>
      <c r="H42" s="1">
        <f>'ETAT-PAY-VACT'!Y37</f>
        <v>0</v>
      </c>
    </row>
    <row r="43" spans="2:8" ht="25.5" hidden="1" customHeight="1">
      <c r="B43" s="535"/>
      <c r="C43" s="534"/>
      <c r="D43" s="965"/>
      <c r="E43" s="965"/>
      <c r="F43" s="534"/>
      <c r="H43" s="1"/>
    </row>
    <row r="44" spans="2:8" s="536" customFormat="1" ht="21" hidden="1" customHeight="1">
      <c r="B44" s="535"/>
      <c r="C44" s="534"/>
      <c r="D44" s="965"/>
      <c r="E44" s="965"/>
      <c r="F44" s="534"/>
      <c r="G44"/>
      <c r="H44" s="1"/>
    </row>
    <row r="45" spans="2:8" ht="25.5" hidden="1" customHeight="1">
      <c r="B45" s="535"/>
      <c r="C45" s="534"/>
      <c r="D45" s="965"/>
      <c r="E45" s="965"/>
      <c r="F45" s="534"/>
      <c r="H45" s="1"/>
    </row>
    <row r="46" spans="2:8" ht="25.5" hidden="1" customHeight="1">
      <c r="B46" s="535"/>
      <c r="C46" s="534"/>
      <c r="D46" s="965"/>
      <c r="E46" s="965"/>
      <c r="F46" s="534"/>
      <c r="H46" s="1"/>
    </row>
    <row r="47" spans="2:8" s="536" customFormat="1" ht="21" hidden="1" customHeight="1">
      <c r="B47" s="535"/>
      <c r="C47" s="534"/>
      <c r="D47" s="965"/>
      <c r="E47" s="965"/>
      <c r="F47" s="534"/>
      <c r="G47"/>
      <c r="H47" s="1"/>
    </row>
    <row r="48" spans="2:8" s="536" customFormat="1" ht="21" hidden="1" customHeight="1">
      <c r="B48" s="535"/>
      <c r="C48" s="534"/>
      <c r="D48" s="965"/>
      <c r="E48" s="965"/>
      <c r="F48" s="534"/>
      <c r="G48"/>
      <c r="H48" s="1"/>
    </row>
    <row r="49" spans="2:8" s="536" customFormat="1" ht="21" hidden="1" customHeight="1">
      <c r="B49" s="535"/>
      <c r="C49" s="534"/>
      <c r="D49" s="965"/>
      <c r="E49" s="965"/>
      <c r="F49" s="534"/>
      <c r="G49"/>
      <c r="H49" s="1"/>
    </row>
    <row r="50" spans="2:8" ht="25.5" hidden="1" customHeight="1">
      <c r="B50" s="535"/>
      <c r="C50" s="534"/>
      <c r="D50" s="965"/>
      <c r="E50" s="965"/>
      <c r="F50" s="534"/>
      <c r="H50" s="1"/>
    </row>
    <row r="51" spans="2:8" ht="25.5" hidden="1" customHeight="1">
      <c r="B51" s="535"/>
      <c r="C51" s="534"/>
      <c r="D51" s="965"/>
      <c r="E51" s="965"/>
      <c r="F51" s="534"/>
      <c r="H51" s="1"/>
    </row>
    <row r="52" spans="2:8" s="536" customFormat="1" ht="21" hidden="1" customHeight="1">
      <c r="B52" s="535"/>
      <c r="C52" s="534"/>
      <c r="D52" s="965"/>
      <c r="E52" s="965"/>
      <c r="F52" s="534"/>
      <c r="G52"/>
      <c r="H52" s="1"/>
    </row>
    <row r="53" spans="2:8" s="536" customFormat="1" ht="21" hidden="1" customHeight="1">
      <c r="B53" s="535"/>
      <c r="C53" s="534"/>
      <c r="D53" s="965"/>
      <c r="E53" s="965"/>
      <c r="F53" s="534"/>
      <c r="G53"/>
      <c r="H53" s="1"/>
    </row>
    <row r="54" spans="2:8" s="536" customFormat="1" ht="21" hidden="1" customHeight="1">
      <c r="B54" s="535"/>
      <c r="C54" s="534"/>
      <c r="D54" s="965"/>
      <c r="E54" s="965"/>
      <c r="F54" s="534"/>
      <c r="G54"/>
      <c r="H54" s="1"/>
    </row>
    <row r="55" spans="2:8" s="536" customFormat="1" ht="21" hidden="1" customHeight="1">
      <c r="B55" s="535"/>
      <c r="C55" s="534"/>
      <c r="D55" s="965"/>
      <c r="E55" s="965"/>
      <c r="F55" s="534"/>
      <c r="G55"/>
      <c r="H55" s="1"/>
    </row>
    <row r="56" spans="2:8" s="536" customFormat="1" ht="21" hidden="1" customHeight="1">
      <c r="B56" s="535"/>
      <c r="C56" s="534"/>
      <c r="D56" s="965"/>
      <c r="E56" s="965"/>
      <c r="F56" s="534"/>
      <c r="G56"/>
      <c r="H56" s="1"/>
    </row>
    <row r="57" spans="2:8" ht="25.5" hidden="1" customHeight="1">
      <c r="B57" s="535"/>
      <c r="C57" s="534"/>
      <c r="D57" s="965"/>
      <c r="E57" s="965"/>
      <c r="F57" s="534"/>
      <c r="H57" s="1"/>
    </row>
    <row r="58" spans="2:8" s="536" customFormat="1" ht="21" hidden="1" customHeight="1">
      <c r="B58" s="535"/>
      <c r="C58" s="534"/>
      <c r="D58" s="965"/>
      <c r="E58" s="965"/>
      <c r="F58" s="534"/>
      <c r="G58"/>
      <c r="H58" s="1"/>
    </row>
    <row r="59" spans="2:8" ht="25.5" hidden="1" customHeight="1">
      <c r="B59" s="535"/>
      <c r="C59" s="534"/>
      <c r="D59" s="965"/>
      <c r="E59" s="965"/>
      <c r="F59" s="534"/>
      <c r="H59" s="1"/>
    </row>
    <row r="60" spans="2:8" ht="25.5" hidden="1" customHeight="1">
      <c r="B60" s="535"/>
      <c r="C60" s="534"/>
      <c r="D60" s="965"/>
      <c r="E60" s="965"/>
      <c r="F60" s="534"/>
      <c r="H60" s="1"/>
    </row>
    <row r="61" spans="2:8" ht="25.5" hidden="1" customHeight="1">
      <c r="B61" s="535"/>
      <c r="C61" s="534"/>
      <c r="D61" s="965"/>
      <c r="E61" s="965"/>
      <c r="F61" s="534"/>
      <c r="H61" s="1"/>
    </row>
    <row r="62" spans="2:8" ht="25.5" hidden="1" customHeight="1">
      <c r="B62" s="535"/>
      <c r="C62" s="534"/>
      <c r="D62" s="965"/>
      <c r="E62" s="965"/>
      <c r="F62" s="534"/>
      <c r="H62" s="1"/>
    </row>
    <row r="63" spans="2:8" ht="25.5" hidden="1" customHeight="1">
      <c r="B63" s="535"/>
      <c r="C63" s="534"/>
      <c r="D63" s="965"/>
      <c r="E63" s="965"/>
      <c r="F63" s="534"/>
      <c r="H63" s="1"/>
    </row>
    <row r="64" spans="2:8" s="536" customFormat="1" ht="21" hidden="1" customHeight="1">
      <c r="B64" s="535"/>
      <c r="C64" s="534"/>
      <c r="D64" s="965"/>
      <c r="E64" s="965"/>
      <c r="F64" s="534"/>
      <c r="G64"/>
      <c r="H64" s="1"/>
    </row>
    <row r="65" spans="2:8" ht="25.5" hidden="1" customHeight="1">
      <c r="B65" s="535"/>
      <c r="C65" s="534"/>
      <c r="D65" s="965"/>
      <c r="E65" s="965"/>
      <c r="F65" s="534"/>
      <c r="H65" s="1"/>
    </row>
    <row r="66" spans="2:8" ht="25.5" hidden="1" customHeight="1">
      <c r="B66" s="535"/>
      <c r="C66" s="534"/>
      <c r="D66" s="965"/>
      <c r="E66" s="965"/>
      <c r="F66" s="534"/>
      <c r="H66" s="1"/>
    </row>
    <row r="67" spans="2:8" ht="25.5" hidden="1" customHeight="1">
      <c r="B67" s="535"/>
      <c r="C67" s="534"/>
      <c r="D67" s="965"/>
      <c r="E67" s="965"/>
      <c r="F67" s="534"/>
      <c r="H67" s="1"/>
    </row>
    <row r="68" spans="2:8" ht="25.5" hidden="1" customHeight="1">
      <c r="B68" s="535"/>
      <c r="C68" s="534"/>
      <c r="D68" s="965"/>
      <c r="E68" s="965"/>
      <c r="F68" s="534"/>
      <c r="H68" s="1"/>
    </row>
    <row r="69" spans="2:8" s="536" customFormat="1" ht="21" hidden="1" customHeight="1">
      <c r="B69" s="535"/>
      <c r="C69" s="534"/>
      <c r="D69" s="965"/>
      <c r="E69" s="965"/>
      <c r="F69" s="534"/>
      <c r="G69"/>
      <c r="H69" s="1"/>
    </row>
    <row r="70" spans="2:8" ht="25.5" hidden="1" customHeight="1">
      <c r="B70" s="535"/>
      <c r="C70" s="534"/>
      <c r="D70" s="965"/>
      <c r="E70" s="965"/>
      <c r="F70" s="534"/>
      <c r="H70" s="1"/>
    </row>
    <row r="71" spans="2:8" s="536" customFormat="1" ht="21" hidden="1" customHeight="1">
      <c r="B71" s="535"/>
      <c r="C71" s="534"/>
      <c r="D71" s="965"/>
      <c r="E71" s="965"/>
      <c r="F71" s="534"/>
      <c r="G71"/>
      <c r="H71" s="1"/>
    </row>
    <row r="72" spans="2:8" s="536" customFormat="1" ht="21" hidden="1" customHeight="1">
      <c r="B72" s="535"/>
      <c r="C72" s="534"/>
      <c r="D72" s="965"/>
      <c r="E72" s="965"/>
      <c r="F72" s="534"/>
      <c r="G72"/>
      <c r="H72" s="1"/>
    </row>
    <row r="73" spans="2:8" ht="25.5" hidden="1" customHeight="1">
      <c r="B73" s="535"/>
      <c r="C73" s="534"/>
      <c r="D73" s="965"/>
      <c r="E73" s="965"/>
      <c r="F73" s="534"/>
      <c r="H73" s="1"/>
    </row>
    <row r="74" spans="2:8" ht="25.5" hidden="1" customHeight="1">
      <c r="B74" s="535"/>
      <c r="C74" s="534"/>
      <c r="D74" s="965"/>
      <c r="E74" s="965"/>
      <c r="F74" s="534"/>
      <c r="H74" s="1"/>
    </row>
    <row r="75" spans="2:8" s="536" customFormat="1" ht="21" hidden="1" customHeight="1">
      <c r="B75" s="535"/>
      <c r="C75" s="534"/>
      <c r="D75" s="965"/>
      <c r="E75" s="965"/>
      <c r="F75" s="534"/>
      <c r="G75"/>
      <c r="H75" s="1"/>
    </row>
    <row r="76" spans="2:8" s="536" customFormat="1" ht="21" hidden="1" customHeight="1">
      <c r="B76" s="535"/>
      <c r="C76" s="534"/>
      <c r="D76" s="965"/>
      <c r="E76" s="965"/>
      <c r="F76" s="534"/>
      <c r="G76"/>
      <c r="H76" s="1"/>
    </row>
    <row r="77" spans="2:8" ht="25.5" hidden="1" customHeight="1">
      <c r="B77" s="535"/>
      <c r="C77" s="534"/>
      <c r="D77" s="965"/>
      <c r="E77" s="965"/>
      <c r="F77" s="534"/>
      <c r="H77" s="1"/>
    </row>
    <row r="78" spans="2:8" ht="25.5" hidden="1" customHeight="1">
      <c r="B78" s="535"/>
      <c r="C78" s="534"/>
      <c r="D78" s="965"/>
      <c r="E78" s="965"/>
      <c r="F78" s="534"/>
      <c r="H78" s="1"/>
    </row>
    <row r="79" spans="2:8" s="536" customFormat="1" ht="21" hidden="1" customHeight="1">
      <c r="B79" s="535"/>
      <c r="C79" s="534"/>
      <c r="D79" s="965"/>
      <c r="E79" s="965"/>
      <c r="F79" s="534"/>
      <c r="G79"/>
      <c r="H79" s="1"/>
    </row>
    <row r="80" spans="2:8" s="536" customFormat="1" ht="21" hidden="1" customHeight="1">
      <c r="B80" s="535"/>
      <c r="C80" s="534"/>
      <c r="D80" s="965"/>
      <c r="E80" s="965"/>
      <c r="F80" s="534"/>
      <c r="G80"/>
      <c r="H80" s="1"/>
    </row>
    <row r="81" spans="2:15" s="536" customFormat="1" ht="21" hidden="1" customHeight="1">
      <c r="B81" s="535"/>
      <c r="C81" s="534"/>
      <c r="D81" s="965"/>
      <c r="E81" s="965"/>
      <c r="F81" s="534"/>
      <c r="G81"/>
      <c r="H81" s="1"/>
    </row>
    <row r="82" spans="2:15" ht="25.5" hidden="1" customHeight="1">
      <c r="B82" s="535"/>
      <c r="C82" s="534"/>
      <c r="D82" s="965"/>
      <c r="E82" s="965"/>
      <c r="F82" s="534"/>
      <c r="H82" s="1"/>
    </row>
    <row r="83" spans="2:15" ht="25.5" hidden="1" customHeight="1">
      <c r="B83" s="535"/>
      <c r="C83" s="534"/>
      <c r="D83" s="965"/>
      <c r="E83" s="965"/>
      <c r="F83" s="534"/>
      <c r="H83" s="1"/>
    </row>
    <row r="84" spans="2:15" s="536" customFormat="1" ht="21" hidden="1" customHeight="1">
      <c r="B84" s="535"/>
      <c r="C84" s="534"/>
      <c r="D84" s="965"/>
      <c r="E84" s="965"/>
      <c r="F84" s="534"/>
      <c r="G84"/>
      <c r="H84" s="1"/>
    </row>
    <row r="85" spans="2:15" s="431" customFormat="1" ht="25.5" hidden="1" customHeight="1">
      <c r="B85" s="535"/>
      <c r="C85" s="534"/>
      <c r="D85" s="965"/>
      <c r="E85" s="965"/>
      <c r="F85" s="534"/>
      <c r="G85"/>
      <c r="H85" s="1"/>
    </row>
    <row r="86" spans="2:15" s="537" customFormat="1" ht="21" hidden="1" customHeight="1">
      <c r="B86" s="535"/>
      <c r="C86" s="534"/>
      <c r="D86" s="965"/>
      <c r="E86" s="965"/>
      <c r="F86" s="534"/>
      <c r="G86"/>
      <c r="H86" s="1"/>
    </row>
    <row r="87" spans="2:15" s="537" customFormat="1" ht="21" hidden="1" customHeight="1">
      <c r="B87" s="535"/>
      <c r="C87" s="534"/>
      <c r="D87" s="965"/>
      <c r="E87" s="965"/>
      <c r="F87" s="534"/>
      <c r="G87"/>
      <c r="H87" s="1"/>
    </row>
    <row r="88" spans="2:15" s="431" customFormat="1" ht="25.5" hidden="1" customHeight="1">
      <c r="B88" s="535"/>
      <c r="C88" s="534"/>
      <c r="D88" s="965"/>
      <c r="E88" s="965"/>
      <c r="F88" s="534"/>
      <c r="G88"/>
      <c r="H88" s="1"/>
    </row>
    <row r="89" spans="2:15" s="431" customFormat="1" ht="25.5" hidden="1" customHeight="1">
      <c r="B89" s="535"/>
      <c r="C89" s="534"/>
      <c r="D89" s="965"/>
      <c r="E89" s="965"/>
      <c r="F89" s="534"/>
      <c r="G89"/>
      <c r="H89" s="1"/>
    </row>
    <row r="90" spans="2:15" s="431" customFormat="1" ht="25.5" hidden="1" customHeight="1">
      <c r="B90" s="535"/>
      <c r="C90" s="534"/>
      <c r="D90" s="965"/>
      <c r="E90" s="965"/>
      <c r="F90" s="534"/>
      <c r="G90"/>
      <c r="H90" s="1"/>
    </row>
    <row r="91" spans="2:15" s="431" customFormat="1" ht="25.5" hidden="1" customHeight="1">
      <c r="B91" s="535"/>
      <c r="C91" s="534"/>
      <c r="D91" s="965"/>
      <c r="E91" s="965"/>
      <c r="F91" s="534"/>
      <c r="G91"/>
      <c r="H91" s="1"/>
    </row>
    <row r="92" spans="2:15" s="536" customFormat="1" ht="21" customHeight="1">
      <c r="B92" s="535">
        <f>SUMIF(H14:H89,H92,B14:B91)</f>
        <v>214080.91</v>
      </c>
      <c r="C92" s="1640" t="s">
        <v>186</v>
      </c>
      <c r="D92" s="1641"/>
      <c r="E92" s="1641"/>
      <c r="F92" s="1642"/>
      <c r="H92" s="1330" t="s">
        <v>562</v>
      </c>
    </row>
    <row r="93" spans="2:15" ht="32.25" customHeight="1">
      <c r="B93" s="1643" t="str">
        <f>CONCATENATE("أوقف المبلغ عند :"," ",[1]!Arreta(B92))</f>
        <v>أوقف المبلغ عند : مائتين وأربعة عشر ألف وثمانون دينار جزائري وواحد وتسعون سنتيما</v>
      </c>
      <c r="C93" s="1643"/>
      <c r="D93" s="1643"/>
      <c r="E93" s="1643"/>
      <c r="F93" s="1643"/>
      <c r="H93" s="1330" t="s">
        <v>562</v>
      </c>
    </row>
    <row r="94" spans="2:15" ht="20.25" customHeight="1">
      <c r="D94" s="1345">
        <f>الرئيسية!N10</f>
        <v>43617</v>
      </c>
    </row>
    <row r="95" spans="2:15">
      <c r="G95" s="1741"/>
      <c r="H95" s="1741"/>
      <c r="I95" s="1741"/>
      <c r="J95" s="1741"/>
      <c r="K95" s="1741"/>
      <c r="L95" s="1741"/>
      <c r="M95" s="1741"/>
      <c r="N95" s="1741"/>
      <c r="O95" s="1741"/>
    </row>
  </sheetData>
  <autoFilter ref="H13:H93">
    <filterColumn colId="0">
      <filters>
        <filter val="الحساب الجاري البريدي"/>
      </filters>
    </filterColumn>
  </autoFilter>
  <mergeCells count="5">
    <mergeCell ref="B2:E2"/>
    <mergeCell ref="B6:F6"/>
    <mergeCell ref="C92:F92"/>
    <mergeCell ref="B93:F93"/>
    <mergeCell ref="G95:O95"/>
  </mergeCells>
  <dataValidations count="1">
    <dataValidation type="list" allowBlank="1" showInputMessage="1" showErrorMessage="1" sqref="E4">
      <formula1>'ورقة العمل'!Y9:Y9</formula1>
    </dataValidation>
  </dataValidations>
  <printOptions horizontalCentered="1"/>
  <pageMargins left="0.19685039370078741" right="0.19685039370078741" top="0.39370078740157483" bottom="0.39370078740157483" header="0" footer="0"/>
  <pageSetup paperSize="134" scale="68" orientation="portrait" horizontalDpi="180" verticalDpi="18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sheetPr>
    <tabColor rgb="FFFF0000"/>
    <pageSetUpPr fitToPage="1"/>
  </sheetPr>
  <dimension ref="A1:BB59"/>
  <sheetViews>
    <sheetView showGridLines="0" rightToLeft="1" view="pageBreakPreview" topLeftCell="S1" zoomScale="40" zoomScaleNormal="25" zoomScaleSheetLayoutView="40" workbookViewId="0">
      <pane ySplit="14" topLeftCell="A15" activePane="bottomLeft" state="frozen"/>
      <selection activeCell="C5" sqref="C5"/>
      <selection pane="bottomLeft" activeCell="Y15" sqref="Y15"/>
    </sheetView>
  </sheetViews>
  <sheetFormatPr baseColWidth="10" defaultRowHeight="12.75"/>
  <cols>
    <col min="1" max="1" width="13" style="690" bestFit="1" customWidth="1"/>
    <col min="2" max="2" width="11.42578125" style="586"/>
    <col min="3" max="3" width="42.85546875" style="586" customWidth="1"/>
    <col min="4" max="4" width="53.7109375" style="586" customWidth="1"/>
    <col min="5" max="5" width="18.5703125" style="586" customWidth="1"/>
    <col min="6" max="6" width="19.28515625" style="586" customWidth="1"/>
    <col min="7" max="7" width="34.7109375" style="586" customWidth="1"/>
    <col min="8" max="8" width="41.85546875" style="586" customWidth="1"/>
    <col min="9" max="9" width="37.28515625" style="586" customWidth="1"/>
    <col min="10" max="10" width="38.42578125" style="586" customWidth="1"/>
    <col min="11" max="11" width="40.7109375" style="586" customWidth="1"/>
    <col min="12" max="12" width="38.42578125" style="586" customWidth="1"/>
    <col min="13" max="13" width="34.42578125" style="586" customWidth="1"/>
    <col min="14" max="18" width="40.7109375" style="586" customWidth="1"/>
    <col min="19" max="19" width="41.42578125" style="586" customWidth="1"/>
    <col min="20" max="20" width="38.42578125" style="586" customWidth="1"/>
    <col min="21" max="21" width="40.7109375" style="586" customWidth="1"/>
    <col min="22" max="22" width="35.7109375" style="586" customWidth="1"/>
    <col min="23" max="23" width="34.42578125" style="586" customWidth="1"/>
    <col min="24" max="24" width="40.7109375" style="586" customWidth="1"/>
    <col min="25" max="25" width="54.7109375" style="694" customWidth="1"/>
    <col min="26" max="26" width="13.85546875" style="586" hidden="1" customWidth="1"/>
    <col min="27" max="27" width="11.42578125" style="586"/>
    <col min="28" max="29" width="11.42578125" style="762"/>
    <col min="30" max="32" width="11.42578125" style="699"/>
    <col min="33" max="34" width="0" style="699" hidden="1" customWidth="1"/>
    <col min="35" max="35" width="13.28515625" style="699" hidden="1" customWidth="1"/>
    <col min="36" max="36" width="0" style="699" hidden="1" customWidth="1"/>
    <col min="37" max="37" width="0" style="586" hidden="1" customWidth="1"/>
    <col min="38" max="41" width="11.42578125" style="586"/>
    <col min="42" max="46" width="37.7109375" style="586" customWidth="1"/>
    <col min="47" max="54" width="30.140625" style="586" customWidth="1"/>
    <col min="55" max="255" width="11.42578125" style="586"/>
    <col min="256" max="256" width="13" style="586" bestFit="1" customWidth="1"/>
    <col min="257" max="257" width="11.42578125" style="586"/>
    <col min="258" max="258" width="42.85546875" style="586" customWidth="1"/>
    <col min="259" max="259" width="53.7109375" style="586" customWidth="1"/>
    <col min="260" max="260" width="18.5703125" style="586" customWidth="1"/>
    <col min="261" max="261" width="19.28515625" style="586" customWidth="1"/>
    <col min="262" max="262" width="28.5703125" style="586" customWidth="1"/>
    <col min="263" max="263" width="41.85546875" style="586" customWidth="1"/>
    <col min="264" max="264" width="37.28515625" style="586" customWidth="1"/>
    <col min="265" max="265" width="38.42578125" style="586" customWidth="1"/>
    <col min="266" max="266" width="40.7109375" style="586" customWidth="1"/>
    <col min="267" max="267" width="0" style="586" hidden="1" customWidth="1"/>
    <col min="268" max="268" width="38.42578125" style="586" customWidth="1"/>
    <col min="269" max="269" width="34.42578125" style="586" customWidth="1"/>
    <col min="270" max="274" width="40.7109375" style="586" customWidth="1"/>
    <col min="275" max="275" width="35" style="586" customWidth="1"/>
    <col min="276" max="276" width="38.42578125" style="586" customWidth="1"/>
    <col min="277" max="278" width="40.7109375" style="586" customWidth="1"/>
    <col min="279" max="279" width="34.42578125" style="586" customWidth="1"/>
    <col min="280" max="280" width="40.7109375" style="586" customWidth="1"/>
    <col min="281" max="281" width="17.85546875" style="586" customWidth="1"/>
    <col min="282" max="282" width="13.85546875" style="586" customWidth="1"/>
    <col min="283" max="290" width="11.42578125" style="586"/>
    <col min="291" max="291" width="13.28515625" style="586" customWidth="1"/>
    <col min="292" max="297" width="11.42578125" style="586"/>
    <col min="298" max="302" width="37.7109375" style="586" customWidth="1"/>
    <col min="303" max="310" width="30.140625" style="586" customWidth="1"/>
    <col min="311" max="511" width="11.42578125" style="586"/>
    <col min="512" max="512" width="13" style="586" bestFit="1" customWidth="1"/>
    <col min="513" max="513" width="11.42578125" style="586"/>
    <col min="514" max="514" width="42.85546875" style="586" customWidth="1"/>
    <col min="515" max="515" width="53.7109375" style="586" customWidth="1"/>
    <col min="516" max="516" width="18.5703125" style="586" customWidth="1"/>
    <col min="517" max="517" width="19.28515625" style="586" customWidth="1"/>
    <col min="518" max="518" width="28.5703125" style="586" customWidth="1"/>
    <col min="519" max="519" width="41.85546875" style="586" customWidth="1"/>
    <col min="520" max="520" width="37.28515625" style="586" customWidth="1"/>
    <col min="521" max="521" width="38.42578125" style="586" customWidth="1"/>
    <col min="522" max="522" width="40.7109375" style="586" customWidth="1"/>
    <col min="523" max="523" width="0" style="586" hidden="1" customWidth="1"/>
    <col min="524" max="524" width="38.42578125" style="586" customWidth="1"/>
    <col min="525" max="525" width="34.42578125" style="586" customWidth="1"/>
    <col min="526" max="530" width="40.7109375" style="586" customWidth="1"/>
    <col min="531" max="531" width="35" style="586" customWidth="1"/>
    <col min="532" max="532" width="38.42578125" style="586" customWidth="1"/>
    <col min="533" max="534" width="40.7109375" style="586" customWidth="1"/>
    <col min="535" max="535" width="34.42578125" style="586" customWidth="1"/>
    <col min="536" max="536" width="40.7109375" style="586" customWidth="1"/>
    <col min="537" max="537" width="17.85546875" style="586" customWidth="1"/>
    <col min="538" max="538" width="13.85546875" style="586" customWidth="1"/>
    <col min="539" max="546" width="11.42578125" style="586"/>
    <col min="547" max="547" width="13.28515625" style="586" customWidth="1"/>
    <col min="548" max="553" width="11.42578125" style="586"/>
    <col min="554" max="558" width="37.7109375" style="586" customWidth="1"/>
    <col min="559" max="566" width="30.140625" style="586" customWidth="1"/>
    <col min="567" max="767" width="11.42578125" style="586"/>
    <col min="768" max="768" width="13" style="586" bestFit="1" customWidth="1"/>
    <col min="769" max="769" width="11.42578125" style="586"/>
    <col min="770" max="770" width="42.85546875" style="586" customWidth="1"/>
    <col min="771" max="771" width="53.7109375" style="586" customWidth="1"/>
    <col min="772" max="772" width="18.5703125" style="586" customWidth="1"/>
    <col min="773" max="773" width="19.28515625" style="586" customWidth="1"/>
    <col min="774" max="774" width="28.5703125" style="586" customWidth="1"/>
    <col min="775" max="775" width="41.85546875" style="586" customWidth="1"/>
    <col min="776" max="776" width="37.28515625" style="586" customWidth="1"/>
    <col min="777" max="777" width="38.42578125" style="586" customWidth="1"/>
    <col min="778" max="778" width="40.7109375" style="586" customWidth="1"/>
    <col min="779" max="779" width="0" style="586" hidden="1" customWidth="1"/>
    <col min="780" max="780" width="38.42578125" style="586" customWidth="1"/>
    <col min="781" max="781" width="34.42578125" style="586" customWidth="1"/>
    <col min="782" max="786" width="40.7109375" style="586" customWidth="1"/>
    <col min="787" max="787" width="35" style="586" customWidth="1"/>
    <col min="788" max="788" width="38.42578125" style="586" customWidth="1"/>
    <col min="789" max="790" width="40.7109375" style="586" customWidth="1"/>
    <col min="791" max="791" width="34.42578125" style="586" customWidth="1"/>
    <col min="792" max="792" width="40.7109375" style="586" customWidth="1"/>
    <col min="793" max="793" width="17.85546875" style="586" customWidth="1"/>
    <col min="794" max="794" width="13.85546875" style="586" customWidth="1"/>
    <col min="795" max="802" width="11.42578125" style="586"/>
    <col min="803" max="803" width="13.28515625" style="586" customWidth="1"/>
    <col min="804" max="809" width="11.42578125" style="586"/>
    <col min="810" max="814" width="37.7109375" style="586" customWidth="1"/>
    <col min="815" max="822" width="30.140625" style="586" customWidth="1"/>
    <col min="823" max="1023" width="11.42578125" style="586"/>
    <col min="1024" max="1024" width="13" style="586" bestFit="1" customWidth="1"/>
    <col min="1025" max="1025" width="11.42578125" style="586"/>
    <col min="1026" max="1026" width="42.85546875" style="586" customWidth="1"/>
    <col min="1027" max="1027" width="53.7109375" style="586" customWidth="1"/>
    <col min="1028" max="1028" width="18.5703125" style="586" customWidth="1"/>
    <col min="1029" max="1029" width="19.28515625" style="586" customWidth="1"/>
    <col min="1030" max="1030" width="28.5703125" style="586" customWidth="1"/>
    <col min="1031" max="1031" width="41.85546875" style="586" customWidth="1"/>
    <col min="1032" max="1032" width="37.28515625" style="586" customWidth="1"/>
    <col min="1033" max="1033" width="38.42578125" style="586" customWidth="1"/>
    <col min="1034" max="1034" width="40.7109375" style="586" customWidth="1"/>
    <col min="1035" max="1035" width="0" style="586" hidden="1" customWidth="1"/>
    <col min="1036" max="1036" width="38.42578125" style="586" customWidth="1"/>
    <col min="1037" max="1037" width="34.42578125" style="586" customWidth="1"/>
    <col min="1038" max="1042" width="40.7109375" style="586" customWidth="1"/>
    <col min="1043" max="1043" width="35" style="586" customWidth="1"/>
    <col min="1044" max="1044" width="38.42578125" style="586" customWidth="1"/>
    <col min="1045" max="1046" width="40.7109375" style="586" customWidth="1"/>
    <col min="1047" max="1047" width="34.42578125" style="586" customWidth="1"/>
    <col min="1048" max="1048" width="40.7109375" style="586" customWidth="1"/>
    <col min="1049" max="1049" width="17.85546875" style="586" customWidth="1"/>
    <col min="1050" max="1050" width="13.85546875" style="586" customWidth="1"/>
    <col min="1051" max="1058" width="11.42578125" style="586"/>
    <col min="1059" max="1059" width="13.28515625" style="586" customWidth="1"/>
    <col min="1060" max="1065" width="11.42578125" style="586"/>
    <col min="1066" max="1070" width="37.7109375" style="586" customWidth="1"/>
    <col min="1071" max="1078" width="30.140625" style="586" customWidth="1"/>
    <col min="1079" max="1279" width="11.42578125" style="586"/>
    <col min="1280" max="1280" width="13" style="586" bestFit="1" customWidth="1"/>
    <col min="1281" max="1281" width="11.42578125" style="586"/>
    <col min="1282" max="1282" width="42.85546875" style="586" customWidth="1"/>
    <col min="1283" max="1283" width="53.7109375" style="586" customWidth="1"/>
    <col min="1284" max="1284" width="18.5703125" style="586" customWidth="1"/>
    <col min="1285" max="1285" width="19.28515625" style="586" customWidth="1"/>
    <col min="1286" max="1286" width="28.5703125" style="586" customWidth="1"/>
    <col min="1287" max="1287" width="41.85546875" style="586" customWidth="1"/>
    <col min="1288" max="1288" width="37.28515625" style="586" customWidth="1"/>
    <col min="1289" max="1289" width="38.42578125" style="586" customWidth="1"/>
    <col min="1290" max="1290" width="40.7109375" style="586" customWidth="1"/>
    <col min="1291" max="1291" width="0" style="586" hidden="1" customWidth="1"/>
    <col min="1292" max="1292" width="38.42578125" style="586" customWidth="1"/>
    <col min="1293" max="1293" width="34.42578125" style="586" customWidth="1"/>
    <col min="1294" max="1298" width="40.7109375" style="586" customWidth="1"/>
    <col min="1299" max="1299" width="35" style="586" customWidth="1"/>
    <col min="1300" max="1300" width="38.42578125" style="586" customWidth="1"/>
    <col min="1301" max="1302" width="40.7109375" style="586" customWidth="1"/>
    <col min="1303" max="1303" width="34.42578125" style="586" customWidth="1"/>
    <col min="1304" max="1304" width="40.7109375" style="586" customWidth="1"/>
    <col min="1305" max="1305" width="17.85546875" style="586" customWidth="1"/>
    <col min="1306" max="1306" width="13.85546875" style="586" customWidth="1"/>
    <col min="1307" max="1314" width="11.42578125" style="586"/>
    <col min="1315" max="1315" width="13.28515625" style="586" customWidth="1"/>
    <col min="1316" max="1321" width="11.42578125" style="586"/>
    <col min="1322" max="1326" width="37.7109375" style="586" customWidth="1"/>
    <col min="1327" max="1334" width="30.140625" style="586" customWidth="1"/>
    <col min="1335" max="1535" width="11.42578125" style="586"/>
    <col min="1536" max="1536" width="13" style="586" bestFit="1" customWidth="1"/>
    <col min="1537" max="1537" width="11.42578125" style="586"/>
    <col min="1538" max="1538" width="42.85546875" style="586" customWidth="1"/>
    <col min="1539" max="1539" width="53.7109375" style="586" customWidth="1"/>
    <col min="1540" max="1540" width="18.5703125" style="586" customWidth="1"/>
    <col min="1541" max="1541" width="19.28515625" style="586" customWidth="1"/>
    <col min="1542" max="1542" width="28.5703125" style="586" customWidth="1"/>
    <col min="1543" max="1543" width="41.85546875" style="586" customWidth="1"/>
    <col min="1544" max="1544" width="37.28515625" style="586" customWidth="1"/>
    <col min="1545" max="1545" width="38.42578125" style="586" customWidth="1"/>
    <col min="1546" max="1546" width="40.7109375" style="586" customWidth="1"/>
    <col min="1547" max="1547" width="0" style="586" hidden="1" customWidth="1"/>
    <col min="1548" max="1548" width="38.42578125" style="586" customWidth="1"/>
    <col min="1549" max="1549" width="34.42578125" style="586" customWidth="1"/>
    <col min="1550" max="1554" width="40.7109375" style="586" customWidth="1"/>
    <col min="1555" max="1555" width="35" style="586" customWidth="1"/>
    <col min="1556" max="1556" width="38.42578125" style="586" customWidth="1"/>
    <col min="1557" max="1558" width="40.7109375" style="586" customWidth="1"/>
    <col min="1559" max="1559" width="34.42578125" style="586" customWidth="1"/>
    <col min="1560" max="1560" width="40.7109375" style="586" customWidth="1"/>
    <col min="1561" max="1561" width="17.85546875" style="586" customWidth="1"/>
    <col min="1562" max="1562" width="13.85546875" style="586" customWidth="1"/>
    <col min="1563" max="1570" width="11.42578125" style="586"/>
    <col min="1571" max="1571" width="13.28515625" style="586" customWidth="1"/>
    <col min="1572" max="1577" width="11.42578125" style="586"/>
    <col min="1578" max="1582" width="37.7109375" style="586" customWidth="1"/>
    <col min="1583" max="1590" width="30.140625" style="586" customWidth="1"/>
    <col min="1591" max="1791" width="11.42578125" style="586"/>
    <col min="1792" max="1792" width="13" style="586" bestFit="1" customWidth="1"/>
    <col min="1793" max="1793" width="11.42578125" style="586"/>
    <col min="1794" max="1794" width="42.85546875" style="586" customWidth="1"/>
    <col min="1795" max="1795" width="53.7109375" style="586" customWidth="1"/>
    <col min="1796" max="1796" width="18.5703125" style="586" customWidth="1"/>
    <col min="1797" max="1797" width="19.28515625" style="586" customWidth="1"/>
    <col min="1798" max="1798" width="28.5703125" style="586" customWidth="1"/>
    <col min="1799" max="1799" width="41.85546875" style="586" customWidth="1"/>
    <col min="1800" max="1800" width="37.28515625" style="586" customWidth="1"/>
    <col min="1801" max="1801" width="38.42578125" style="586" customWidth="1"/>
    <col min="1802" max="1802" width="40.7109375" style="586" customWidth="1"/>
    <col min="1803" max="1803" width="0" style="586" hidden="1" customWidth="1"/>
    <col min="1804" max="1804" width="38.42578125" style="586" customWidth="1"/>
    <col min="1805" max="1805" width="34.42578125" style="586" customWidth="1"/>
    <col min="1806" max="1810" width="40.7109375" style="586" customWidth="1"/>
    <col min="1811" max="1811" width="35" style="586" customWidth="1"/>
    <col min="1812" max="1812" width="38.42578125" style="586" customWidth="1"/>
    <col min="1813" max="1814" width="40.7109375" style="586" customWidth="1"/>
    <col min="1815" max="1815" width="34.42578125" style="586" customWidth="1"/>
    <col min="1816" max="1816" width="40.7109375" style="586" customWidth="1"/>
    <col min="1817" max="1817" width="17.85546875" style="586" customWidth="1"/>
    <col min="1818" max="1818" width="13.85546875" style="586" customWidth="1"/>
    <col min="1819" max="1826" width="11.42578125" style="586"/>
    <col min="1827" max="1827" width="13.28515625" style="586" customWidth="1"/>
    <col min="1828" max="1833" width="11.42578125" style="586"/>
    <col min="1834" max="1838" width="37.7109375" style="586" customWidth="1"/>
    <col min="1839" max="1846" width="30.140625" style="586" customWidth="1"/>
    <col min="1847" max="2047" width="11.42578125" style="586"/>
    <col min="2048" max="2048" width="13" style="586" bestFit="1" customWidth="1"/>
    <col min="2049" max="2049" width="11.42578125" style="586"/>
    <col min="2050" max="2050" width="42.85546875" style="586" customWidth="1"/>
    <col min="2051" max="2051" width="53.7109375" style="586" customWidth="1"/>
    <col min="2052" max="2052" width="18.5703125" style="586" customWidth="1"/>
    <col min="2053" max="2053" width="19.28515625" style="586" customWidth="1"/>
    <col min="2054" max="2054" width="28.5703125" style="586" customWidth="1"/>
    <col min="2055" max="2055" width="41.85546875" style="586" customWidth="1"/>
    <col min="2056" max="2056" width="37.28515625" style="586" customWidth="1"/>
    <col min="2057" max="2057" width="38.42578125" style="586" customWidth="1"/>
    <col min="2058" max="2058" width="40.7109375" style="586" customWidth="1"/>
    <col min="2059" max="2059" width="0" style="586" hidden="1" customWidth="1"/>
    <col min="2060" max="2060" width="38.42578125" style="586" customWidth="1"/>
    <col min="2061" max="2061" width="34.42578125" style="586" customWidth="1"/>
    <col min="2062" max="2066" width="40.7109375" style="586" customWidth="1"/>
    <col min="2067" max="2067" width="35" style="586" customWidth="1"/>
    <col min="2068" max="2068" width="38.42578125" style="586" customWidth="1"/>
    <col min="2069" max="2070" width="40.7109375" style="586" customWidth="1"/>
    <col min="2071" max="2071" width="34.42578125" style="586" customWidth="1"/>
    <col min="2072" max="2072" width="40.7109375" style="586" customWidth="1"/>
    <col min="2073" max="2073" width="17.85546875" style="586" customWidth="1"/>
    <col min="2074" max="2074" width="13.85546875" style="586" customWidth="1"/>
    <col min="2075" max="2082" width="11.42578125" style="586"/>
    <col min="2083" max="2083" width="13.28515625" style="586" customWidth="1"/>
    <col min="2084" max="2089" width="11.42578125" style="586"/>
    <col min="2090" max="2094" width="37.7109375" style="586" customWidth="1"/>
    <col min="2095" max="2102" width="30.140625" style="586" customWidth="1"/>
    <col min="2103" max="2303" width="11.42578125" style="586"/>
    <col min="2304" max="2304" width="13" style="586" bestFit="1" customWidth="1"/>
    <col min="2305" max="2305" width="11.42578125" style="586"/>
    <col min="2306" max="2306" width="42.85546875" style="586" customWidth="1"/>
    <col min="2307" max="2307" width="53.7109375" style="586" customWidth="1"/>
    <col min="2308" max="2308" width="18.5703125" style="586" customWidth="1"/>
    <col min="2309" max="2309" width="19.28515625" style="586" customWidth="1"/>
    <col min="2310" max="2310" width="28.5703125" style="586" customWidth="1"/>
    <col min="2311" max="2311" width="41.85546875" style="586" customWidth="1"/>
    <col min="2312" max="2312" width="37.28515625" style="586" customWidth="1"/>
    <col min="2313" max="2313" width="38.42578125" style="586" customWidth="1"/>
    <col min="2314" max="2314" width="40.7109375" style="586" customWidth="1"/>
    <col min="2315" max="2315" width="0" style="586" hidden="1" customWidth="1"/>
    <col min="2316" max="2316" width="38.42578125" style="586" customWidth="1"/>
    <col min="2317" max="2317" width="34.42578125" style="586" customWidth="1"/>
    <col min="2318" max="2322" width="40.7109375" style="586" customWidth="1"/>
    <col min="2323" max="2323" width="35" style="586" customWidth="1"/>
    <col min="2324" max="2324" width="38.42578125" style="586" customWidth="1"/>
    <col min="2325" max="2326" width="40.7109375" style="586" customWidth="1"/>
    <col min="2327" max="2327" width="34.42578125" style="586" customWidth="1"/>
    <col min="2328" max="2328" width="40.7109375" style="586" customWidth="1"/>
    <col min="2329" max="2329" width="17.85546875" style="586" customWidth="1"/>
    <col min="2330" max="2330" width="13.85546875" style="586" customWidth="1"/>
    <col min="2331" max="2338" width="11.42578125" style="586"/>
    <col min="2339" max="2339" width="13.28515625" style="586" customWidth="1"/>
    <col min="2340" max="2345" width="11.42578125" style="586"/>
    <col min="2346" max="2350" width="37.7109375" style="586" customWidth="1"/>
    <col min="2351" max="2358" width="30.140625" style="586" customWidth="1"/>
    <col min="2359" max="2559" width="11.42578125" style="586"/>
    <col min="2560" max="2560" width="13" style="586" bestFit="1" customWidth="1"/>
    <col min="2561" max="2561" width="11.42578125" style="586"/>
    <col min="2562" max="2562" width="42.85546875" style="586" customWidth="1"/>
    <col min="2563" max="2563" width="53.7109375" style="586" customWidth="1"/>
    <col min="2564" max="2564" width="18.5703125" style="586" customWidth="1"/>
    <col min="2565" max="2565" width="19.28515625" style="586" customWidth="1"/>
    <col min="2566" max="2566" width="28.5703125" style="586" customWidth="1"/>
    <col min="2567" max="2567" width="41.85546875" style="586" customWidth="1"/>
    <col min="2568" max="2568" width="37.28515625" style="586" customWidth="1"/>
    <col min="2569" max="2569" width="38.42578125" style="586" customWidth="1"/>
    <col min="2570" max="2570" width="40.7109375" style="586" customWidth="1"/>
    <col min="2571" max="2571" width="0" style="586" hidden="1" customWidth="1"/>
    <col min="2572" max="2572" width="38.42578125" style="586" customWidth="1"/>
    <col min="2573" max="2573" width="34.42578125" style="586" customWidth="1"/>
    <col min="2574" max="2578" width="40.7109375" style="586" customWidth="1"/>
    <col min="2579" max="2579" width="35" style="586" customWidth="1"/>
    <col min="2580" max="2580" width="38.42578125" style="586" customWidth="1"/>
    <col min="2581" max="2582" width="40.7109375" style="586" customWidth="1"/>
    <col min="2583" max="2583" width="34.42578125" style="586" customWidth="1"/>
    <col min="2584" max="2584" width="40.7109375" style="586" customWidth="1"/>
    <col min="2585" max="2585" width="17.85546875" style="586" customWidth="1"/>
    <col min="2586" max="2586" width="13.85546875" style="586" customWidth="1"/>
    <col min="2587" max="2594" width="11.42578125" style="586"/>
    <col min="2595" max="2595" width="13.28515625" style="586" customWidth="1"/>
    <col min="2596" max="2601" width="11.42578125" style="586"/>
    <col min="2602" max="2606" width="37.7109375" style="586" customWidth="1"/>
    <col min="2607" max="2614" width="30.140625" style="586" customWidth="1"/>
    <col min="2615" max="2815" width="11.42578125" style="586"/>
    <col min="2816" max="2816" width="13" style="586" bestFit="1" customWidth="1"/>
    <col min="2817" max="2817" width="11.42578125" style="586"/>
    <col min="2818" max="2818" width="42.85546875" style="586" customWidth="1"/>
    <col min="2819" max="2819" width="53.7109375" style="586" customWidth="1"/>
    <col min="2820" max="2820" width="18.5703125" style="586" customWidth="1"/>
    <col min="2821" max="2821" width="19.28515625" style="586" customWidth="1"/>
    <col min="2822" max="2822" width="28.5703125" style="586" customWidth="1"/>
    <col min="2823" max="2823" width="41.85546875" style="586" customWidth="1"/>
    <col min="2824" max="2824" width="37.28515625" style="586" customWidth="1"/>
    <col min="2825" max="2825" width="38.42578125" style="586" customWidth="1"/>
    <col min="2826" max="2826" width="40.7109375" style="586" customWidth="1"/>
    <col min="2827" max="2827" width="0" style="586" hidden="1" customWidth="1"/>
    <col min="2828" max="2828" width="38.42578125" style="586" customWidth="1"/>
    <col min="2829" max="2829" width="34.42578125" style="586" customWidth="1"/>
    <col min="2830" max="2834" width="40.7109375" style="586" customWidth="1"/>
    <col min="2835" max="2835" width="35" style="586" customWidth="1"/>
    <col min="2836" max="2836" width="38.42578125" style="586" customWidth="1"/>
    <col min="2837" max="2838" width="40.7109375" style="586" customWidth="1"/>
    <col min="2839" max="2839" width="34.42578125" style="586" customWidth="1"/>
    <col min="2840" max="2840" width="40.7109375" style="586" customWidth="1"/>
    <col min="2841" max="2841" width="17.85546875" style="586" customWidth="1"/>
    <col min="2842" max="2842" width="13.85546875" style="586" customWidth="1"/>
    <col min="2843" max="2850" width="11.42578125" style="586"/>
    <col min="2851" max="2851" width="13.28515625" style="586" customWidth="1"/>
    <col min="2852" max="2857" width="11.42578125" style="586"/>
    <col min="2858" max="2862" width="37.7109375" style="586" customWidth="1"/>
    <col min="2863" max="2870" width="30.140625" style="586" customWidth="1"/>
    <col min="2871" max="3071" width="11.42578125" style="586"/>
    <col min="3072" max="3072" width="13" style="586" bestFit="1" customWidth="1"/>
    <col min="3073" max="3073" width="11.42578125" style="586"/>
    <col min="3074" max="3074" width="42.85546875" style="586" customWidth="1"/>
    <col min="3075" max="3075" width="53.7109375" style="586" customWidth="1"/>
    <col min="3076" max="3076" width="18.5703125" style="586" customWidth="1"/>
    <col min="3077" max="3077" width="19.28515625" style="586" customWidth="1"/>
    <col min="3078" max="3078" width="28.5703125" style="586" customWidth="1"/>
    <col min="3079" max="3079" width="41.85546875" style="586" customWidth="1"/>
    <col min="3080" max="3080" width="37.28515625" style="586" customWidth="1"/>
    <col min="3081" max="3081" width="38.42578125" style="586" customWidth="1"/>
    <col min="3082" max="3082" width="40.7109375" style="586" customWidth="1"/>
    <col min="3083" max="3083" width="0" style="586" hidden="1" customWidth="1"/>
    <col min="3084" max="3084" width="38.42578125" style="586" customWidth="1"/>
    <col min="3085" max="3085" width="34.42578125" style="586" customWidth="1"/>
    <col min="3086" max="3090" width="40.7109375" style="586" customWidth="1"/>
    <col min="3091" max="3091" width="35" style="586" customWidth="1"/>
    <col min="3092" max="3092" width="38.42578125" style="586" customWidth="1"/>
    <col min="3093" max="3094" width="40.7109375" style="586" customWidth="1"/>
    <col min="3095" max="3095" width="34.42578125" style="586" customWidth="1"/>
    <col min="3096" max="3096" width="40.7109375" style="586" customWidth="1"/>
    <col min="3097" max="3097" width="17.85546875" style="586" customWidth="1"/>
    <col min="3098" max="3098" width="13.85546875" style="586" customWidth="1"/>
    <col min="3099" max="3106" width="11.42578125" style="586"/>
    <col min="3107" max="3107" width="13.28515625" style="586" customWidth="1"/>
    <col min="3108" max="3113" width="11.42578125" style="586"/>
    <col min="3114" max="3118" width="37.7109375" style="586" customWidth="1"/>
    <col min="3119" max="3126" width="30.140625" style="586" customWidth="1"/>
    <col min="3127" max="3327" width="11.42578125" style="586"/>
    <col min="3328" max="3328" width="13" style="586" bestFit="1" customWidth="1"/>
    <col min="3329" max="3329" width="11.42578125" style="586"/>
    <col min="3330" max="3330" width="42.85546875" style="586" customWidth="1"/>
    <col min="3331" max="3331" width="53.7109375" style="586" customWidth="1"/>
    <col min="3332" max="3332" width="18.5703125" style="586" customWidth="1"/>
    <col min="3333" max="3333" width="19.28515625" style="586" customWidth="1"/>
    <col min="3334" max="3334" width="28.5703125" style="586" customWidth="1"/>
    <col min="3335" max="3335" width="41.85546875" style="586" customWidth="1"/>
    <col min="3336" max="3336" width="37.28515625" style="586" customWidth="1"/>
    <col min="3337" max="3337" width="38.42578125" style="586" customWidth="1"/>
    <col min="3338" max="3338" width="40.7109375" style="586" customWidth="1"/>
    <col min="3339" max="3339" width="0" style="586" hidden="1" customWidth="1"/>
    <col min="3340" max="3340" width="38.42578125" style="586" customWidth="1"/>
    <col min="3341" max="3341" width="34.42578125" style="586" customWidth="1"/>
    <col min="3342" max="3346" width="40.7109375" style="586" customWidth="1"/>
    <col min="3347" max="3347" width="35" style="586" customWidth="1"/>
    <col min="3348" max="3348" width="38.42578125" style="586" customWidth="1"/>
    <col min="3349" max="3350" width="40.7109375" style="586" customWidth="1"/>
    <col min="3351" max="3351" width="34.42578125" style="586" customWidth="1"/>
    <col min="3352" max="3352" width="40.7109375" style="586" customWidth="1"/>
    <col min="3353" max="3353" width="17.85546875" style="586" customWidth="1"/>
    <col min="3354" max="3354" width="13.85546875" style="586" customWidth="1"/>
    <col min="3355" max="3362" width="11.42578125" style="586"/>
    <col min="3363" max="3363" width="13.28515625" style="586" customWidth="1"/>
    <col min="3364" max="3369" width="11.42578125" style="586"/>
    <col min="3370" max="3374" width="37.7109375" style="586" customWidth="1"/>
    <col min="3375" max="3382" width="30.140625" style="586" customWidth="1"/>
    <col min="3383" max="3583" width="11.42578125" style="586"/>
    <col min="3584" max="3584" width="13" style="586" bestFit="1" customWidth="1"/>
    <col min="3585" max="3585" width="11.42578125" style="586"/>
    <col min="3586" max="3586" width="42.85546875" style="586" customWidth="1"/>
    <col min="3587" max="3587" width="53.7109375" style="586" customWidth="1"/>
    <col min="3588" max="3588" width="18.5703125" style="586" customWidth="1"/>
    <col min="3589" max="3589" width="19.28515625" style="586" customWidth="1"/>
    <col min="3590" max="3590" width="28.5703125" style="586" customWidth="1"/>
    <col min="3591" max="3591" width="41.85546875" style="586" customWidth="1"/>
    <col min="3592" max="3592" width="37.28515625" style="586" customWidth="1"/>
    <col min="3593" max="3593" width="38.42578125" style="586" customWidth="1"/>
    <col min="3594" max="3594" width="40.7109375" style="586" customWidth="1"/>
    <col min="3595" max="3595" width="0" style="586" hidden="1" customWidth="1"/>
    <col min="3596" max="3596" width="38.42578125" style="586" customWidth="1"/>
    <col min="3597" max="3597" width="34.42578125" style="586" customWidth="1"/>
    <col min="3598" max="3602" width="40.7109375" style="586" customWidth="1"/>
    <col min="3603" max="3603" width="35" style="586" customWidth="1"/>
    <col min="3604" max="3604" width="38.42578125" style="586" customWidth="1"/>
    <col min="3605" max="3606" width="40.7109375" style="586" customWidth="1"/>
    <col min="3607" max="3607" width="34.42578125" style="586" customWidth="1"/>
    <col min="3608" max="3608" width="40.7109375" style="586" customWidth="1"/>
    <col min="3609" max="3609" width="17.85546875" style="586" customWidth="1"/>
    <col min="3610" max="3610" width="13.85546875" style="586" customWidth="1"/>
    <col min="3611" max="3618" width="11.42578125" style="586"/>
    <col min="3619" max="3619" width="13.28515625" style="586" customWidth="1"/>
    <col min="3620" max="3625" width="11.42578125" style="586"/>
    <col min="3626" max="3630" width="37.7109375" style="586" customWidth="1"/>
    <col min="3631" max="3638" width="30.140625" style="586" customWidth="1"/>
    <col min="3639" max="3839" width="11.42578125" style="586"/>
    <col min="3840" max="3840" width="13" style="586" bestFit="1" customWidth="1"/>
    <col min="3841" max="3841" width="11.42578125" style="586"/>
    <col min="3842" max="3842" width="42.85546875" style="586" customWidth="1"/>
    <col min="3843" max="3843" width="53.7109375" style="586" customWidth="1"/>
    <col min="3844" max="3844" width="18.5703125" style="586" customWidth="1"/>
    <col min="3845" max="3845" width="19.28515625" style="586" customWidth="1"/>
    <col min="3846" max="3846" width="28.5703125" style="586" customWidth="1"/>
    <col min="3847" max="3847" width="41.85546875" style="586" customWidth="1"/>
    <col min="3848" max="3848" width="37.28515625" style="586" customWidth="1"/>
    <col min="3849" max="3849" width="38.42578125" style="586" customWidth="1"/>
    <col min="3850" max="3850" width="40.7109375" style="586" customWidth="1"/>
    <col min="3851" max="3851" width="0" style="586" hidden="1" customWidth="1"/>
    <col min="3852" max="3852" width="38.42578125" style="586" customWidth="1"/>
    <col min="3853" max="3853" width="34.42578125" style="586" customWidth="1"/>
    <col min="3854" max="3858" width="40.7109375" style="586" customWidth="1"/>
    <col min="3859" max="3859" width="35" style="586" customWidth="1"/>
    <col min="3860" max="3860" width="38.42578125" style="586" customWidth="1"/>
    <col min="3861" max="3862" width="40.7109375" style="586" customWidth="1"/>
    <col min="3863" max="3863" width="34.42578125" style="586" customWidth="1"/>
    <col min="3864" max="3864" width="40.7109375" style="586" customWidth="1"/>
    <col min="3865" max="3865" width="17.85546875" style="586" customWidth="1"/>
    <col min="3866" max="3866" width="13.85546875" style="586" customWidth="1"/>
    <col min="3867" max="3874" width="11.42578125" style="586"/>
    <col min="3875" max="3875" width="13.28515625" style="586" customWidth="1"/>
    <col min="3876" max="3881" width="11.42578125" style="586"/>
    <col min="3882" max="3886" width="37.7109375" style="586" customWidth="1"/>
    <col min="3887" max="3894" width="30.140625" style="586" customWidth="1"/>
    <col min="3895" max="4095" width="11.42578125" style="586"/>
    <col min="4096" max="4096" width="13" style="586" bestFit="1" customWidth="1"/>
    <col min="4097" max="4097" width="11.42578125" style="586"/>
    <col min="4098" max="4098" width="42.85546875" style="586" customWidth="1"/>
    <col min="4099" max="4099" width="53.7109375" style="586" customWidth="1"/>
    <col min="4100" max="4100" width="18.5703125" style="586" customWidth="1"/>
    <col min="4101" max="4101" width="19.28515625" style="586" customWidth="1"/>
    <col min="4102" max="4102" width="28.5703125" style="586" customWidth="1"/>
    <col min="4103" max="4103" width="41.85546875" style="586" customWidth="1"/>
    <col min="4104" max="4104" width="37.28515625" style="586" customWidth="1"/>
    <col min="4105" max="4105" width="38.42578125" style="586" customWidth="1"/>
    <col min="4106" max="4106" width="40.7109375" style="586" customWidth="1"/>
    <col min="4107" max="4107" width="0" style="586" hidden="1" customWidth="1"/>
    <col min="4108" max="4108" width="38.42578125" style="586" customWidth="1"/>
    <col min="4109" max="4109" width="34.42578125" style="586" customWidth="1"/>
    <col min="4110" max="4114" width="40.7109375" style="586" customWidth="1"/>
    <col min="4115" max="4115" width="35" style="586" customWidth="1"/>
    <col min="4116" max="4116" width="38.42578125" style="586" customWidth="1"/>
    <col min="4117" max="4118" width="40.7109375" style="586" customWidth="1"/>
    <col min="4119" max="4119" width="34.42578125" style="586" customWidth="1"/>
    <col min="4120" max="4120" width="40.7109375" style="586" customWidth="1"/>
    <col min="4121" max="4121" width="17.85546875" style="586" customWidth="1"/>
    <col min="4122" max="4122" width="13.85546875" style="586" customWidth="1"/>
    <col min="4123" max="4130" width="11.42578125" style="586"/>
    <col min="4131" max="4131" width="13.28515625" style="586" customWidth="1"/>
    <col min="4132" max="4137" width="11.42578125" style="586"/>
    <col min="4138" max="4142" width="37.7109375" style="586" customWidth="1"/>
    <col min="4143" max="4150" width="30.140625" style="586" customWidth="1"/>
    <col min="4151" max="4351" width="11.42578125" style="586"/>
    <col min="4352" max="4352" width="13" style="586" bestFit="1" customWidth="1"/>
    <col min="4353" max="4353" width="11.42578125" style="586"/>
    <col min="4354" max="4354" width="42.85546875" style="586" customWidth="1"/>
    <col min="4355" max="4355" width="53.7109375" style="586" customWidth="1"/>
    <col min="4356" max="4356" width="18.5703125" style="586" customWidth="1"/>
    <col min="4357" max="4357" width="19.28515625" style="586" customWidth="1"/>
    <col min="4358" max="4358" width="28.5703125" style="586" customWidth="1"/>
    <col min="4359" max="4359" width="41.85546875" style="586" customWidth="1"/>
    <col min="4360" max="4360" width="37.28515625" style="586" customWidth="1"/>
    <col min="4361" max="4361" width="38.42578125" style="586" customWidth="1"/>
    <col min="4362" max="4362" width="40.7109375" style="586" customWidth="1"/>
    <col min="4363" max="4363" width="0" style="586" hidden="1" customWidth="1"/>
    <col min="4364" max="4364" width="38.42578125" style="586" customWidth="1"/>
    <col min="4365" max="4365" width="34.42578125" style="586" customWidth="1"/>
    <col min="4366" max="4370" width="40.7109375" style="586" customWidth="1"/>
    <col min="4371" max="4371" width="35" style="586" customWidth="1"/>
    <col min="4372" max="4372" width="38.42578125" style="586" customWidth="1"/>
    <col min="4373" max="4374" width="40.7109375" style="586" customWidth="1"/>
    <col min="4375" max="4375" width="34.42578125" style="586" customWidth="1"/>
    <col min="4376" max="4376" width="40.7109375" style="586" customWidth="1"/>
    <col min="4377" max="4377" width="17.85546875" style="586" customWidth="1"/>
    <col min="4378" max="4378" width="13.85546875" style="586" customWidth="1"/>
    <col min="4379" max="4386" width="11.42578125" style="586"/>
    <col min="4387" max="4387" width="13.28515625" style="586" customWidth="1"/>
    <col min="4388" max="4393" width="11.42578125" style="586"/>
    <col min="4394" max="4398" width="37.7109375" style="586" customWidth="1"/>
    <col min="4399" max="4406" width="30.140625" style="586" customWidth="1"/>
    <col min="4407" max="4607" width="11.42578125" style="586"/>
    <col min="4608" max="4608" width="13" style="586" bestFit="1" customWidth="1"/>
    <col min="4609" max="4609" width="11.42578125" style="586"/>
    <col min="4610" max="4610" width="42.85546875" style="586" customWidth="1"/>
    <col min="4611" max="4611" width="53.7109375" style="586" customWidth="1"/>
    <col min="4612" max="4612" width="18.5703125" style="586" customWidth="1"/>
    <col min="4613" max="4613" width="19.28515625" style="586" customWidth="1"/>
    <col min="4614" max="4614" width="28.5703125" style="586" customWidth="1"/>
    <col min="4615" max="4615" width="41.85546875" style="586" customWidth="1"/>
    <col min="4616" max="4616" width="37.28515625" style="586" customWidth="1"/>
    <col min="4617" max="4617" width="38.42578125" style="586" customWidth="1"/>
    <col min="4618" max="4618" width="40.7109375" style="586" customWidth="1"/>
    <col min="4619" max="4619" width="0" style="586" hidden="1" customWidth="1"/>
    <col min="4620" max="4620" width="38.42578125" style="586" customWidth="1"/>
    <col min="4621" max="4621" width="34.42578125" style="586" customWidth="1"/>
    <col min="4622" max="4626" width="40.7109375" style="586" customWidth="1"/>
    <col min="4627" max="4627" width="35" style="586" customWidth="1"/>
    <col min="4628" max="4628" width="38.42578125" style="586" customWidth="1"/>
    <col min="4629" max="4630" width="40.7109375" style="586" customWidth="1"/>
    <col min="4631" max="4631" width="34.42578125" style="586" customWidth="1"/>
    <col min="4632" max="4632" width="40.7109375" style="586" customWidth="1"/>
    <col min="4633" max="4633" width="17.85546875" style="586" customWidth="1"/>
    <col min="4634" max="4634" width="13.85546875" style="586" customWidth="1"/>
    <col min="4635" max="4642" width="11.42578125" style="586"/>
    <col min="4643" max="4643" width="13.28515625" style="586" customWidth="1"/>
    <col min="4644" max="4649" width="11.42578125" style="586"/>
    <col min="4650" max="4654" width="37.7109375" style="586" customWidth="1"/>
    <col min="4655" max="4662" width="30.140625" style="586" customWidth="1"/>
    <col min="4663" max="4863" width="11.42578125" style="586"/>
    <col min="4864" max="4864" width="13" style="586" bestFit="1" customWidth="1"/>
    <col min="4865" max="4865" width="11.42578125" style="586"/>
    <col min="4866" max="4866" width="42.85546875" style="586" customWidth="1"/>
    <col min="4867" max="4867" width="53.7109375" style="586" customWidth="1"/>
    <col min="4868" max="4868" width="18.5703125" style="586" customWidth="1"/>
    <col min="4869" max="4869" width="19.28515625" style="586" customWidth="1"/>
    <col min="4870" max="4870" width="28.5703125" style="586" customWidth="1"/>
    <col min="4871" max="4871" width="41.85546875" style="586" customWidth="1"/>
    <col min="4872" max="4872" width="37.28515625" style="586" customWidth="1"/>
    <col min="4873" max="4873" width="38.42578125" style="586" customWidth="1"/>
    <col min="4874" max="4874" width="40.7109375" style="586" customWidth="1"/>
    <col min="4875" max="4875" width="0" style="586" hidden="1" customWidth="1"/>
    <col min="4876" max="4876" width="38.42578125" style="586" customWidth="1"/>
    <col min="4877" max="4877" width="34.42578125" style="586" customWidth="1"/>
    <col min="4878" max="4882" width="40.7109375" style="586" customWidth="1"/>
    <col min="4883" max="4883" width="35" style="586" customWidth="1"/>
    <col min="4884" max="4884" width="38.42578125" style="586" customWidth="1"/>
    <col min="4885" max="4886" width="40.7109375" style="586" customWidth="1"/>
    <col min="4887" max="4887" width="34.42578125" style="586" customWidth="1"/>
    <col min="4888" max="4888" width="40.7109375" style="586" customWidth="1"/>
    <col min="4889" max="4889" width="17.85546875" style="586" customWidth="1"/>
    <col min="4890" max="4890" width="13.85546875" style="586" customWidth="1"/>
    <col min="4891" max="4898" width="11.42578125" style="586"/>
    <col min="4899" max="4899" width="13.28515625" style="586" customWidth="1"/>
    <col min="4900" max="4905" width="11.42578125" style="586"/>
    <col min="4906" max="4910" width="37.7109375" style="586" customWidth="1"/>
    <col min="4911" max="4918" width="30.140625" style="586" customWidth="1"/>
    <col min="4919" max="5119" width="11.42578125" style="586"/>
    <col min="5120" max="5120" width="13" style="586" bestFit="1" customWidth="1"/>
    <col min="5121" max="5121" width="11.42578125" style="586"/>
    <col min="5122" max="5122" width="42.85546875" style="586" customWidth="1"/>
    <col min="5123" max="5123" width="53.7109375" style="586" customWidth="1"/>
    <col min="5124" max="5124" width="18.5703125" style="586" customWidth="1"/>
    <col min="5125" max="5125" width="19.28515625" style="586" customWidth="1"/>
    <col min="5126" max="5126" width="28.5703125" style="586" customWidth="1"/>
    <col min="5127" max="5127" width="41.85546875" style="586" customWidth="1"/>
    <col min="5128" max="5128" width="37.28515625" style="586" customWidth="1"/>
    <col min="5129" max="5129" width="38.42578125" style="586" customWidth="1"/>
    <col min="5130" max="5130" width="40.7109375" style="586" customWidth="1"/>
    <col min="5131" max="5131" width="0" style="586" hidden="1" customWidth="1"/>
    <col min="5132" max="5132" width="38.42578125" style="586" customWidth="1"/>
    <col min="5133" max="5133" width="34.42578125" style="586" customWidth="1"/>
    <col min="5134" max="5138" width="40.7109375" style="586" customWidth="1"/>
    <col min="5139" max="5139" width="35" style="586" customWidth="1"/>
    <col min="5140" max="5140" width="38.42578125" style="586" customWidth="1"/>
    <col min="5141" max="5142" width="40.7109375" style="586" customWidth="1"/>
    <col min="5143" max="5143" width="34.42578125" style="586" customWidth="1"/>
    <col min="5144" max="5144" width="40.7109375" style="586" customWidth="1"/>
    <col min="5145" max="5145" width="17.85546875" style="586" customWidth="1"/>
    <col min="5146" max="5146" width="13.85546875" style="586" customWidth="1"/>
    <col min="5147" max="5154" width="11.42578125" style="586"/>
    <col min="5155" max="5155" width="13.28515625" style="586" customWidth="1"/>
    <col min="5156" max="5161" width="11.42578125" style="586"/>
    <col min="5162" max="5166" width="37.7109375" style="586" customWidth="1"/>
    <col min="5167" max="5174" width="30.140625" style="586" customWidth="1"/>
    <col min="5175" max="5375" width="11.42578125" style="586"/>
    <col min="5376" max="5376" width="13" style="586" bestFit="1" customWidth="1"/>
    <col min="5377" max="5377" width="11.42578125" style="586"/>
    <col min="5378" max="5378" width="42.85546875" style="586" customWidth="1"/>
    <col min="5379" max="5379" width="53.7109375" style="586" customWidth="1"/>
    <col min="5380" max="5380" width="18.5703125" style="586" customWidth="1"/>
    <col min="5381" max="5381" width="19.28515625" style="586" customWidth="1"/>
    <col min="5382" max="5382" width="28.5703125" style="586" customWidth="1"/>
    <col min="5383" max="5383" width="41.85546875" style="586" customWidth="1"/>
    <col min="5384" max="5384" width="37.28515625" style="586" customWidth="1"/>
    <col min="5385" max="5385" width="38.42578125" style="586" customWidth="1"/>
    <col min="5386" max="5386" width="40.7109375" style="586" customWidth="1"/>
    <col min="5387" max="5387" width="0" style="586" hidden="1" customWidth="1"/>
    <col min="5388" max="5388" width="38.42578125" style="586" customWidth="1"/>
    <col min="5389" max="5389" width="34.42578125" style="586" customWidth="1"/>
    <col min="5390" max="5394" width="40.7109375" style="586" customWidth="1"/>
    <col min="5395" max="5395" width="35" style="586" customWidth="1"/>
    <col min="5396" max="5396" width="38.42578125" style="586" customWidth="1"/>
    <col min="5397" max="5398" width="40.7109375" style="586" customWidth="1"/>
    <col min="5399" max="5399" width="34.42578125" style="586" customWidth="1"/>
    <col min="5400" max="5400" width="40.7109375" style="586" customWidth="1"/>
    <col min="5401" max="5401" width="17.85546875" style="586" customWidth="1"/>
    <col min="5402" max="5402" width="13.85546875" style="586" customWidth="1"/>
    <col min="5403" max="5410" width="11.42578125" style="586"/>
    <col min="5411" max="5411" width="13.28515625" style="586" customWidth="1"/>
    <col min="5412" max="5417" width="11.42578125" style="586"/>
    <col min="5418" max="5422" width="37.7109375" style="586" customWidth="1"/>
    <col min="5423" max="5430" width="30.140625" style="586" customWidth="1"/>
    <col min="5431" max="5631" width="11.42578125" style="586"/>
    <col min="5632" max="5632" width="13" style="586" bestFit="1" customWidth="1"/>
    <col min="5633" max="5633" width="11.42578125" style="586"/>
    <col min="5634" max="5634" width="42.85546875" style="586" customWidth="1"/>
    <col min="5635" max="5635" width="53.7109375" style="586" customWidth="1"/>
    <col min="5636" max="5636" width="18.5703125" style="586" customWidth="1"/>
    <col min="5637" max="5637" width="19.28515625" style="586" customWidth="1"/>
    <col min="5638" max="5638" width="28.5703125" style="586" customWidth="1"/>
    <col min="5639" max="5639" width="41.85546875" style="586" customWidth="1"/>
    <col min="5640" max="5640" width="37.28515625" style="586" customWidth="1"/>
    <col min="5641" max="5641" width="38.42578125" style="586" customWidth="1"/>
    <col min="5642" max="5642" width="40.7109375" style="586" customWidth="1"/>
    <col min="5643" max="5643" width="0" style="586" hidden="1" customWidth="1"/>
    <col min="5644" max="5644" width="38.42578125" style="586" customWidth="1"/>
    <col min="5645" max="5645" width="34.42578125" style="586" customWidth="1"/>
    <col min="5646" max="5650" width="40.7109375" style="586" customWidth="1"/>
    <col min="5651" max="5651" width="35" style="586" customWidth="1"/>
    <col min="5652" max="5652" width="38.42578125" style="586" customWidth="1"/>
    <col min="5653" max="5654" width="40.7109375" style="586" customWidth="1"/>
    <col min="5655" max="5655" width="34.42578125" style="586" customWidth="1"/>
    <col min="5656" max="5656" width="40.7109375" style="586" customWidth="1"/>
    <col min="5657" max="5657" width="17.85546875" style="586" customWidth="1"/>
    <col min="5658" max="5658" width="13.85546875" style="586" customWidth="1"/>
    <col min="5659" max="5666" width="11.42578125" style="586"/>
    <col min="5667" max="5667" width="13.28515625" style="586" customWidth="1"/>
    <col min="5668" max="5673" width="11.42578125" style="586"/>
    <col min="5674" max="5678" width="37.7109375" style="586" customWidth="1"/>
    <col min="5679" max="5686" width="30.140625" style="586" customWidth="1"/>
    <col min="5687" max="5887" width="11.42578125" style="586"/>
    <col min="5888" max="5888" width="13" style="586" bestFit="1" customWidth="1"/>
    <col min="5889" max="5889" width="11.42578125" style="586"/>
    <col min="5890" max="5890" width="42.85546875" style="586" customWidth="1"/>
    <col min="5891" max="5891" width="53.7109375" style="586" customWidth="1"/>
    <col min="5892" max="5892" width="18.5703125" style="586" customWidth="1"/>
    <col min="5893" max="5893" width="19.28515625" style="586" customWidth="1"/>
    <col min="5894" max="5894" width="28.5703125" style="586" customWidth="1"/>
    <col min="5895" max="5895" width="41.85546875" style="586" customWidth="1"/>
    <col min="5896" max="5896" width="37.28515625" style="586" customWidth="1"/>
    <col min="5897" max="5897" width="38.42578125" style="586" customWidth="1"/>
    <col min="5898" max="5898" width="40.7109375" style="586" customWidth="1"/>
    <col min="5899" max="5899" width="0" style="586" hidden="1" customWidth="1"/>
    <col min="5900" max="5900" width="38.42578125" style="586" customWidth="1"/>
    <col min="5901" max="5901" width="34.42578125" style="586" customWidth="1"/>
    <col min="5902" max="5906" width="40.7109375" style="586" customWidth="1"/>
    <col min="5907" max="5907" width="35" style="586" customWidth="1"/>
    <col min="5908" max="5908" width="38.42578125" style="586" customWidth="1"/>
    <col min="5909" max="5910" width="40.7109375" style="586" customWidth="1"/>
    <col min="5911" max="5911" width="34.42578125" style="586" customWidth="1"/>
    <col min="5912" max="5912" width="40.7109375" style="586" customWidth="1"/>
    <col min="5913" max="5913" width="17.85546875" style="586" customWidth="1"/>
    <col min="5914" max="5914" width="13.85546875" style="586" customWidth="1"/>
    <col min="5915" max="5922" width="11.42578125" style="586"/>
    <col min="5923" max="5923" width="13.28515625" style="586" customWidth="1"/>
    <col min="5924" max="5929" width="11.42578125" style="586"/>
    <col min="5930" max="5934" width="37.7109375" style="586" customWidth="1"/>
    <col min="5935" max="5942" width="30.140625" style="586" customWidth="1"/>
    <col min="5943" max="6143" width="11.42578125" style="586"/>
    <col min="6144" max="6144" width="13" style="586" bestFit="1" customWidth="1"/>
    <col min="6145" max="6145" width="11.42578125" style="586"/>
    <col min="6146" max="6146" width="42.85546875" style="586" customWidth="1"/>
    <col min="6147" max="6147" width="53.7109375" style="586" customWidth="1"/>
    <col min="6148" max="6148" width="18.5703125" style="586" customWidth="1"/>
    <col min="6149" max="6149" width="19.28515625" style="586" customWidth="1"/>
    <col min="6150" max="6150" width="28.5703125" style="586" customWidth="1"/>
    <col min="6151" max="6151" width="41.85546875" style="586" customWidth="1"/>
    <col min="6152" max="6152" width="37.28515625" style="586" customWidth="1"/>
    <col min="6153" max="6153" width="38.42578125" style="586" customWidth="1"/>
    <col min="6154" max="6154" width="40.7109375" style="586" customWidth="1"/>
    <col min="6155" max="6155" width="0" style="586" hidden="1" customWidth="1"/>
    <col min="6156" max="6156" width="38.42578125" style="586" customWidth="1"/>
    <col min="6157" max="6157" width="34.42578125" style="586" customWidth="1"/>
    <col min="6158" max="6162" width="40.7109375" style="586" customWidth="1"/>
    <col min="6163" max="6163" width="35" style="586" customWidth="1"/>
    <col min="6164" max="6164" width="38.42578125" style="586" customWidth="1"/>
    <col min="6165" max="6166" width="40.7109375" style="586" customWidth="1"/>
    <col min="6167" max="6167" width="34.42578125" style="586" customWidth="1"/>
    <col min="6168" max="6168" width="40.7109375" style="586" customWidth="1"/>
    <col min="6169" max="6169" width="17.85546875" style="586" customWidth="1"/>
    <col min="6170" max="6170" width="13.85546875" style="586" customWidth="1"/>
    <col min="6171" max="6178" width="11.42578125" style="586"/>
    <col min="6179" max="6179" width="13.28515625" style="586" customWidth="1"/>
    <col min="6180" max="6185" width="11.42578125" style="586"/>
    <col min="6186" max="6190" width="37.7109375" style="586" customWidth="1"/>
    <col min="6191" max="6198" width="30.140625" style="586" customWidth="1"/>
    <col min="6199" max="6399" width="11.42578125" style="586"/>
    <col min="6400" max="6400" width="13" style="586" bestFit="1" customWidth="1"/>
    <col min="6401" max="6401" width="11.42578125" style="586"/>
    <col min="6402" max="6402" width="42.85546875" style="586" customWidth="1"/>
    <col min="6403" max="6403" width="53.7109375" style="586" customWidth="1"/>
    <col min="6404" max="6404" width="18.5703125" style="586" customWidth="1"/>
    <col min="6405" max="6405" width="19.28515625" style="586" customWidth="1"/>
    <col min="6406" max="6406" width="28.5703125" style="586" customWidth="1"/>
    <col min="6407" max="6407" width="41.85546875" style="586" customWidth="1"/>
    <col min="6408" max="6408" width="37.28515625" style="586" customWidth="1"/>
    <col min="6409" max="6409" width="38.42578125" style="586" customWidth="1"/>
    <col min="6410" max="6410" width="40.7109375" style="586" customWidth="1"/>
    <col min="6411" max="6411" width="0" style="586" hidden="1" customWidth="1"/>
    <col min="6412" max="6412" width="38.42578125" style="586" customWidth="1"/>
    <col min="6413" max="6413" width="34.42578125" style="586" customWidth="1"/>
    <col min="6414" max="6418" width="40.7109375" style="586" customWidth="1"/>
    <col min="6419" max="6419" width="35" style="586" customWidth="1"/>
    <col min="6420" max="6420" width="38.42578125" style="586" customWidth="1"/>
    <col min="6421" max="6422" width="40.7109375" style="586" customWidth="1"/>
    <col min="6423" max="6423" width="34.42578125" style="586" customWidth="1"/>
    <col min="6424" max="6424" width="40.7109375" style="586" customWidth="1"/>
    <col min="6425" max="6425" width="17.85546875" style="586" customWidth="1"/>
    <col min="6426" max="6426" width="13.85546875" style="586" customWidth="1"/>
    <col min="6427" max="6434" width="11.42578125" style="586"/>
    <col min="6435" max="6435" width="13.28515625" style="586" customWidth="1"/>
    <col min="6436" max="6441" width="11.42578125" style="586"/>
    <col min="6442" max="6446" width="37.7109375" style="586" customWidth="1"/>
    <col min="6447" max="6454" width="30.140625" style="586" customWidth="1"/>
    <col min="6455" max="6655" width="11.42578125" style="586"/>
    <col min="6656" max="6656" width="13" style="586" bestFit="1" customWidth="1"/>
    <col min="6657" max="6657" width="11.42578125" style="586"/>
    <col min="6658" max="6658" width="42.85546875" style="586" customWidth="1"/>
    <col min="6659" max="6659" width="53.7109375" style="586" customWidth="1"/>
    <col min="6660" max="6660" width="18.5703125" style="586" customWidth="1"/>
    <col min="6661" max="6661" width="19.28515625" style="586" customWidth="1"/>
    <col min="6662" max="6662" width="28.5703125" style="586" customWidth="1"/>
    <col min="6663" max="6663" width="41.85546875" style="586" customWidth="1"/>
    <col min="6664" max="6664" width="37.28515625" style="586" customWidth="1"/>
    <col min="6665" max="6665" width="38.42578125" style="586" customWidth="1"/>
    <col min="6666" max="6666" width="40.7109375" style="586" customWidth="1"/>
    <col min="6667" max="6667" width="0" style="586" hidden="1" customWidth="1"/>
    <col min="6668" max="6668" width="38.42578125" style="586" customWidth="1"/>
    <col min="6669" max="6669" width="34.42578125" style="586" customWidth="1"/>
    <col min="6670" max="6674" width="40.7109375" style="586" customWidth="1"/>
    <col min="6675" max="6675" width="35" style="586" customWidth="1"/>
    <col min="6676" max="6676" width="38.42578125" style="586" customWidth="1"/>
    <col min="6677" max="6678" width="40.7109375" style="586" customWidth="1"/>
    <col min="6679" max="6679" width="34.42578125" style="586" customWidth="1"/>
    <col min="6680" max="6680" width="40.7109375" style="586" customWidth="1"/>
    <col min="6681" max="6681" width="17.85546875" style="586" customWidth="1"/>
    <col min="6682" max="6682" width="13.85546875" style="586" customWidth="1"/>
    <col min="6683" max="6690" width="11.42578125" style="586"/>
    <col min="6691" max="6691" width="13.28515625" style="586" customWidth="1"/>
    <col min="6692" max="6697" width="11.42578125" style="586"/>
    <col min="6698" max="6702" width="37.7109375" style="586" customWidth="1"/>
    <col min="6703" max="6710" width="30.140625" style="586" customWidth="1"/>
    <col min="6711" max="6911" width="11.42578125" style="586"/>
    <col min="6912" max="6912" width="13" style="586" bestFit="1" customWidth="1"/>
    <col min="6913" max="6913" width="11.42578125" style="586"/>
    <col min="6914" max="6914" width="42.85546875" style="586" customWidth="1"/>
    <col min="6915" max="6915" width="53.7109375" style="586" customWidth="1"/>
    <col min="6916" max="6916" width="18.5703125" style="586" customWidth="1"/>
    <col min="6917" max="6917" width="19.28515625" style="586" customWidth="1"/>
    <col min="6918" max="6918" width="28.5703125" style="586" customWidth="1"/>
    <col min="6919" max="6919" width="41.85546875" style="586" customWidth="1"/>
    <col min="6920" max="6920" width="37.28515625" style="586" customWidth="1"/>
    <col min="6921" max="6921" width="38.42578125" style="586" customWidth="1"/>
    <col min="6922" max="6922" width="40.7109375" style="586" customWidth="1"/>
    <col min="6923" max="6923" width="0" style="586" hidden="1" customWidth="1"/>
    <col min="6924" max="6924" width="38.42578125" style="586" customWidth="1"/>
    <col min="6925" max="6925" width="34.42578125" style="586" customWidth="1"/>
    <col min="6926" max="6930" width="40.7109375" style="586" customWidth="1"/>
    <col min="6931" max="6931" width="35" style="586" customWidth="1"/>
    <col min="6932" max="6932" width="38.42578125" style="586" customWidth="1"/>
    <col min="6933" max="6934" width="40.7109375" style="586" customWidth="1"/>
    <col min="6935" max="6935" width="34.42578125" style="586" customWidth="1"/>
    <col min="6936" max="6936" width="40.7109375" style="586" customWidth="1"/>
    <col min="6937" max="6937" width="17.85546875" style="586" customWidth="1"/>
    <col min="6938" max="6938" width="13.85546875" style="586" customWidth="1"/>
    <col min="6939" max="6946" width="11.42578125" style="586"/>
    <col min="6947" max="6947" width="13.28515625" style="586" customWidth="1"/>
    <col min="6948" max="6953" width="11.42578125" style="586"/>
    <col min="6954" max="6958" width="37.7109375" style="586" customWidth="1"/>
    <col min="6959" max="6966" width="30.140625" style="586" customWidth="1"/>
    <col min="6967" max="7167" width="11.42578125" style="586"/>
    <col min="7168" max="7168" width="13" style="586" bestFit="1" customWidth="1"/>
    <col min="7169" max="7169" width="11.42578125" style="586"/>
    <col min="7170" max="7170" width="42.85546875" style="586" customWidth="1"/>
    <col min="7171" max="7171" width="53.7109375" style="586" customWidth="1"/>
    <col min="7172" max="7172" width="18.5703125" style="586" customWidth="1"/>
    <col min="7173" max="7173" width="19.28515625" style="586" customWidth="1"/>
    <col min="7174" max="7174" width="28.5703125" style="586" customWidth="1"/>
    <col min="7175" max="7175" width="41.85546875" style="586" customWidth="1"/>
    <col min="7176" max="7176" width="37.28515625" style="586" customWidth="1"/>
    <col min="7177" max="7177" width="38.42578125" style="586" customWidth="1"/>
    <col min="7178" max="7178" width="40.7109375" style="586" customWidth="1"/>
    <col min="7179" max="7179" width="0" style="586" hidden="1" customWidth="1"/>
    <col min="7180" max="7180" width="38.42578125" style="586" customWidth="1"/>
    <col min="7181" max="7181" width="34.42578125" style="586" customWidth="1"/>
    <col min="7182" max="7186" width="40.7109375" style="586" customWidth="1"/>
    <col min="7187" max="7187" width="35" style="586" customWidth="1"/>
    <col min="7188" max="7188" width="38.42578125" style="586" customWidth="1"/>
    <col min="7189" max="7190" width="40.7109375" style="586" customWidth="1"/>
    <col min="7191" max="7191" width="34.42578125" style="586" customWidth="1"/>
    <col min="7192" max="7192" width="40.7109375" style="586" customWidth="1"/>
    <col min="7193" max="7193" width="17.85546875" style="586" customWidth="1"/>
    <col min="7194" max="7194" width="13.85546875" style="586" customWidth="1"/>
    <col min="7195" max="7202" width="11.42578125" style="586"/>
    <col min="7203" max="7203" width="13.28515625" style="586" customWidth="1"/>
    <col min="7204" max="7209" width="11.42578125" style="586"/>
    <col min="7210" max="7214" width="37.7109375" style="586" customWidth="1"/>
    <col min="7215" max="7222" width="30.140625" style="586" customWidth="1"/>
    <col min="7223" max="7423" width="11.42578125" style="586"/>
    <col min="7424" max="7424" width="13" style="586" bestFit="1" customWidth="1"/>
    <col min="7425" max="7425" width="11.42578125" style="586"/>
    <col min="7426" max="7426" width="42.85546875" style="586" customWidth="1"/>
    <col min="7427" max="7427" width="53.7109375" style="586" customWidth="1"/>
    <col min="7428" max="7428" width="18.5703125" style="586" customWidth="1"/>
    <col min="7429" max="7429" width="19.28515625" style="586" customWidth="1"/>
    <col min="7430" max="7430" width="28.5703125" style="586" customWidth="1"/>
    <col min="7431" max="7431" width="41.85546875" style="586" customWidth="1"/>
    <col min="7432" max="7432" width="37.28515625" style="586" customWidth="1"/>
    <col min="7433" max="7433" width="38.42578125" style="586" customWidth="1"/>
    <col min="7434" max="7434" width="40.7109375" style="586" customWidth="1"/>
    <col min="7435" max="7435" width="0" style="586" hidden="1" customWidth="1"/>
    <col min="7436" max="7436" width="38.42578125" style="586" customWidth="1"/>
    <col min="7437" max="7437" width="34.42578125" style="586" customWidth="1"/>
    <col min="7438" max="7442" width="40.7109375" style="586" customWidth="1"/>
    <col min="7443" max="7443" width="35" style="586" customWidth="1"/>
    <col min="7444" max="7444" width="38.42578125" style="586" customWidth="1"/>
    <col min="7445" max="7446" width="40.7109375" style="586" customWidth="1"/>
    <col min="7447" max="7447" width="34.42578125" style="586" customWidth="1"/>
    <col min="7448" max="7448" width="40.7109375" style="586" customWidth="1"/>
    <col min="7449" max="7449" width="17.85546875" style="586" customWidth="1"/>
    <col min="7450" max="7450" width="13.85546875" style="586" customWidth="1"/>
    <col min="7451" max="7458" width="11.42578125" style="586"/>
    <col min="7459" max="7459" width="13.28515625" style="586" customWidth="1"/>
    <col min="7460" max="7465" width="11.42578125" style="586"/>
    <col min="7466" max="7470" width="37.7109375" style="586" customWidth="1"/>
    <col min="7471" max="7478" width="30.140625" style="586" customWidth="1"/>
    <col min="7479" max="7679" width="11.42578125" style="586"/>
    <col min="7680" max="7680" width="13" style="586" bestFit="1" customWidth="1"/>
    <col min="7681" max="7681" width="11.42578125" style="586"/>
    <col min="7682" max="7682" width="42.85546875" style="586" customWidth="1"/>
    <col min="7683" max="7683" width="53.7109375" style="586" customWidth="1"/>
    <col min="7684" max="7684" width="18.5703125" style="586" customWidth="1"/>
    <col min="7685" max="7685" width="19.28515625" style="586" customWidth="1"/>
    <col min="7686" max="7686" width="28.5703125" style="586" customWidth="1"/>
    <col min="7687" max="7687" width="41.85546875" style="586" customWidth="1"/>
    <col min="7688" max="7688" width="37.28515625" style="586" customWidth="1"/>
    <col min="7689" max="7689" width="38.42578125" style="586" customWidth="1"/>
    <col min="7690" max="7690" width="40.7109375" style="586" customWidth="1"/>
    <col min="7691" max="7691" width="0" style="586" hidden="1" customWidth="1"/>
    <col min="7692" max="7692" width="38.42578125" style="586" customWidth="1"/>
    <col min="7693" max="7693" width="34.42578125" style="586" customWidth="1"/>
    <col min="7694" max="7698" width="40.7109375" style="586" customWidth="1"/>
    <col min="7699" max="7699" width="35" style="586" customWidth="1"/>
    <col min="7700" max="7700" width="38.42578125" style="586" customWidth="1"/>
    <col min="7701" max="7702" width="40.7109375" style="586" customWidth="1"/>
    <col min="7703" max="7703" width="34.42578125" style="586" customWidth="1"/>
    <col min="7704" max="7704" width="40.7109375" style="586" customWidth="1"/>
    <col min="7705" max="7705" width="17.85546875" style="586" customWidth="1"/>
    <col min="7706" max="7706" width="13.85546875" style="586" customWidth="1"/>
    <col min="7707" max="7714" width="11.42578125" style="586"/>
    <col min="7715" max="7715" width="13.28515625" style="586" customWidth="1"/>
    <col min="7716" max="7721" width="11.42578125" style="586"/>
    <col min="7722" max="7726" width="37.7109375" style="586" customWidth="1"/>
    <col min="7727" max="7734" width="30.140625" style="586" customWidth="1"/>
    <col min="7735" max="7935" width="11.42578125" style="586"/>
    <col min="7936" max="7936" width="13" style="586" bestFit="1" customWidth="1"/>
    <col min="7937" max="7937" width="11.42578125" style="586"/>
    <col min="7938" max="7938" width="42.85546875" style="586" customWidth="1"/>
    <col min="7939" max="7939" width="53.7109375" style="586" customWidth="1"/>
    <col min="7940" max="7940" width="18.5703125" style="586" customWidth="1"/>
    <col min="7941" max="7941" width="19.28515625" style="586" customWidth="1"/>
    <col min="7942" max="7942" width="28.5703125" style="586" customWidth="1"/>
    <col min="7943" max="7943" width="41.85546875" style="586" customWidth="1"/>
    <col min="7944" max="7944" width="37.28515625" style="586" customWidth="1"/>
    <col min="7945" max="7945" width="38.42578125" style="586" customWidth="1"/>
    <col min="7946" max="7946" width="40.7109375" style="586" customWidth="1"/>
    <col min="7947" max="7947" width="0" style="586" hidden="1" customWidth="1"/>
    <col min="7948" max="7948" width="38.42578125" style="586" customWidth="1"/>
    <col min="7949" max="7949" width="34.42578125" style="586" customWidth="1"/>
    <col min="7950" max="7954" width="40.7109375" style="586" customWidth="1"/>
    <col min="7955" max="7955" width="35" style="586" customWidth="1"/>
    <col min="7956" max="7956" width="38.42578125" style="586" customWidth="1"/>
    <col min="7957" max="7958" width="40.7109375" style="586" customWidth="1"/>
    <col min="7959" max="7959" width="34.42578125" style="586" customWidth="1"/>
    <col min="7960" max="7960" width="40.7109375" style="586" customWidth="1"/>
    <col min="7961" max="7961" width="17.85546875" style="586" customWidth="1"/>
    <col min="7962" max="7962" width="13.85546875" style="586" customWidth="1"/>
    <col min="7963" max="7970" width="11.42578125" style="586"/>
    <col min="7971" max="7971" width="13.28515625" style="586" customWidth="1"/>
    <col min="7972" max="7977" width="11.42578125" style="586"/>
    <col min="7978" max="7982" width="37.7109375" style="586" customWidth="1"/>
    <col min="7983" max="7990" width="30.140625" style="586" customWidth="1"/>
    <col min="7991" max="8191" width="11.42578125" style="586"/>
    <col min="8192" max="8192" width="13" style="586" bestFit="1" customWidth="1"/>
    <col min="8193" max="8193" width="11.42578125" style="586"/>
    <col min="8194" max="8194" width="42.85546875" style="586" customWidth="1"/>
    <col min="8195" max="8195" width="53.7109375" style="586" customWidth="1"/>
    <col min="8196" max="8196" width="18.5703125" style="586" customWidth="1"/>
    <col min="8197" max="8197" width="19.28515625" style="586" customWidth="1"/>
    <col min="8198" max="8198" width="28.5703125" style="586" customWidth="1"/>
    <col min="8199" max="8199" width="41.85546875" style="586" customWidth="1"/>
    <col min="8200" max="8200" width="37.28515625" style="586" customWidth="1"/>
    <col min="8201" max="8201" width="38.42578125" style="586" customWidth="1"/>
    <col min="8202" max="8202" width="40.7109375" style="586" customWidth="1"/>
    <col min="8203" max="8203" width="0" style="586" hidden="1" customWidth="1"/>
    <col min="8204" max="8204" width="38.42578125" style="586" customWidth="1"/>
    <col min="8205" max="8205" width="34.42578125" style="586" customWidth="1"/>
    <col min="8206" max="8210" width="40.7109375" style="586" customWidth="1"/>
    <col min="8211" max="8211" width="35" style="586" customWidth="1"/>
    <col min="8212" max="8212" width="38.42578125" style="586" customWidth="1"/>
    <col min="8213" max="8214" width="40.7109375" style="586" customWidth="1"/>
    <col min="8215" max="8215" width="34.42578125" style="586" customWidth="1"/>
    <col min="8216" max="8216" width="40.7109375" style="586" customWidth="1"/>
    <col min="8217" max="8217" width="17.85546875" style="586" customWidth="1"/>
    <col min="8218" max="8218" width="13.85546875" style="586" customWidth="1"/>
    <col min="8219" max="8226" width="11.42578125" style="586"/>
    <col min="8227" max="8227" width="13.28515625" style="586" customWidth="1"/>
    <col min="8228" max="8233" width="11.42578125" style="586"/>
    <col min="8234" max="8238" width="37.7109375" style="586" customWidth="1"/>
    <col min="8239" max="8246" width="30.140625" style="586" customWidth="1"/>
    <col min="8247" max="8447" width="11.42578125" style="586"/>
    <col min="8448" max="8448" width="13" style="586" bestFit="1" customWidth="1"/>
    <col min="8449" max="8449" width="11.42578125" style="586"/>
    <col min="8450" max="8450" width="42.85546875" style="586" customWidth="1"/>
    <col min="8451" max="8451" width="53.7109375" style="586" customWidth="1"/>
    <col min="8452" max="8452" width="18.5703125" style="586" customWidth="1"/>
    <col min="8453" max="8453" width="19.28515625" style="586" customWidth="1"/>
    <col min="8454" max="8454" width="28.5703125" style="586" customWidth="1"/>
    <col min="8455" max="8455" width="41.85546875" style="586" customWidth="1"/>
    <col min="8456" max="8456" width="37.28515625" style="586" customWidth="1"/>
    <col min="8457" max="8457" width="38.42578125" style="586" customWidth="1"/>
    <col min="8458" max="8458" width="40.7109375" style="586" customWidth="1"/>
    <col min="8459" max="8459" width="0" style="586" hidden="1" customWidth="1"/>
    <col min="8460" max="8460" width="38.42578125" style="586" customWidth="1"/>
    <col min="8461" max="8461" width="34.42578125" style="586" customWidth="1"/>
    <col min="8462" max="8466" width="40.7109375" style="586" customWidth="1"/>
    <col min="8467" max="8467" width="35" style="586" customWidth="1"/>
    <col min="8468" max="8468" width="38.42578125" style="586" customWidth="1"/>
    <col min="8469" max="8470" width="40.7109375" style="586" customWidth="1"/>
    <col min="8471" max="8471" width="34.42578125" style="586" customWidth="1"/>
    <col min="8472" max="8472" width="40.7109375" style="586" customWidth="1"/>
    <col min="8473" max="8473" width="17.85546875" style="586" customWidth="1"/>
    <col min="8474" max="8474" width="13.85546875" style="586" customWidth="1"/>
    <col min="8475" max="8482" width="11.42578125" style="586"/>
    <col min="8483" max="8483" width="13.28515625" style="586" customWidth="1"/>
    <col min="8484" max="8489" width="11.42578125" style="586"/>
    <col min="8490" max="8494" width="37.7109375" style="586" customWidth="1"/>
    <col min="8495" max="8502" width="30.140625" style="586" customWidth="1"/>
    <col min="8503" max="8703" width="11.42578125" style="586"/>
    <col min="8704" max="8704" width="13" style="586" bestFit="1" customWidth="1"/>
    <col min="8705" max="8705" width="11.42578125" style="586"/>
    <col min="8706" max="8706" width="42.85546875" style="586" customWidth="1"/>
    <col min="8707" max="8707" width="53.7109375" style="586" customWidth="1"/>
    <col min="8708" max="8708" width="18.5703125" style="586" customWidth="1"/>
    <col min="8709" max="8709" width="19.28515625" style="586" customWidth="1"/>
    <col min="8710" max="8710" width="28.5703125" style="586" customWidth="1"/>
    <col min="8711" max="8711" width="41.85546875" style="586" customWidth="1"/>
    <col min="8712" max="8712" width="37.28515625" style="586" customWidth="1"/>
    <col min="8713" max="8713" width="38.42578125" style="586" customWidth="1"/>
    <col min="8714" max="8714" width="40.7109375" style="586" customWidth="1"/>
    <col min="8715" max="8715" width="0" style="586" hidden="1" customWidth="1"/>
    <col min="8716" max="8716" width="38.42578125" style="586" customWidth="1"/>
    <col min="8717" max="8717" width="34.42578125" style="586" customWidth="1"/>
    <col min="8718" max="8722" width="40.7109375" style="586" customWidth="1"/>
    <col min="8723" max="8723" width="35" style="586" customWidth="1"/>
    <col min="8724" max="8724" width="38.42578125" style="586" customWidth="1"/>
    <col min="8725" max="8726" width="40.7109375" style="586" customWidth="1"/>
    <col min="8727" max="8727" width="34.42578125" style="586" customWidth="1"/>
    <col min="8728" max="8728" width="40.7109375" style="586" customWidth="1"/>
    <col min="8729" max="8729" width="17.85546875" style="586" customWidth="1"/>
    <col min="8730" max="8730" width="13.85546875" style="586" customWidth="1"/>
    <col min="8731" max="8738" width="11.42578125" style="586"/>
    <col min="8739" max="8739" width="13.28515625" style="586" customWidth="1"/>
    <col min="8740" max="8745" width="11.42578125" style="586"/>
    <col min="8746" max="8750" width="37.7109375" style="586" customWidth="1"/>
    <col min="8751" max="8758" width="30.140625" style="586" customWidth="1"/>
    <col min="8759" max="8959" width="11.42578125" style="586"/>
    <col min="8960" max="8960" width="13" style="586" bestFit="1" customWidth="1"/>
    <col min="8961" max="8961" width="11.42578125" style="586"/>
    <col min="8962" max="8962" width="42.85546875" style="586" customWidth="1"/>
    <col min="8963" max="8963" width="53.7109375" style="586" customWidth="1"/>
    <col min="8964" max="8964" width="18.5703125" style="586" customWidth="1"/>
    <col min="8965" max="8965" width="19.28515625" style="586" customWidth="1"/>
    <col min="8966" max="8966" width="28.5703125" style="586" customWidth="1"/>
    <col min="8967" max="8967" width="41.85546875" style="586" customWidth="1"/>
    <col min="8968" max="8968" width="37.28515625" style="586" customWidth="1"/>
    <col min="8969" max="8969" width="38.42578125" style="586" customWidth="1"/>
    <col min="8970" max="8970" width="40.7109375" style="586" customWidth="1"/>
    <col min="8971" max="8971" width="0" style="586" hidden="1" customWidth="1"/>
    <col min="8972" max="8972" width="38.42578125" style="586" customWidth="1"/>
    <col min="8973" max="8973" width="34.42578125" style="586" customWidth="1"/>
    <col min="8974" max="8978" width="40.7109375" style="586" customWidth="1"/>
    <col min="8979" max="8979" width="35" style="586" customWidth="1"/>
    <col min="8980" max="8980" width="38.42578125" style="586" customWidth="1"/>
    <col min="8981" max="8982" width="40.7109375" style="586" customWidth="1"/>
    <col min="8983" max="8983" width="34.42578125" style="586" customWidth="1"/>
    <col min="8984" max="8984" width="40.7109375" style="586" customWidth="1"/>
    <col min="8985" max="8985" width="17.85546875" style="586" customWidth="1"/>
    <col min="8986" max="8986" width="13.85546875" style="586" customWidth="1"/>
    <col min="8987" max="8994" width="11.42578125" style="586"/>
    <col min="8995" max="8995" width="13.28515625" style="586" customWidth="1"/>
    <col min="8996" max="9001" width="11.42578125" style="586"/>
    <col min="9002" max="9006" width="37.7109375" style="586" customWidth="1"/>
    <col min="9007" max="9014" width="30.140625" style="586" customWidth="1"/>
    <col min="9015" max="9215" width="11.42578125" style="586"/>
    <col min="9216" max="9216" width="13" style="586" bestFit="1" customWidth="1"/>
    <col min="9217" max="9217" width="11.42578125" style="586"/>
    <col min="9218" max="9218" width="42.85546875" style="586" customWidth="1"/>
    <col min="9219" max="9219" width="53.7109375" style="586" customWidth="1"/>
    <col min="9220" max="9220" width="18.5703125" style="586" customWidth="1"/>
    <col min="9221" max="9221" width="19.28515625" style="586" customWidth="1"/>
    <col min="9222" max="9222" width="28.5703125" style="586" customWidth="1"/>
    <col min="9223" max="9223" width="41.85546875" style="586" customWidth="1"/>
    <col min="9224" max="9224" width="37.28515625" style="586" customWidth="1"/>
    <col min="9225" max="9225" width="38.42578125" style="586" customWidth="1"/>
    <col min="9226" max="9226" width="40.7109375" style="586" customWidth="1"/>
    <col min="9227" max="9227" width="0" style="586" hidden="1" customWidth="1"/>
    <col min="9228" max="9228" width="38.42578125" style="586" customWidth="1"/>
    <col min="9229" max="9229" width="34.42578125" style="586" customWidth="1"/>
    <col min="9230" max="9234" width="40.7109375" style="586" customWidth="1"/>
    <col min="9235" max="9235" width="35" style="586" customWidth="1"/>
    <col min="9236" max="9236" width="38.42578125" style="586" customWidth="1"/>
    <col min="9237" max="9238" width="40.7109375" style="586" customWidth="1"/>
    <col min="9239" max="9239" width="34.42578125" style="586" customWidth="1"/>
    <col min="9240" max="9240" width="40.7109375" style="586" customWidth="1"/>
    <col min="9241" max="9241" width="17.85546875" style="586" customWidth="1"/>
    <col min="9242" max="9242" width="13.85546875" style="586" customWidth="1"/>
    <col min="9243" max="9250" width="11.42578125" style="586"/>
    <col min="9251" max="9251" width="13.28515625" style="586" customWidth="1"/>
    <col min="9252" max="9257" width="11.42578125" style="586"/>
    <col min="9258" max="9262" width="37.7109375" style="586" customWidth="1"/>
    <col min="9263" max="9270" width="30.140625" style="586" customWidth="1"/>
    <col min="9271" max="9471" width="11.42578125" style="586"/>
    <col min="9472" max="9472" width="13" style="586" bestFit="1" customWidth="1"/>
    <col min="9473" max="9473" width="11.42578125" style="586"/>
    <col min="9474" max="9474" width="42.85546875" style="586" customWidth="1"/>
    <col min="9475" max="9475" width="53.7109375" style="586" customWidth="1"/>
    <col min="9476" max="9476" width="18.5703125" style="586" customWidth="1"/>
    <col min="9477" max="9477" width="19.28515625" style="586" customWidth="1"/>
    <col min="9478" max="9478" width="28.5703125" style="586" customWidth="1"/>
    <col min="9479" max="9479" width="41.85546875" style="586" customWidth="1"/>
    <col min="9480" max="9480" width="37.28515625" style="586" customWidth="1"/>
    <col min="9481" max="9481" width="38.42578125" style="586" customWidth="1"/>
    <col min="9482" max="9482" width="40.7109375" style="586" customWidth="1"/>
    <col min="9483" max="9483" width="0" style="586" hidden="1" customWidth="1"/>
    <col min="9484" max="9484" width="38.42578125" style="586" customWidth="1"/>
    <col min="9485" max="9485" width="34.42578125" style="586" customWidth="1"/>
    <col min="9486" max="9490" width="40.7109375" style="586" customWidth="1"/>
    <col min="9491" max="9491" width="35" style="586" customWidth="1"/>
    <col min="9492" max="9492" width="38.42578125" style="586" customWidth="1"/>
    <col min="9493" max="9494" width="40.7109375" style="586" customWidth="1"/>
    <col min="9495" max="9495" width="34.42578125" style="586" customWidth="1"/>
    <col min="9496" max="9496" width="40.7109375" style="586" customWidth="1"/>
    <col min="9497" max="9497" width="17.85546875" style="586" customWidth="1"/>
    <col min="9498" max="9498" width="13.85546875" style="586" customWidth="1"/>
    <col min="9499" max="9506" width="11.42578125" style="586"/>
    <col min="9507" max="9507" width="13.28515625" style="586" customWidth="1"/>
    <col min="9508" max="9513" width="11.42578125" style="586"/>
    <col min="9514" max="9518" width="37.7109375" style="586" customWidth="1"/>
    <col min="9519" max="9526" width="30.140625" style="586" customWidth="1"/>
    <col min="9527" max="9727" width="11.42578125" style="586"/>
    <col min="9728" max="9728" width="13" style="586" bestFit="1" customWidth="1"/>
    <col min="9729" max="9729" width="11.42578125" style="586"/>
    <col min="9730" max="9730" width="42.85546875" style="586" customWidth="1"/>
    <col min="9731" max="9731" width="53.7109375" style="586" customWidth="1"/>
    <col min="9732" max="9732" width="18.5703125" style="586" customWidth="1"/>
    <col min="9733" max="9733" width="19.28515625" style="586" customWidth="1"/>
    <col min="9734" max="9734" width="28.5703125" style="586" customWidth="1"/>
    <col min="9735" max="9735" width="41.85546875" style="586" customWidth="1"/>
    <col min="9736" max="9736" width="37.28515625" style="586" customWidth="1"/>
    <col min="9737" max="9737" width="38.42578125" style="586" customWidth="1"/>
    <col min="9738" max="9738" width="40.7109375" style="586" customWidth="1"/>
    <col min="9739" max="9739" width="0" style="586" hidden="1" customWidth="1"/>
    <col min="9740" max="9740" width="38.42578125" style="586" customWidth="1"/>
    <col min="9741" max="9741" width="34.42578125" style="586" customWidth="1"/>
    <col min="9742" max="9746" width="40.7109375" style="586" customWidth="1"/>
    <col min="9747" max="9747" width="35" style="586" customWidth="1"/>
    <col min="9748" max="9748" width="38.42578125" style="586" customWidth="1"/>
    <col min="9749" max="9750" width="40.7109375" style="586" customWidth="1"/>
    <col min="9751" max="9751" width="34.42578125" style="586" customWidth="1"/>
    <col min="9752" max="9752" width="40.7109375" style="586" customWidth="1"/>
    <col min="9753" max="9753" width="17.85546875" style="586" customWidth="1"/>
    <col min="9754" max="9754" width="13.85546875" style="586" customWidth="1"/>
    <col min="9755" max="9762" width="11.42578125" style="586"/>
    <col min="9763" max="9763" width="13.28515625" style="586" customWidth="1"/>
    <col min="9764" max="9769" width="11.42578125" style="586"/>
    <col min="9770" max="9774" width="37.7109375" style="586" customWidth="1"/>
    <col min="9775" max="9782" width="30.140625" style="586" customWidth="1"/>
    <col min="9783" max="9983" width="11.42578125" style="586"/>
    <col min="9984" max="9984" width="13" style="586" bestFit="1" customWidth="1"/>
    <col min="9985" max="9985" width="11.42578125" style="586"/>
    <col min="9986" max="9986" width="42.85546875" style="586" customWidth="1"/>
    <col min="9987" max="9987" width="53.7109375" style="586" customWidth="1"/>
    <col min="9988" max="9988" width="18.5703125" style="586" customWidth="1"/>
    <col min="9989" max="9989" width="19.28515625" style="586" customWidth="1"/>
    <col min="9990" max="9990" width="28.5703125" style="586" customWidth="1"/>
    <col min="9991" max="9991" width="41.85546875" style="586" customWidth="1"/>
    <col min="9992" max="9992" width="37.28515625" style="586" customWidth="1"/>
    <col min="9993" max="9993" width="38.42578125" style="586" customWidth="1"/>
    <col min="9994" max="9994" width="40.7109375" style="586" customWidth="1"/>
    <col min="9995" max="9995" width="0" style="586" hidden="1" customWidth="1"/>
    <col min="9996" max="9996" width="38.42578125" style="586" customWidth="1"/>
    <col min="9997" max="9997" width="34.42578125" style="586" customWidth="1"/>
    <col min="9998" max="10002" width="40.7109375" style="586" customWidth="1"/>
    <col min="10003" max="10003" width="35" style="586" customWidth="1"/>
    <col min="10004" max="10004" width="38.42578125" style="586" customWidth="1"/>
    <col min="10005" max="10006" width="40.7109375" style="586" customWidth="1"/>
    <col min="10007" max="10007" width="34.42578125" style="586" customWidth="1"/>
    <col min="10008" max="10008" width="40.7109375" style="586" customWidth="1"/>
    <col min="10009" max="10009" width="17.85546875" style="586" customWidth="1"/>
    <col min="10010" max="10010" width="13.85546875" style="586" customWidth="1"/>
    <col min="10011" max="10018" width="11.42578125" style="586"/>
    <col min="10019" max="10019" width="13.28515625" style="586" customWidth="1"/>
    <col min="10020" max="10025" width="11.42578125" style="586"/>
    <col min="10026" max="10030" width="37.7109375" style="586" customWidth="1"/>
    <col min="10031" max="10038" width="30.140625" style="586" customWidth="1"/>
    <col min="10039" max="10239" width="11.42578125" style="586"/>
    <col min="10240" max="10240" width="13" style="586" bestFit="1" customWidth="1"/>
    <col min="10241" max="10241" width="11.42578125" style="586"/>
    <col min="10242" max="10242" width="42.85546875" style="586" customWidth="1"/>
    <col min="10243" max="10243" width="53.7109375" style="586" customWidth="1"/>
    <col min="10244" max="10244" width="18.5703125" style="586" customWidth="1"/>
    <col min="10245" max="10245" width="19.28515625" style="586" customWidth="1"/>
    <col min="10246" max="10246" width="28.5703125" style="586" customWidth="1"/>
    <col min="10247" max="10247" width="41.85546875" style="586" customWidth="1"/>
    <col min="10248" max="10248" width="37.28515625" style="586" customWidth="1"/>
    <col min="10249" max="10249" width="38.42578125" style="586" customWidth="1"/>
    <col min="10250" max="10250" width="40.7109375" style="586" customWidth="1"/>
    <col min="10251" max="10251" width="0" style="586" hidden="1" customWidth="1"/>
    <col min="10252" max="10252" width="38.42578125" style="586" customWidth="1"/>
    <col min="10253" max="10253" width="34.42578125" style="586" customWidth="1"/>
    <col min="10254" max="10258" width="40.7109375" style="586" customWidth="1"/>
    <col min="10259" max="10259" width="35" style="586" customWidth="1"/>
    <col min="10260" max="10260" width="38.42578125" style="586" customWidth="1"/>
    <col min="10261" max="10262" width="40.7109375" style="586" customWidth="1"/>
    <col min="10263" max="10263" width="34.42578125" style="586" customWidth="1"/>
    <col min="10264" max="10264" width="40.7109375" style="586" customWidth="1"/>
    <col min="10265" max="10265" width="17.85546875" style="586" customWidth="1"/>
    <col min="10266" max="10266" width="13.85546875" style="586" customWidth="1"/>
    <col min="10267" max="10274" width="11.42578125" style="586"/>
    <col min="10275" max="10275" width="13.28515625" style="586" customWidth="1"/>
    <col min="10276" max="10281" width="11.42578125" style="586"/>
    <col min="10282" max="10286" width="37.7109375" style="586" customWidth="1"/>
    <col min="10287" max="10294" width="30.140625" style="586" customWidth="1"/>
    <col min="10295" max="10495" width="11.42578125" style="586"/>
    <col min="10496" max="10496" width="13" style="586" bestFit="1" customWidth="1"/>
    <col min="10497" max="10497" width="11.42578125" style="586"/>
    <col min="10498" max="10498" width="42.85546875" style="586" customWidth="1"/>
    <col min="10499" max="10499" width="53.7109375" style="586" customWidth="1"/>
    <col min="10500" max="10500" width="18.5703125" style="586" customWidth="1"/>
    <col min="10501" max="10501" width="19.28515625" style="586" customWidth="1"/>
    <col min="10502" max="10502" width="28.5703125" style="586" customWidth="1"/>
    <col min="10503" max="10503" width="41.85546875" style="586" customWidth="1"/>
    <col min="10504" max="10504" width="37.28515625" style="586" customWidth="1"/>
    <col min="10505" max="10505" width="38.42578125" style="586" customWidth="1"/>
    <col min="10506" max="10506" width="40.7109375" style="586" customWidth="1"/>
    <col min="10507" max="10507" width="0" style="586" hidden="1" customWidth="1"/>
    <col min="10508" max="10508" width="38.42578125" style="586" customWidth="1"/>
    <col min="10509" max="10509" width="34.42578125" style="586" customWidth="1"/>
    <col min="10510" max="10514" width="40.7109375" style="586" customWidth="1"/>
    <col min="10515" max="10515" width="35" style="586" customWidth="1"/>
    <col min="10516" max="10516" width="38.42578125" style="586" customWidth="1"/>
    <col min="10517" max="10518" width="40.7109375" style="586" customWidth="1"/>
    <col min="10519" max="10519" width="34.42578125" style="586" customWidth="1"/>
    <col min="10520" max="10520" width="40.7109375" style="586" customWidth="1"/>
    <col min="10521" max="10521" width="17.85546875" style="586" customWidth="1"/>
    <col min="10522" max="10522" width="13.85546875" style="586" customWidth="1"/>
    <col min="10523" max="10530" width="11.42578125" style="586"/>
    <col min="10531" max="10531" width="13.28515625" style="586" customWidth="1"/>
    <col min="10532" max="10537" width="11.42578125" style="586"/>
    <col min="10538" max="10542" width="37.7109375" style="586" customWidth="1"/>
    <col min="10543" max="10550" width="30.140625" style="586" customWidth="1"/>
    <col min="10551" max="10751" width="11.42578125" style="586"/>
    <col min="10752" max="10752" width="13" style="586" bestFit="1" customWidth="1"/>
    <col min="10753" max="10753" width="11.42578125" style="586"/>
    <col min="10754" max="10754" width="42.85546875" style="586" customWidth="1"/>
    <col min="10755" max="10755" width="53.7109375" style="586" customWidth="1"/>
    <col min="10756" max="10756" width="18.5703125" style="586" customWidth="1"/>
    <col min="10757" max="10757" width="19.28515625" style="586" customWidth="1"/>
    <col min="10758" max="10758" width="28.5703125" style="586" customWidth="1"/>
    <col min="10759" max="10759" width="41.85546875" style="586" customWidth="1"/>
    <col min="10760" max="10760" width="37.28515625" style="586" customWidth="1"/>
    <col min="10761" max="10761" width="38.42578125" style="586" customWidth="1"/>
    <col min="10762" max="10762" width="40.7109375" style="586" customWidth="1"/>
    <col min="10763" max="10763" width="0" style="586" hidden="1" customWidth="1"/>
    <col min="10764" max="10764" width="38.42578125" style="586" customWidth="1"/>
    <col min="10765" max="10765" width="34.42578125" style="586" customWidth="1"/>
    <col min="10766" max="10770" width="40.7109375" style="586" customWidth="1"/>
    <col min="10771" max="10771" width="35" style="586" customWidth="1"/>
    <col min="10772" max="10772" width="38.42578125" style="586" customWidth="1"/>
    <col min="10773" max="10774" width="40.7109375" style="586" customWidth="1"/>
    <col min="10775" max="10775" width="34.42578125" style="586" customWidth="1"/>
    <col min="10776" max="10776" width="40.7109375" style="586" customWidth="1"/>
    <col min="10777" max="10777" width="17.85546875" style="586" customWidth="1"/>
    <col min="10778" max="10778" width="13.85546875" style="586" customWidth="1"/>
    <col min="10779" max="10786" width="11.42578125" style="586"/>
    <col min="10787" max="10787" width="13.28515625" style="586" customWidth="1"/>
    <col min="10788" max="10793" width="11.42578125" style="586"/>
    <col min="10794" max="10798" width="37.7109375" style="586" customWidth="1"/>
    <col min="10799" max="10806" width="30.140625" style="586" customWidth="1"/>
    <col min="10807" max="11007" width="11.42578125" style="586"/>
    <col min="11008" max="11008" width="13" style="586" bestFit="1" customWidth="1"/>
    <col min="11009" max="11009" width="11.42578125" style="586"/>
    <col min="11010" max="11010" width="42.85546875" style="586" customWidth="1"/>
    <col min="11011" max="11011" width="53.7109375" style="586" customWidth="1"/>
    <col min="11012" max="11012" width="18.5703125" style="586" customWidth="1"/>
    <col min="11013" max="11013" width="19.28515625" style="586" customWidth="1"/>
    <col min="11014" max="11014" width="28.5703125" style="586" customWidth="1"/>
    <col min="11015" max="11015" width="41.85546875" style="586" customWidth="1"/>
    <col min="11016" max="11016" width="37.28515625" style="586" customWidth="1"/>
    <col min="11017" max="11017" width="38.42578125" style="586" customWidth="1"/>
    <col min="11018" max="11018" width="40.7109375" style="586" customWidth="1"/>
    <col min="11019" max="11019" width="0" style="586" hidden="1" customWidth="1"/>
    <col min="11020" max="11020" width="38.42578125" style="586" customWidth="1"/>
    <col min="11021" max="11021" width="34.42578125" style="586" customWidth="1"/>
    <col min="11022" max="11026" width="40.7109375" style="586" customWidth="1"/>
    <col min="11027" max="11027" width="35" style="586" customWidth="1"/>
    <col min="11028" max="11028" width="38.42578125" style="586" customWidth="1"/>
    <col min="11029" max="11030" width="40.7109375" style="586" customWidth="1"/>
    <col min="11031" max="11031" width="34.42578125" style="586" customWidth="1"/>
    <col min="11032" max="11032" width="40.7109375" style="586" customWidth="1"/>
    <col min="11033" max="11033" width="17.85546875" style="586" customWidth="1"/>
    <col min="11034" max="11034" width="13.85546875" style="586" customWidth="1"/>
    <col min="11035" max="11042" width="11.42578125" style="586"/>
    <col min="11043" max="11043" width="13.28515625" style="586" customWidth="1"/>
    <col min="11044" max="11049" width="11.42578125" style="586"/>
    <col min="11050" max="11054" width="37.7109375" style="586" customWidth="1"/>
    <col min="11055" max="11062" width="30.140625" style="586" customWidth="1"/>
    <col min="11063" max="11263" width="11.42578125" style="586"/>
    <col min="11264" max="11264" width="13" style="586" bestFit="1" customWidth="1"/>
    <col min="11265" max="11265" width="11.42578125" style="586"/>
    <col min="11266" max="11266" width="42.85546875" style="586" customWidth="1"/>
    <col min="11267" max="11267" width="53.7109375" style="586" customWidth="1"/>
    <col min="11268" max="11268" width="18.5703125" style="586" customWidth="1"/>
    <col min="11269" max="11269" width="19.28515625" style="586" customWidth="1"/>
    <col min="11270" max="11270" width="28.5703125" style="586" customWidth="1"/>
    <col min="11271" max="11271" width="41.85546875" style="586" customWidth="1"/>
    <col min="11272" max="11272" width="37.28515625" style="586" customWidth="1"/>
    <col min="11273" max="11273" width="38.42578125" style="586" customWidth="1"/>
    <col min="11274" max="11274" width="40.7109375" style="586" customWidth="1"/>
    <col min="11275" max="11275" width="0" style="586" hidden="1" customWidth="1"/>
    <col min="11276" max="11276" width="38.42578125" style="586" customWidth="1"/>
    <col min="11277" max="11277" width="34.42578125" style="586" customWidth="1"/>
    <col min="11278" max="11282" width="40.7109375" style="586" customWidth="1"/>
    <col min="11283" max="11283" width="35" style="586" customWidth="1"/>
    <col min="11284" max="11284" width="38.42578125" style="586" customWidth="1"/>
    <col min="11285" max="11286" width="40.7109375" style="586" customWidth="1"/>
    <col min="11287" max="11287" width="34.42578125" style="586" customWidth="1"/>
    <col min="11288" max="11288" width="40.7109375" style="586" customWidth="1"/>
    <col min="11289" max="11289" width="17.85546875" style="586" customWidth="1"/>
    <col min="11290" max="11290" width="13.85546875" style="586" customWidth="1"/>
    <col min="11291" max="11298" width="11.42578125" style="586"/>
    <col min="11299" max="11299" width="13.28515625" style="586" customWidth="1"/>
    <col min="11300" max="11305" width="11.42578125" style="586"/>
    <col min="11306" max="11310" width="37.7109375" style="586" customWidth="1"/>
    <col min="11311" max="11318" width="30.140625" style="586" customWidth="1"/>
    <col min="11319" max="11519" width="11.42578125" style="586"/>
    <col min="11520" max="11520" width="13" style="586" bestFit="1" customWidth="1"/>
    <col min="11521" max="11521" width="11.42578125" style="586"/>
    <col min="11522" max="11522" width="42.85546875" style="586" customWidth="1"/>
    <col min="11523" max="11523" width="53.7109375" style="586" customWidth="1"/>
    <col min="11524" max="11524" width="18.5703125" style="586" customWidth="1"/>
    <col min="11525" max="11525" width="19.28515625" style="586" customWidth="1"/>
    <col min="11526" max="11526" width="28.5703125" style="586" customWidth="1"/>
    <col min="11527" max="11527" width="41.85546875" style="586" customWidth="1"/>
    <col min="11528" max="11528" width="37.28515625" style="586" customWidth="1"/>
    <col min="11529" max="11529" width="38.42578125" style="586" customWidth="1"/>
    <col min="11530" max="11530" width="40.7109375" style="586" customWidth="1"/>
    <col min="11531" max="11531" width="0" style="586" hidden="1" customWidth="1"/>
    <col min="11532" max="11532" width="38.42578125" style="586" customWidth="1"/>
    <col min="11533" max="11533" width="34.42578125" style="586" customWidth="1"/>
    <col min="11534" max="11538" width="40.7109375" style="586" customWidth="1"/>
    <col min="11539" max="11539" width="35" style="586" customWidth="1"/>
    <col min="11540" max="11540" width="38.42578125" style="586" customWidth="1"/>
    <col min="11541" max="11542" width="40.7109375" style="586" customWidth="1"/>
    <col min="11543" max="11543" width="34.42578125" style="586" customWidth="1"/>
    <col min="11544" max="11544" width="40.7109375" style="586" customWidth="1"/>
    <col min="11545" max="11545" width="17.85546875" style="586" customWidth="1"/>
    <col min="11546" max="11546" width="13.85546875" style="586" customWidth="1"/>
    <col min="11547" max="11554" width="11.42578125" style="586"/>
    <col min="11555" max="11555" width="13.28515625" style="586" customWidth="1"/>
    <col min="11556" max="11561" width="11.42578125" style="586"/>
    <col min="11562" max="11566" width="37.7109375" style="586" customWidth="1"/>
    <col min="11567" max="11574" width="30.140625" style="586" customWidth="1"/>
    <col min="11575" max="11775" width="11.42578125" style="586"/>
    <col min="11776" max="11776" width="13" style="586" bestFit="1" customWidth="1"/>
    <col min="11777" max="11777" width="11.42578125" style="586"/>
    <col min="11778" max="11778" width="42.85546875" style="586" customWidth="1"/>
    <col min="11779" max="11779" width="53.7109375" style="586" customWidth="1"/>
    <col min="11780" max="11780" width="18.5703125" style="586" customWidth="1"/>
    <col min="11781" max="11781" width="19.28515625" style="586" customWidth="1"/>
    <col min="11782" max="11782" width="28.5703125" style="586" customWidth="1"/>
    <col min="11783" max="11783" width="41.85546875" style="586" customWidth="1"/>
    <col min="11784" max="11784" width="37.28515625" style="586" customWidth="1"/>
    <col min="11785" max="11785" width="38.42578125" style="586" customWidth="1"/>
    <col min="11786" max="11786" width="40.7109375" style="586" customWidth="1"/>
    <col min="11787" max="11787" width="0" style="586" hidden="1" customWidth="1"/>
    <col min="11788" max="11788" width="38.42578125" style="586" customWidth="1"/>
    <col min="11789" max="11789" width="34.42578125" style="586" customWidth="1"/>
    <col min="11790" max="11794" width="40.7109375" style="586" customWidth="1"/>
    <col min="11795" max="11795" width="35" style="586" customWidth="1"/>
    <col min="11796" max="11796" width="38.42578125" style="586" customWidth="1"/>
    <col min="11797" max="11798" width="40.7109375" style="586" customWidth="1"/>
    <col min="11799" max="11799" width="34.42578125" style="586" customWidth="1"/>
    <col min="11800" max="11800" width="40.7109375" style="586" customWidth="1"/>
    <col min="11801" max="11801" width="17.85546875" style="586" customWidth="1"/>
    <col min="11802" max="11802" width="13.85546875" style="586" customWidth="1"/>
    <col min="11803" max="11810" width="11.42578125" style="586"/>
    <col min="11811" max="11811" width="13.28515625" style="586" customWidth="1"/>
    <col min="11812" max="11817" width="11.42578125" style="586"/>
    <col min="11818" max="11822" width="37.7109375" style="586" customWidth="1"/>
    <col min="11823" max="11830" width="30.140625" style="586" customWidth="1"/>
    <col min="11831" max="12031" width="11.42578125" style="586"/>
    <col min="12032" max="12032" width="13" style="586" bestFit="1" customWidth="1"/>
    <col min="12033" max="12033" width="11.42578125" style="586"/>
    <col min="12034" max="12034" width="42.85546875" style="586" customWidth="1"/>
    <col min="12035" max="12035" width="53.7109375" style="586" customWidth="1"/>
    <col min="12036" max="12036" width="18.5703125" style="586" customWidth="1"/>
    <col min="12037" max="12037" width="19.28515625" style="586" customWidth="1"/>
    <col min="12038" max="12038" width="28.5703125" style="586" customWidth="1"/>
    <col min="12039" max="12039" width="41.85546875" style="586" customWidth="1"/>
    <col min="12040" max="12040" width="37.28515625" style="586" customWidth="1"/>
    <col min="12041" max="12041" width="38.42578125" style="586" customWidth="1"/>
    <col min="12042" max="12042" width="40.7109375" style="586" customWidth="1"/>
    <col min="12043" max="12043" width="0" style="586" hidden="1" customWidth="1"/>
    <col min="12044" max="12044" width="38.42578125" style="586" customWidth="1"/>
    <col min="12045" max="12045" width="34.42578125" style="586" customWidth="1"/>
    <col min="12046" max="12050" width="40.7109375" style="586" customWidth="1"/>
    <col min="12051" max="12051" width="35" style="586" customWidth="1"/>
    <col min="12052" max="12052" width="38.42578125" style="586" customWidth="1"/>
    <col min="12053" max="12054" width="40.7109375" style="586" customWidth="1"/>
    <col min="12055" max="12055" width="34.42578125" style="586" customWidth="1"/>
    <col min="12056" max="12056" width="40.7109375" style="586" customWidth="1"/>
    <col min="12057" max="12057" width="17.85546875" style="586" customWidth="1"/>
    <col min="12058" max="12058" width="13.85546875" style="586" customWidth="1"/>
    <col min="12059" max="12066" width="11.42578125" style="586"/>
    <col min="12067" max="12067" width="13.28515625" style="586" customWidth="1"/>
    <col min="12068" max="12073" width="11.42578125" style="586"/>
    <col min="12074" max="12078" width="37.7109375" style="586" customWidth="1"/>
    <col min="12079" max="12086" width="30.140625" style="586" customWidth="1"/>
    <col min="12087" max="12287" width="11.42578125" style="586"/>
    <col min="12288" max="12288" width="13" style="586" bestFit="1" customWidth="1"/>
    <col min="12289" max="12289" width="11.42578125" style="586"/>
    <col min="12290" max="12290" width="42.85546875" style="586" customWidth="1"/>
    <col min="12291" max="12291" width="53.7109375" style="586" customWidth="1"/>
    <col min="12292" max="12292" width="18.5703125" style="586" customWidth="1"/>
    <col min="12293" max="12293" width="19.28515625" style="586" customWidth="1"/>
    <col min="12294" max="12294" width="28.5703125" style="586" customWidth="1"/>
    <col min="12295" max="12295" width="41.85546875" style="586" customWidth="1"/>
    <col min="12296" max="12296" width="37.28515625" style="586" customWidth="1"/>
    <col min="12297" max="12297" width="38.42578125" style="586" customWidth="1"/>
    <col min="12298" max="12298" width="40.7109375" style="586" customWidth="1"/>
    <col min="12299" max="12299" width="0" style="586" hidden="1" customWidth="1"/>
    <col min="12300" max="12300" width="38.42578125" style="586" customWidth="1"/>
    <col min="12301" max="12301" width="34.42578125" style="586" customWidth="1"/>
    <col min="12302" max="12306" width="40.7109375" style="586" customWidth="1"/>
    <col min="12307" max="12307" width="35" style="586" customWidth="1"/>
    <col min="12308" max="12308" width="38.42578125" style="586" customWidth="1"/>
    <col min="12309" max="12310" width="40.7109375" style="586" customWidth="1"/>
    <col min="12311" max="12311" width="34.42578125" style="586" customWidth="1"/>
    <col min="12312" max="12312" width="40.7109375" style="586" customWidth="1"/>
    <col min="12313" max="12313" width="17.85546875" style="586" customWidth="1"/>
    <col min="12314" max="12314" width="13.85546875" style="586" customWidth="1"/>
    <col min="12315" max="12322" width="11.42578125" style="586"/>
    <col min="12323" max="12323" width="13.28515625" style="586" customWidth="1"/>
    <col min="12324" max="12329" width="11.42578125" style="586"/>
    <col min="12330" max="12334" width="37.7109375" style="586" customWidth="1"/>
    <col min="12335" max="12342" width="30.140625" style="586" customWidth="1"/>
    <col min="12343" max="12543" width="11.42578125" style="586"/>
    <col min="12544" max="12544" width="13" style="586" bestFit="1" customWidth="1"/>
    <col min="12545" max="12545" width="11.42578125" style="586"/>
    <col min="12546" max="12546" width="42.85546875" style="586" customWidth="1"/>
    <col min="12547" max="12547" width="53.7109375" style="586" customWidth="1"/>
    <col min="12548" max="12548" width="18.5703125" style="586" customWidth="1"/>
    <col min="12549" max="12549" width="19.28515625" style="586" customWidth="1"/>
    <col min="12550" max="12550" width="28.5703125" style="586" customWidth="1"/>
    <col min="12551" max="12551" width="41.85546875" style="586" customWidth="1"/>
    <col min="12552" max="12552" width="37.28515625" style="586" customWidth="1"/>
    <col min="12553" max="12553" width="38.42578125" style="586" customWidth="1"/>
    <col min="12554" max="12554" width="40.7109375" style="586" customWidth="1"/>
    <col min="12555" max="12555" width="0" style="586" hidden="1" customWidth="1"/>
    <col min="12556" max="12556" width="38.42578125" style="586" customWidth="1"/>
    <col min="12557" max="12557" width="34.42578125" style="586" customWidth="1"/>
    <col min="12558" max="12562" width="40.7109375" style="586" customWidth="1"/>
    <col min="12563" max="12563" width="35" style="586" customWidth="1"/>
    <col min="12564" max="12564" width="38.42578125" style="586" customWidth="1"/>
    <col min="12565" max="12566" width="40.7109375" style="586" customWidth="1"/>
    <col min="12567" max="12567" width="34.42578125" style="586" customWidth="1"/>
    <col min="12568" max="12568" width="40.7109375" style="586" customWidth="1"/>
    <col min="12569" max="12569" width="17.85546875" style="586" customWidth="1"/>
    <col min="12570" max="12570" width="13.85546875" style="586" customWidth="1"/>
    <col min="12571" max="12578" width="11.42578125" style="586"/>
    <col min="12579" max="12579" width="13.28515625" style="586" customWidth="1"/>
    <col min="12580" max="12585" width="11.42578125" style="586"/>
    <col min="12586" max="12590" width="37.7109375" style="586" customWidth="1"/>
    <col min="12591" max="12598" width="30.140625" style="586" customWidth="1"/>
    <col min="12599" max="12799" width="11.42578125" style="586"/>
    <col min="12800" max="12800" width="13" style="586" bestFit="1" customWidth="1"/>
    <col min="12801" max="12801" width="11.42578125" style="586"/>
    <col min="12802" max="12802" width="42.85546875" style="586" customWidth="1"/>
    <col min="12803" max="12803" width="53.7109375" style="586" customWidth="1"/>
    <col min="12804" max="12804" width="18.5703125" style="586" customWidth="1"/>
    <col min="12805" max="12805" width="19.28515625" style="586" customWidth="1"/>
    <col min="12806" max="12806" width="28.5703125" style="586" customWidth="1"/>
    <col min="12807" max="12807" width="41.85546875" style="586" customWidth="1"/>
    <col min="12808" max="12808" width="37.28515625" style="586" customWidth="1"/>
    <col min="12809" max="12809" width="38.42578125" style="586" customWidth="1"/>
    <col min="12810" max="12810" width="40.7109375" style="586" customWidth="1"/>
    <col min="12811" max="12811" width="0" style="586" hidden="1" customWidth="1"/>
    <col min="12812" max="12812" width="38.42578125" style="586" customWidth="1"/>
    <col min="12813" max="12813" width="34.42578125" style="586" customWidth="1"/>
    <col min="12814" max="12818" width="40.7109375" style="586" customWidth="1"/>
    <col min="12819" max="12819" width="35" style="586" customWidth="1"/>
    <col min="12820" max="12820" width="38.42578125" style="586" customWidth="1"/>
    <col min="12821" max="12822" width="40.7109375" style="586" customWidth="1"/>
    <col min="12823" max="12823" width="34.42578125" style="586" customWidth="1"/>
    <col min="12824" max="12824" width="40.7109375" style="586" customWidth="1"/>
    <col min="12825" max="12825" width="17.85546875" style="586" customWidth="1"/>
    <col min="12826" max="12826" width="13.85546875" style="586" customWidth="1"/>
    <col min="12827" max="12834" width="11.42578125" style="586"/>
    <col min="12835" max="12835" width="13.28515625" style="586" customWidth="1"/>
    <col min="12836" max="12841" width="11.42578125" style="586"/>
    <col min="12842" max="12846" width="37.7109375" style="586" customWidth="1"/>
    <col min="12847" max="12854" width="30.140625" style="586" customWidth="1"/>
    <col min="12855" max="13055" width="11.42578125" style="586"/>
    <col min="13056" max="13056" width="13" style="586" bestFit="1" customWidth="1"/>
    <col min="13057" max="13057" width="11.42578125" style="586"/>
    <col min="13058" max="13058" width="42.85546875" style="586" customWidth="1"/>
    <col min="13059" max="13059" width="53.7109375" style="586" customWidth="1"/>
    <col min="13060" max="13060" width="18.5703125" style="586" customWidth="1"/>
    <col min="13061" max="13061" width="19.28515625" style="586" customWidth="1"/>
    <col min="13062" max="13062" width="28.5703125" style="586" customWidth="1"/>
    <col min="13063" max="13063" width="41.85546875" style="586" customWidth="1"/>
    <col min="13064" max="13064" width="37.28515625" style="586" customWidth="1"/>
    <col min="13065" max="13065" width="38.42578125" style="586" customWidth="1"/>
    <col min="13066" max="13066" width="40.7109375" style="586" customWidth="1"/>
    <col min="13067" max="13067" width="0" style="586" hidden="1" customWidth="1"/>
    <col min="13068" max="13068" width="38.42578125" style="586" customWidth="1"/>
    <col min="13069" max="13069" width="34.42578125" style="586" customWidth="1"/>
    <col min="13070" max="13074" width="40.7109375" style="586" customWidth="1"/>
    <col min="13075" max="13075" width="35" style="586" customWidth="1"/>
    <col min="13076" max="13076" width="38.42578125" style="586" customWidth="1"/>
    <col min="13077" max="13078" width="40.7109375" style="586" customWidth="1"/>
    <col min="13079" max="13079" width="34.42578125" style="586" customWidth="1"/>
    <col min="13080" max="13080" width="40.7109375" style="586" customWidth="1"/>
    <col min="13081" max="13081" width="17.85546875" style="586" customWidth="1"/>
    <col min="13082" max="13082" width="13.85546875" style="586" customWidth="1"/>
    <col min="13083" max="13090" width="11.42578125" style="586"/>
    <col min="13091" max="13091" width="13.28515625" style="586" customWidth="1"/>
    <col min="13092" max="13097" width="11.42578125" style="586"/>
    <col min="13098" max="13102" width="37.7109375" style="586" customWidth="1"/>
    <col min="13103" max="13110" width="30.140625" style="586" customWidth="1"/>
    <col min="13111" max="13311" width="11.42578125" style="586"/>
    <col min="13312" max="13312" width="13" style="586" bestFit="1" customWidth="1"/>
    <col min="13313" max="13313" width="11.42578125" style="586"/>
    <col min="13314" max="13314" width="42.85546875" style="586" customWidth="1"/>
    <col min="13315" max="13315" width="53.7109375" style="586" customWidth="1"/>
    <col min="13316" max="13316" width="18.5703125" style="586" customWidth="1"/>
    <col min="13317" max="13317" width="19.28515625" style="586" customWidth="1"/>
    <col min="13318" max="13318" width="28.5703125" style="586" customWidth="1"/>
    <col min="13319" max="13319" width="41.85546875" style="586" customWidth="1"/>
    <col min="13320" max="13320" width="37.28515625" style="586" customWidth="1"/>
    <col min="13321" max="13321" width="38.42578125" style="586" customWidth="1"/>
    <col min="13322" max="13322" width="40.7109375" style="586" customWidth="1"/>
    <col min="13323" max="13323" width="0" style="586" hidden="1" customWidth="1"/>
    <col min="13324" max="13324" width="38.42578125" style="586" customWidth="1"/>
    <col min="13325" max="13325" width="34.42578125" style="586" customWidth="1"/>
    <col min="13326" max="13330" width="40.7109375" style="586" customWidth="1"/>
    <col min="13331" max="13331" width="35" style="586" customWidth="1"/>
    <col min="13332" max="13332" width="38.42578125" style="586" customWidth="1"/>
    <col min="13333" max="13334" width="40.7109375" style="586" customWidth="1"/>
    <col min="13335" max="13335" width="34.42578125" style="586" customWidth="1"/>
    <col min="13336" max="13336" width="40.7109375" style="586" customWidth="1"/>
    <col min="13337" max="13337" width="17.85546875" style="586" customWidth="1"/>
    <col min="13338" max="13338" width="13.85546875" style="586" customWidth="1"/>
    <col min="13339" max="13346" width="11.42578125" style="586"/>
    <col min="13347" max="13347" width="13.28515625" style="586" customWidth="1"/>
    <col min="13348" max="13353" width="11.42578125" style="586"/>
    <col min="13354" max="13358" width="37.7109375" style="586" customWidth="1"/>
    <col min="13359" max="13366" width="30.140625" style="586" customWidth="1"/>
    <col min="13367" max="13567" width="11.42578125" style="586"/>
    <col min="13568" max="13568" width="13" style="586" bestFit="1" customWidth="1"/>
    <col min="13569" max="13569" width="11.42578125" style="586"/>
    <col min="13570" max="13570" width="42.85546875" style="586" customWidth="1"/>
    <col min="13571" max="13571" width="53.7109375" style="586" customWidth="1"/>
    <col min="13572" max="13572" width="18.5703125" style="586" customWidth="1"/>
    <col min="13573" max="13573" width="19.28515625" style="586" customWidth="1"/>
    <col min="13574" max="13574" width="28.5703125" style="586" customWidth="1"/>
    <col min="13575" max="13575" width="41.85546875" style="586" customWidth="1"/>
    <col min="13576" max="13576" width="37.28515625" style="586" customWidth="1"/>
    <col min="13577" max="13577" width="38.42578125" style="586" customWidth="1"/>
    <col min="13578" max="13578" width="40.7109375" style="586" customWidth="1"/>
    <col min="13579" max="13579" width="0" style="586" hidden="1" customWidth="1"/>
    <col min="13580" max="13580" width="38.42578125" style="586" customWidth="1"/>
    <col min="13581" max="13581" width="34.42578125" style="586" customWidth="1"/>
    <col min="13582" max="13586" width="40.7109375" style="586" customWidth="1"/>
    <col min="13587" max="13587" width="35" style="586" customWidth="1"/>
    <col min="13588" max="13588" width="38.42578125" style="586" customWidth="1"/>
    <col min="13589" max="13590" width="40.7109375" style="586" customWidth="1"/>
    <col min="13591" max="13591" width="34.42578125" style="586" customWidth="1"/>
    <col min="13592" max="13592" width="40.7109375" style="586" customWidth="1"/>
    <col min="13593" max="13593" width="17.85546875" style="586" customWidth="1"/>
    <col min="13594" max="13594" width="13.85546875" style="586" customWidth="1"/>
    <col min="13595" max="13602" width="11.42578125" style="586"/>
    <col min="13603" max="13603" width="13.28515625" style="586" customWidth="1"/>
    <col min="13604" max="13609" width="11.42578125" style="586"/>
    <col min="13610" max="13614" width="37.7109375" style="586" customWidth="1"/>
    <col min="13615" max="13622" width="30.140625" style="586" customWidth="1"/>
    <col min="13623" max="13823" width="11.42578125" style="586"/>
    <col min="13824" max="13824" width="13" style="586" bestFit="1" customWidth="1"/>
    <col min="13825" max="13825" width="11.42578125" style="586"/>
    <col min="13826" max="13826" width="42.85546875" style="586" customWidth="1"/>
    <col min="13827" max="13827" width="53.7109375" style="586" customWidth="1"/>
    <col min="13828" max="13828" width="18.5703125" style="586" customWidth="1"/>
    <col min="13829" max="13829" width="19.28515625" style="586" customWidth="1"/>
    <col min="13830" max="13830" width="28.5703125" style="586" customWidth="1"/>
    <col min="13831" max="13831" width="41.85546875" style="586" customWidth="1"/>
    <col min="13832" max="13832" width="37.28515625" style="586" customWidth="1"/>
    <col min="13833" max="13833" width="38.42578125" style="586" customWidth="1"/>
    <col min="13834" max="13834" width="40.7109375" style="586" customWidth="1"/>
    <col min="13835" max="13835" width="0" style="586" hidden="1" customWidth="1"/>
    <col min="13836" max="13836" width="38.42578125" style="586" customWidth="1"/>
    <col min="13837" max="13837" width="34.42578125" style="586" customWidth="1"/>
    <col min="13838" max="13842" width="40.7109375" style="586" customWidth="1"/>
    <col min="13843" max="13843" width="35" style="586" customWidth="1"/>
    <col min="13844" max="13844" width="38.42578125" style="586" customWidth="1"/>
    <col min="13845" max="13846" width="40.7109375" style="586" customWidth="1"/>
    <col min="13847" max="13847" width="34.42578125" style="586" customWidth="1"/>
    <col min="13848" max="13848" width="40.7109375" style="586" customWidth="1"/>
    <col min="13849" max="13849" width="17.85546875" style="586" customWidth="1"/>
    <col min="13850" max="13850" width="13.85546875" style="586" customWidth="1"/>
    <col min="13851" max="13858" width="11.42578125" style="586"/>
    <col min="13859" max="13859" width="13.28515625" style="586" customWidth="1"/>
    <col min="13860" max="13865" width="11.42578125" style="586"/>
    <col min="13866" max="13870" width="37.7109375" style="586" customWidth="1"/>
    <col min="13871" max="13878" width="30.140625" style="586" customWidth="1"/>
    <col min="13879" max="14079" width="11.42578125" style="586"/>
    <col min="14080" max="14080" width="13" style="586" bestFit="1" customWidth="1"/>
    <col min="14081" max="14081" width="11.42578125" style="586"/>
    <col min="14082" max="14082" width="42.85546875" style="586" customWidth="1"/>
    <col min="14083" max="14083" width="53.7109375" style="586" customWidth="1"/>
    <col min="14084" max="14084" width="18.5703125" style="586" customWidth="1"/>
    <col min="14085" max="14085" width="19.28515625" style="586" customWidth="1"/>
    <col min="14086" max="14086" width="28.5703125" style="586" customWidth="1"/>
    <col min="14087" max="14087" width="41.85546875" style="586" customWidth="1"/>
    <col min="14088" max="14088" width="37.28515625" style="586" customWidth="1"/>
    <col min="14089" max="14089" width="38.42578125" style="586" customWidth="1"/>
    <col min="14090" max="14090" width="40.7109375" style="586" customWidth="1"/>
    <col min="14091" max="14091" width="0" style="586" hidden="1" customWidth="1"/>
    <col min="14092" max="14092" width="38.42578125" style="586" customWidth="1"/>
    <col min="14093" max="14093" width="34.42578125" style="586" customWidth="1"/>
    <col min="14094" max="14098" width="40.7109375" style="586" customWidth="1"/>
    <col min="14099" max="14099" width="35" style="586" customWidth="1"/>
    <col min="14100" max="14100" width="38.42578125" style="586" customWidth="1"/>
    <col min="14101" max="14102" width="40.7109375" style="586" customWidth="1"/>
    <col min="14103" max="14103" width="34.42578125" style="586" customWidth="1"/>
    <col min="14104" max="14104" width="40.7109375" style="586" customWidth="1"/>
    <col min="14105" max="14105" width="17.85546875" style="586" customWidth="1"/>
    <col min="14106" max="14106" width="13.85546875" style="586" customWidth="1"/>
    <col min="14107" max="14114" width="11.42578125" style="586"/>
    <col min="14115" max="14115" width="13.28515625" style="586" customWidth="1"/>
    <col min="14116" max="14121" width="11.42578125" style="586"/>
    <col min="14122" max="14126" width="37.7109375" style="586" customWidth="1"/>
    <col min="14127" max="14134" width="30.140625" style="586" customWidth="1"/>
    <col min="14135" max="14335" width="11.42578125" style="586"/>
    <col min="14336" max="14336" width="13" style="586" bestFit="1" customWidth="1"/>
    <col min="14337" max="14337" width="11.42578125" style="586"/>
    <col min="14338" max="14338" width="42.85546875" style="586" customWidth="1"/>
    <col min="14339" max="14339" width="53.7109375" style="586" customWidth="1"/>
    <col min="14340" max="14340" width="18.5703125" style="586" customWidth="1"/>
    <col min="14341" max="14341" width="19.28515625" style="586" customWidth="1"/>
    <col min="14342" max="14342" width="28.5703125" style="586" customWidth="1"/>
    <col min="14343" max="14343" width="41.85546875" style="586" customWidth="1"/>
    <col min="14344" max="14344" width="37.28515625" style="586" customWidth="1"/>
    <col min="14345" max="14345" width="38.42578125" style="586" customWidth="1"/>
    <col min="14346" max="14346" width="40.7109375" style="586" customWidth="1"/>
    <col min="14347" max="14347" width="0" style="586" hidden="1" customWidth="1"/>
    <col min="14348" max="14348" width="38.42578125" style="586" customWidth="1"/>
    <col min="14349" max="14349" width="34.42578125" style="586" customWidth="1"/>
    <col min="14350" max="14354" width="40.7109375" style="586" customWidth="1"/>
    <col min="14355" max="14355" width="35" style="586" customWidth="1"/>
    <col min="14356" max="14356" width="38.42578125" style="586" customWidth="1"/>
    <col min="14357" max="14358" width="40.7109375" style="586" customWidth="1"/>
    <col min="14359" max="14359" width="34.42578125" style="586" customWidth="1"/>
    <col min="14360" max="14360" width="40.7109375" style="586" customWidth="1"/>
    <col min="14361" max="14361" width="17.85546875" style="586" customWidth="1"/>
    <col min="14362" max="14362" width="13.85546875" style="586" customWidth="1"/>
    <col min="14363" max="14370" width="11.42578125" style="586"/>
    <col min="14371" max="14371" width="13.28515625" style="586" customWidth="1"/>
    <col min="14372" max="14377" width="11.42578125" style="586"/>
    <col min="14378" max="14382" width="37.7109375" style="586" customWidth="1"/>
    <col min="14383" max="14390" width="30.140625" style="586" customWidth="1"/>
    <col min="14391" max="14591" width="11.42578125" style="586"/>
    <col min="14592" max="14592" width="13" style="586" bestFit="1" customWidth="1"/>
    <col min="14593" max="14593" width="11.42578125" style="586"/>
    <col min="14594" max="14594" width="42.85546875" style="586" customWidth="1"/>
    <col min="14595" max="14595" width="53.7109375" style="586" customWidth="1"/>
    <col min="14596" max="14596" width="18.5703125" style="586" customWidth="1"/>
    <col min="14597" max="14597" width="19.28515625" style="586" customWidth="1"/>
    <col min="14598" max="14598" width="28.5703125" style="586" customWidth="1"/>
    <col min="14599" max="14599" width="41.85546875" style="586" customWidth="1"/>
    <col min="14600" max="14600" width="37.28515625" style="586" customWidth="1"/>
    <col min="14601" max="14601" width="38.42578125" style="586" customWidth="1"/>
    <col min="14602" max="14602" width="40.7109375" style="586" customWidth="1"/>
    <col min="14603" max="14603" width="0" style="586" hidden="1" customWidth="1"/>
    <col min="14604" max="14604" width="38.42578125" style="586" customWidth="1"/>
    <col min="14605" max="14605" width="34.42578125" style="586" customWidth="1"/>
    <col min="14606" max="14610" width="40.7109375" style="586" customWidth="1"/>
    <col min="14611" max="14611" width="35" style="586" customWidth="1"/>
    <col min="14612" max="14612" width="38.42578125" style="586" customWidth="1"/>
    <col min="14613" max="14614" width="40.7109375" style="586" customWidth="1"/>
    <col min="14615" max="14615" width="34.42578125" style="586" customWidth="1"/>
    <col min="14616" max="14616" width="40.7109375" style="586" customWidth="1"/>
    <col min="14617" max="14617" width="17.85546875" style="586" customWidth="1"/>
    <col min="14618" max="14618" width="13.85546875" style="586" customWidth="1"/>
    <col min="14619" max="14626" width="11.42578125" style="586"/>
    <col min="14627" max="14627" width="13.28515625" style="586" customWidth="1"/>
    <col min="14628" max="14633" width="11.42578125" style="586"/>
    <col min="14634" max="14638" width="37.7109375" style="586" customWidth="1"/>
    <col min="14639" max="14646" width="30.140625" style="586" customWidth="1"/>
    <col min="14647" max="14847" width="11.42578125" style="586"/>
    <col min="14848" max="14848" width="13" style="586" bestFit="1" customWidth="1"/>
    <col min="14849" max="14849" width="11.42578125" style="586"/>
    <col min="14850" max="14850" width="42.85546875" style="586" customWidth="1"/>
    <col min="14851" max="14851" width="53.7109375" style="586" customWidth="1"/>
    <col min="14852" max="14852" width="18.5703125" style="586" customWidth="1"/>
    <col min="14853" max="14853" width="19.28515625" style="586" customWidth="1"/>
    <col min="14854" max="14854" width="28.5703125" style="586" customWidth="1"/>
    <col min="14855" max="14855" width="41.85546875" style="586" customWidth="1"/>
    <col min="14856" max="14856" width="37.28515625" style="586" customWidth="1"/>
    <col min="14857" max="14857" width="38.42578125" style="586" customWidth="1"/>
    <col min="14858" max="14858" width="40.7109375" style="586" customWidth="1"/>
    <col min="14859" max="14859" width="0" style="586" hidden="1" customWidth="1"/>
    <col min="14860" max="14860" width="38.42578125" style="586" customWidth="1"/>
    <col min="14861" max="14861" width="34.42578125" style="586" customWidth="1"/>
    <col min="14862" max="14866" width="40.7109375" style="586" customWidth="1"/>
    <col min="14867" max="14867" width="35" style="586" customWidth="1"/>
    <col min="14868" max="14868" width="38.42578125" style="586" customWidth="1"/>
    <col min="14869" max="14870" width="40.7109375" style="586" customWidth="1"/>
    <col min="14871" max="14871" width="34.42578125" style="586" customWidth="1"/>
    <col min="14872" max="14872" width="40.7109375" style="586" customWidth="1"/>
    <col min="14873" max="14873" width="17.85546875" style="586" customWidth="1"/>
    <col min="14874" max="14874" width="13.85546875" style="586" customWidth="1"/>
    <col min="14875" max="14882" width="11.42578125" style="586"/>
    <col min="14883" max="14883" width="13.28515625" style="586" customWidth="1"/>
    <col min="14884" max="14889" width="11.42578125" style="586"/>
    <col min="14890" max="14894" width="37.7109375" style="586" customWidth="1"/>
    <col min="14895" max="14902" width="30.140625" style="586" customWidth="1"/>
    <col min="14903" max="15103" width="11.42578125" style="586"/>
    <col min="15104" max="15104" width="13" style="586" bestFit="1" customWidth="1"/>
    <col min="15105" max="15105" width="11.42578125" style="586"/>
    <col min="15106" max="15106" width="42.85546875" style="586" customWidth="1"/>
    <col min="15107" max="15107" width="53.7109375" style="586" customWidth="1"/>
    <col min="15108" max="15108" width="18.5703125" style="586" customWidth="1"/>
    <col min="15109" max="15109" width="19.28515625" style="586" customWidth="1"/>
    <col min="15110" max="15110" width="28.5703125" style="586" customWidth="1"/>
    <col min="15111" max="15111" width="41.85546875" style="586" customWidth="1"/>
    <col min="15112" max="15112" width="37.28515625" style="586" customWidth="1"/>
    <col min="15113" max="15113" width="38.42578125" style="586" customWidth="1"/>
    <col min="15114" max="15114" width="40.7109375" style="586" customWidth="1"/>
    <col min="15115" max="15115" width="0" style="586" hidden="1" customWidth="1"/>
    <col min="15116" max="15116" width="38.42578125" style="586" customWidth="1"/>
    <col min="15117" max="15117" width="34.42578125" style="586" customWidth="1"/>
    <col min="15118" max="15122" width="40.7109375" style="586" customWidth="1"/>
    <col min="15123" max="15123" width="35" style="586" customWidth="1"/>
    <col min="15124" max="15124" width="38.42578125" style="586" customWidth="1"/>
    <col min="15125" max="15126" width="40.7109375" style="586" customWidth="1"/>
    <col min="15127" max="15127" width="34.42578125" style="586" customWidth="1"/>
    <col min="15128" max="15128" width="40.7109375" style="586" customWidth="1"/>
    <col min="15129" max="15129" width="17.85546875" style="586" customWidth="1"/>
    <col min="15130" max="15130" width="13.85546875" style="586" customWidth="1"/>
    <col min="15131" max="15138" width="11.42578125" style="586"/>
    <col min="15139" max="15139" width="13.28515625" style="586" customWidth="1"/>
    <col min="15140" max="15145" width="11.42578125" style="586"/>
    <col min="15146" max="15150" width="37.7109375" style="586" customWidth="1"/>
    <col min="15151" max="15158" width="30.140625" style="586" customWidth="1"/>
    <col min="15159" max="15359" width="11.42578125" style="586"/>
    <col min="15360" max="15360" width="13" style="586" bestFit="1" customWidth="1"/>
    <col min="15361" max="15361" width="11.42578125" style="586"/>
    <col min="15362" max="15362" width="42.85546875" style="586" customWidth="1"/>
    <col min="15363" max="15363" width="53.7109375" style="586" customWidth="1"/>
    <col min="15364" max="15364" width="18.5703125" style="586" customWidth="1"/>
    <col min="15365" max="15365" width="19.28515625" style="586" customWidth="1"/>
    <col min="15366" max="15366" width="28.5703125" style="586" customWidth="1"/>
    <col min="15367" max="15367" width="41.85546875" style="586" customWidth="1"/>
    <col min="15368" max="15368" width="37.28515625" style="586" customWidth="1"/>
    <col min="15369" max="15369" width="38.42578125" style="586" customWidth="1"/>
    <col min="15370" max="15370" width="40.7109375" style="586" customWidth="1"/>
    <col min="15371" max="15371" width="0" style="586" hidden="1" customWidth="1"/>
    <col min="15372" max="15372" width="38.42578125" style="586" customWidth="1"/>
    <col min="15373" max="15373" width="34.42578125" style="586" customWidth="1"/>
    <col min="15374" max="15378" width="40.7109375" style="586" customWidth="1"/>
    <col min="15379" max="15379" width="35" style="586" customWidth="1"/>
    <col min="15380" max="15380" width="38.42578125" style="586" customWidth="1"/>
    <col min="15381" max="15382" width="40.7109375" style="586" customWidth="1"/>
    <col min="15383" max="15383" width="34.42578125" style="586" customWidth="1"/>
    <col min="15384" max="15384" width="40.7109375" style="586" customWidth="1"/>
    <col min="15385" max="15385" width="17.85546875" style="586" customWidth="1"/>
    <col min="15386" max="15386" width="13.85546875" style="586" customWidth="1"/>
    <col min="15387" max="15394" width="11.42578125" style="586"/>
    <col min="15395" max="15395" width="13.28515625" style="586" customWidth="1"/>
    <col min="15396" max="15401" width="11.42578125" style="586"/>
    <col min="15402" max="15406" width="37.7109375" style="586" customWidth="1"/>
    <col min="15407" max="15414" width="30.140625" style="586" customWidth="1"/>
    <col min="15415" max="15615" width="11.42578125" style="586"/>
    <col min="15616" max="15616" width="13" style="586" bestFit="1" customWidth="1"/>
    <col min="15617" max="15617" width="11.42578125" style="586"/>
    <col min="15618" max="15618" width="42.85546875" style="586" customWidth="1"/>
    <col min="15619" max="15619" width="53.7109375" style="586" customWidth="1"/>
    <col min="15620" max="15620" width="18.5703125" style="586" customWidth="1"/>
    <col min="15621" max="15621" width="19.28515625" style="586" customWidth="1"/>
    <col min="15622" max="15622" width="28.5703125" style="586" customWidth="1"/>
    <col min="15623" max="15623" width="41.85546875" style="586" customWidth="1"/>
    <col min="15624" max="15624" width="37.28515625" style="586" customWidth="1"/>
    <col min="15625" max="15625" width="38.42578125" style="586" customWidth="1"/>
    <col min="15626" max="15626" width="40.7109375" style="586" customWidth="1"/>
    <col min="15627" max="15627" width="0" style="586" hidden="1" customWidth="1"/>
    <col min="15628" max="15628" width="38.42578125" style="586" customWidth="1"/>
    <col min="15629" max="15629" width="34.42578125" style="586" customWidth="1"/>
    <col min="15630" max="15634" width="40.7109375" style="586" customWidth="1"/>
    <col min="15635" max="15635" width="35" style="586" customWidth="1"/>
    <col min="15636" max="15636" width="38.42578125" style="586" customWidth="1"/>
    <col min="15637" max="15638" width="40.7109375" style="586" customWidth="1"/>
    <col min="15639" max="15639" width="34.42578125" style="586" customWidth="1"/>
    <col min="15640" max="15640" width="40.7109375" style="586" customWidth="1"/>
    <col min="15641" max="15641" width="17.85546875" style="586" customWidth="1"/>
    <col min="15642" max="15642" width="13.85546875" style="586" customWidth="1"/>
    <col min="15643" max="15650" width="11.42578125" style="586"/>
    <col min="15651" max="15651" width="13.28515625" style="586" customWidth="1"/>
    <col min="15652" max="15657" width="11.42578125" style="586"/>
    <col min="15658" max="15662" width="37.7109375" style="586" customWidth="1"/>
    <col min="15663" max="15670" width="30.140625" style="586" customWidth="1"/>
    <col min="15671" max="15871" width="11.42578125" style="586"/>
    <col min="15872" max="15872" width="13" style="586" bestFit="1" customWidth="1"/>
    <col min="15873" max="15873" width="11.42578125" style="586"/>
    <col min="15874" max="15874" width="42.85546875" style="586" customWidth="1"/>
    <col min="15875" max="15875" width="53.7109375" style="586" customWidth="1"/>
    <col min="15876" max="15876" width="18.5703125" style="586" customWidth="1"/>
    <col min="15877" max="15877" width="19.28515625" style="586" customWidth="1"/>
    <col min="15878" max="15878" width="28.5703125" style="586" customWidth="1"/>
    <col min="15879" max="15879" width="41.85546875" style="586" customWidth="1"/>
    <col min="15880" max="15880" width="37.28515625" style="586" customWidth="1"/>
    <col min="15881" max="15881" width="38.42578125" style="586" customWidth="1"/>
    <col min="15882" max="15882" width="40.7109375" style="586" customWidth="1"/>
    <col min="15883" max="15883" width="0" style="586" hidden="1" customWidth="1"/>
    <col min="15884" max="15884" width="38.42578125" style="586" customWidth="1"/>
    <col min="15885" max="15885" width="34.42578125" style="586" customWidth="1"/>
    <col min="15886" max="15890" width="40.7109375" style="586" customWidth="1"/>
    <col min="15891" max="15891" width="35" style="586" customWidth="1"/>
    <col min="15892" max="15892" width="38.42578125" style="586" customWidth="1"/>
    <col min="15893" max="15894" width="40.7109375" style="586" customWidth="1"/>
    <col min="15895" max="15895" width="34.42578125" style="586" customWidth="1"/>
    <col min="15896" max="15896" width="40.7109375" style="586" customWidth="1"/>
    <col min="15897" max="15897" width="17.85546875" style="586" customWidth="1"/>
    <col min="15898" max="15898" width="13.85546875" style="586" customWidth="1"/>
    <col min="15899" max="15906" width="11.42578125" style="586"/>
    <col min="15907" max="15907" width="13.28515625" style="586" customWidth="1"/>
    <col min="15908" max="15913" width="11.42578125" style="586"/>
    <col min="15914" max="15918" width="37.7109375" style="586" customWidth="1"/>
    <col min="15919" max="15926" width="30.140625" style="586" customWidth="1"/>
    <col min="15927" max="16127" width="11.42578125" style="586"/>
    <col min="16128" max="16128" width="13" style="586" bestFit="1" customWidth="1"/>
    <col min="16129" max="16129" width="11.42578125" style="586"/>
    <col min="16130" max="16130" width="42.85546875" style="586" customWidth="1"/>
    <col min="16131" max="16131" width="53.7109375" style="586" customWidth="1"/>
    <col min="16132" max="16132" width="18.5703125" style="586" customWidth="1"/>
    <col min="16133" max="16133" width="19.28515625" style="586" customWidth="1"/>
    <col min="16134" max="16134" width="28.5703125" style="586" customWidth="1"/>
    <col min="16135" max="16135" width="41.85546875" style="586" customWidth="1"/>
    <col min="16136" max="16136" width="37.28515625" style="586" customWidth="1"/>
    <col min="16137" max="16137" width="38.42578125" style="586" customWidth="1"/>
    <col min="16138" max="16138" width="40.7109375" style="586" customWidth="1"/>
    <col min="16139" max="16139" width="0" style="586" hidden="1" customWidth="1"/>
    <col min="16140" max="16140" width="38.42578125" style="586" customWidth="1"/>
    <col min="16141" max="16141" width="34.42578125" style="586" customWidth="1"/>
    <col min="16142" max="16146" width="40.7109375" style="586" customWidth="1"/>
    <col min="16147" max="16147" width="35" style="586" customWidth="1"/>
    <col min="16148" max="16148" width="38.42578125" style="586" customWidth="1"/>
    <col min="16149" max="16150" width="40.7109375" style="586" customWidth="1"/>
    <col min="16151" max="16151" width="34.42578125" style="586" customWidth="1"/>
    <col min="16152" max="16152" width="40.7109375" style="586" customWidth="1"/>
    <col min="16153" max="16153" width="17.85546875" style="586" customWidth="1"/>
    <col min="16154" max="16154" width="13.85546875" style="586" customWidth="1"/>
    <col min="16155" max="16162" width="11.42578125" style="586"/>
    <col min="16163" max="16163" width="13.28515625" style="586" customWidth="1"/>
    <col min="16164" max="16169" width="11.42578125" style="586"/>
    <col min="16170" max="16174" width="37.7109375" style="586" customWidth="1"/>
    <col min="16175" max="16182" width="30.140625" style="586" customWidth="1"/>
    <col min="16183" max="16384" width="11.42578125" style="586"/>
  </cols>
  <sheetData>
    <row r="1" spans="1:54" ht="39.75" customHeight="1">
      <c r="C1" s="691"/>
      <c r="D1" s="692"/>
      <c r="E1" s="693"/>
      <c r="F1" s="693"/>
      <c r="G1" s="693"/>
      <c r="AB1" s="695"/>
      <c r="AC1" s="695"/>
      <c r="AD1" s="696"/>
      <c r="AE1" s="696"/>
      <c r="AF1" s="697"/>
      <c r="AG1" s="698"/>
      <c r="AI1" s="698"/>
      <c r="AJ1" s="698"/>
      <c r="AP1" s="700"/>
      <c r="AQ1" s="700"/>
      <c r="AR1" s="700"/>
      <c r="AS1" s="700"/>
      <c r="AT1" s="700"/>
      <c r="AU1" s="700"/>
      <c r="AV1" s="700"/>
      <c r="AW1" s="700"/>
      <c r="AX1" s="700"/>
      <c r="AY1" s="700"/>
      <c r="AZ1" s="700"/>
      <c r="BA1" s="701"/>
      <c r="BB1" s="700"/>
    </row>
    <row r="2" spans="1:54" ht="39.75" customHeight="1">
      <c r="C2" s="702"/>
      <c r="D2" s="703"/>
      <c r="E2" s="693"/>
      <c r="F2" s="693"/>
      <c r="G2" s="693"/>
      <c r="AB2" s="695"/>
      <c r="AC2" s="695"/>
      <c r="AD2" s="696"/>
      <c r="AE2" s="696"/>
      <c r="AF2" s="697"/>
      <c r="AG2" s="698"/>
      <c r="AI2" s="698"/>
      <c r="AJ2" s="698"/>
      <c r="AP2" s="700"/>
      <c r="AQ2" s="700"/>
      <c r="AR2" s="700"/>
      <c r="AS2" s="700"/>
      <c r="AT2" s="700"/>
      <c r="AU2" s="700"/>
      <c r="AV2" s="700"/>
      <c r="AW2" s="700"/>
      <c r="AX2" s="700"/>
      <c r="AY2" s="700"/>
      <c r="AZ2" s="700"/>
      <c r="BA2" s="701"/>
      <c r="BB2" s="700"/>
    </row>
    <row r="3" spans="1:54" ht="39.75" customHeight="1">
      <c r="D3" s="693"/>
      <c r="E3" s="693"/>
      <c r="F3" s="693"/>
      <c r="AB3" s="695"/>
      <c r="AC3" s="695"/>
      <c r="AD3" s="696"/>
      <c r="AE3" s="696"/>
      <c r="AF3" s="697"/>
      <c r="AG3" s="698"/>
      <c r="AI3" s="698"/>
      <c r="AJ3" s="698"/>
      <c r="AP3" s="700"/>
      <c r="AQ3" s="700"/>
      <c r="AR3" s="700"/>
      <c r="AS3" s="700"/>
      <c r="AT3" s="700"/>
      <c r="AU3" s="700"/>
      <c r="AV3" s="700"/>
      <c r="AW3" s="700"/>
      <c r="AX3" s="700"/>
      <c r="AY3" s="700"/>
      <c r="AZ3" s="700"/>
      <c r="BA3" s="701"/>
      <c r="BB3" s="700"/>
    </row>
    <row r="4" spans="1:54" ht="39.75" customHeight="1">
      <c r="AB4" s="695"/>
      <c r="AC4" s="695"/>
      <c r="AD4" s="696"/>
      <c r="AE4" s="696"/>
      <c r="AF4" s="697"/>
      <c r="AG4" s="698"/>
      <c r="AI4" s="698"/>
      <c r="AJ4" s="698"/>
      <c r="AP4" s="700"/>
      <c r="AQ4" s="700"/>
      <c r="AR4" s="700"/>
      <c r="AS4" s="700"/>
      <c r="AT4" s="700"/>
      <c r="AU4" s="700"/>
      <c r="AV4" s="700"/>
      <c r="AW4" s="700"/>
      <c r="AX4" s="700"/>
      <c r="AY4" s="700"/>
      <c r="AZ4" s="700"/>
      <c r="BA4" s="701"/>
      <c r="BB4" s="700"/>
    </row>
    <row r="5" spans="1:54" s="708" customFormat="1" ht="41.25" customHeight="1">
      <c r="A5" s="704"/>
      <c r="B5" s="705"/>
      <c r="C5" s="705"/>
      <c r="D5" s="705"/>
      <c r="E5" s="705"/>
      <c r="F5" s="705"/>
      <c r="G5" s="705"/>
      <c r="H5" s="705"/>
      <c r="I5" s="705"/>
      <c r="J5" s="705"/>
      <c r="K5" s="705"/>
      <c r="L5" s="705"/>
      <c r="M5" s="705"/>
      <c r="N5" s="705"/>
      <c r="O5" s="705"/>
      <c r="P5" s="705"/>
      <c r="Q5" s="705"/>
      <c r="R5" s="705"/>
      <c r="S5" s="705"/>
      <c r="T5" s="705"/>
      <c r="U5" s="705"/>
      <c r="V5" s="705"/>
      <c r="W5" s="705"/>
      <c r="X5" s="706"/>
      <c r="Y5" s="707"/>
      <c r="AB5" s="695"/>
      <c r="AC5" s="695"/>
      <c r="AF5" s="697"/>
      <c r="AG5" s="698"/>
      <c r="AH5" s="709"/>
      <c r="AI5" s="698"/>
      <c r="AK5" s="710"/>
      <c r="AM5" s="710"/>
      <c r="AO5" s="710"/>
      <c r="AP5" s="711"/>
      <c r="AQ5" s="712"/>
      <c r="AR5" s="712"/>
      <c r="AS5" s="712"/>
      <c r="AT5" s="712"/>
      <c r="AU5" s="700"/>
      <c r="AV5" s="700"/>
      <c r="AW5" s="700"/>
      <c r="AX5" s="700"/>
      <c r="AY5" s="700"/>
      <c r="AZ5" s="700"/>
      <c r="BA5" s="701"/>
      <c r="BB5" s="700"/>
    </row>
    <row r="6" spans="1:54" s="708" customFormat="1" ht="45">
      <c r="A6" s="704"/>
      <c r="B6" s="713"/>
      <c r="C6" s="714" t="s">
        <v>1</v>
      </c>
      <c r="D6" s="715"/>
      <c r="E6" s="715"/>
      <c r="F6" s="715"/>
      <c r="G6" s="715"/>
      <c r="H6" s="716"/>
      <c r="I6" s="716"/>
      <c r="J6" s="717"/>
      <c r="K6" s="717"/>
      <c r="L6" s="717"/>
      <c r="M6" s="718"/>
      <c r="N6" s="717"/>
      <c r="O6" s="717"/>
      <c r="P6" s="717"/>
      <c r="Q6" s="717"/>
      <c r="R6" s="717"/>
      <c r="S6" s="717"/>
      <c r="T6" s="717"/>
      <c r="U6" s="717"/>
      <c r="V6" s="717"/>
      <c r="W6" s="717"/>
      <c r="X6" s="706"/>
      <c r="Y6" s="707"/>
      <c r="AB6" s="695"/>
      <c r="AC6" s="695"/>
      <c r="AD6" s="709"/>
      <c r="AE6" s="709"/>
      <c r="AF6" s="697"/>
      <c r="AG6" s="698"/>
      <c r="AH6" s="709"/>
      <c r="AI6" s="698"/>
      <c r="AJ6" s="709"/>
      <c r="AK6" s="710"/>
      <c r="AM6" s="710"/>
      <c r="AO6" s="710"/>
      <c r="AQ6" s="710"/>
    </row>
    <row r="7" spans="1:54" s="708" customFormat="1" ht="45">
      <c r="A7" s="704"/>
      <c r="B7" s="719"/>
      <c r="C7" s="1372" t="s">
        <v>785</v>
      </c>
      <c r="D7" s="715"/>
      <c r="E7" s="715"/>
      <c r="F7" s="715"/>
      <c r="G7" s="715"/>
      <c r="H7" s="720"/>
      <c r="I7" s="720"/>
      <c r="J7" s="720"/>
      <c r="K7" s="720"/>
      <c r="L7" s="720"/>
      <c r="M7" s="721"/>
      <c r="N7" s="720"/>
      <c r="O7" s="720"/>
      <c r="P7" s="720"/>
      <c r="Q7" s="720"/>
      <c r="R7" s="720"/>
      <c r="S7" s="720"/>
      <c r="T7" s="720"/>
      <c r="U7" s="720"/>
      <c r="V7" s="720"/>
      <c r="W7" s="720"/>
      <c r="X7" s="706"/>
      <c r="Y7" s="707"/>
      <c r="AB7" s="695"/>
      <c r="AC7" s="695"/>
      <c r="AD7" s="709"/>
      <c r="AE7" s="709"/>
      <c r="AF7" s="697"/>
      <c r="AG7" s="698"/>
      <c r="AH7" s="709"/>
      <c r="AI7" s="698"/>
      <c r="AJ7" s="709"/>
      <c r="AK7" s="710"/>
      <c r="AM7" s="710"/>
      <c r="AO7" s="710"/>
      <c r="AQ7" s="710"/>
    </row>
    <row r="8" spans="1:54" s="708" customFormat="1" ht="45">
      <c r="A8" s="704"/>
      <c r="B8" s="719"/>
      <c r="C8" s="1372" t="s">
        <v>784</v>
      </c>
      <c r="D8" s="715"/>
      <c r="E8" s="715"/>
      <c r="F8" s="715"/>
      <c r="G8" s="715"/>
      <c r="H8" s="720"/>
      <c r="I8" s="720"/>
      <c r="J8" s="720"/>
      <c r="K8" s="722"/>
      <c r="L8" s="720"/>
      <c r="M8" s="721"/>
      <c r="N8" s="720"/>
      <c r="O8" s="720"/>
      <c r="P8" s="720"/>
      <c r="Q8" s="720"/>
      <c r="R8" s="720"/>
      <c r="S8" s="720"/>
      <c r="T8" s="720"/>
      <c r="U8" s="720"/>
      <c r="V8" s="720"/>
      <c r="W8" s="720"/>
      <c r="X8" s="706"/>
      <c r="Y8" s="707"/>
      <c r="AB8" s="695"/>
      <c r="AC8" s="695"/>
      <c r="AD8" s="709"/>
      <c r="AE8" s="709"/>
      <c r="AF8" s="697"/>
      <c r="AG8" s="698"/>
      <c r="AH8" s="709"/>
      <c r="AI8" s="698"/>
      <c r="AJ8" s="709"/>
      <c r="AK8" s="710"/>
      <c r="AM8" s="710"/>
      <c r="AO8" s="710"/>
      <c r="AQ8" s="710"/>
    </row>
    <row r="9" spans="1:54" s="708" customFormat="1" ht="35.25">
      <c r="A9" s="704"/>
      <c r="B9" s="719"/>
      <c r="C9" s="723"/>
      <c r="D9" s="723"/>
      <c r="E9" s="723"/>
      <c r="F9" s="723"/>
      <c r="G9" s="723"/>
      <c r="H9" s="724"/>
      <c r="I9" s="724"/>
      <c r="J9" s="725"/>
      <c r="K9" s="725"/>
      <c r="L9" s="725"/>
      <c r="M9" s="726"/>
      <c r="N9" s="725"/>
      <c r="O9" s="720"/>
      <c r="P9" s="720"/>
      <c r="Q9" s="720"/>
      <c r="R9" s="720"/>
      <c r="S9" s="720"/>
      <c r="T9" s="720"/>
      <c r="U9" s="720"/>
      <c r="V9" s="720"/>
      <c r="W9" s="720"/>
      <c r="X9" s="706"/>
      <c r="Y9" s="707"/>
      <c r="AB9" s="695"/>
      <c r="AC9" s="695"/>
      <c r="AD9" s="709"/>
      <c r="AE9" s="709"/>
      <c r="AF9" s="697"/>
      <c r="AG9" s="698"/>
      <c r="AH9" s="709"/>
      <c r="AI9" s="698"/>
      <c r="AJ9" s="709"/>
      <c r="AK9" s="710"/>
      <c r="AM9" s="710"/>
      <c r="AO9" s="710"/>
      <c r="AQ9" s="710"/>
    </row>
    <row r="10" spans="1:54" s="734" customFormat="1" ht="53.25" customHeight="1">
      <c r="A10" s="727"/>
      <c r="B10" s="728"/>
      <c r="C10" s="1203" t="str">
        <f ca="1">CONCATENATE("تسييــــر"," ",YEAR(TODAY()))</f>
        <v>تسييــــر 2019</v>
      </c>
      <c r="D10" s="1371" t="s">
        <v>783</v>
      </c>
      <c r="E10" s="984" t="str">
        <f ca="1">CONCATENATE("أجـــرة شهـــر"," ",الرئيسية!N8," ",YEAR(TODAY()))</f>
        <v>أجـــرة شهـــر جوان 2019</v>
      </c>
      <c r="F10" s="729"/>
      <c r="G10" s="729"/>
      <c r="H10" s="730"/>
      <c r="J10" s="731"/>
      <c r="K10" s="732"/>
      <c r="L10" s="732"/>
      <c r="M10" s="733"/>
      <c r="O10" s="735"/>
      <c r="P10" s="735"/>
      <c r="Q10" s="735"/>
      <c r="R10" s="735"/>
      <c r="S10" s="735"/>
      <c r="T10" s="735"/>
      <c r="U10" s="735"/>
      <c r="V10" s="735"/>
      <c r="W10" s="735"/>
      <c r="X10" s="736"/>
      <c r="Y10" s="737"/>
      <c r="AB10" s="695"/>
      <c r="AC10" s="695"/>
      <c r="AD10" s="697"/>
      <c r="AE10" s="697"/>
      <c r="AF10" s="697"/>
      <c r="AG10" s="698"/>
      <c r="AH10" s="697"/>
      <c r="AI10" s="698"/>
      <c r="AJ10" s="697"/>
      <c r="AK10" s="738"/>
      <c r="AM10" s="738"/>
      <c r="AO10" s="738"/>
      <c r="AQ10" s="738"/>
    </row>
    <row r="11" spans="1:54" s="734" customFormat="1" ht="53.25" customHeight="1">
      <c r="A11" s="727"/>
      <c r="B11" s="728"/>
      <c r="C11" s="1200" t="s">
        <v>21</v>
      </c>
      <c r="D11" s="1373" t="s">
        <v>786</v>
      </c>
      <c r="E11" s="739"/>
      <c r="F11" s="739"/>
      <c r="G11" s="739"/>
      <c r="H11" s="1204" t="s">
        <v>567</v>
      </c>
      <c r="I11" s="1205" t="s">
        <v>298</v>
      </c>
      <c r="J11" s="1197">
        <v>80</v>
      </c>
      <c r="K11" s="740"/>
      <c r="L11" s="740"/>
      <c r="M11" s="733"/>
      <c r="N11" s="732"/>
      <c r="O11" s="735"/>
      <c r="P11" s="735"/>
      <c r="Q11" s="735"/>
      <c r="R11" s="735"/>
      <c r="S11" s="735"/>
      <c r="T11" s="735"/>
      <c r="U11" s="735"/>
      <c r="V11" s="735"/>
      <c r="W11" s="735"/>
      <c r="X11" s="736"/>
      <c r="Y11" s="737"/>
      <c r="AB11" s="695"/>
      <c r="AC11" s="695"/>
      <c r="AD11" s="697"/>
      <c r="AE11" s="697"/>
      <c r="AF11" s="697"/>
      <c r="AG11" s="698"/>
      <c r="AH11" s="697"/>
      <c r="AI11" s="698"/>
      <c r="AJ11" s="697"/>
      <c r="AK11" s="738"/>
      <c r="AM11" s="738"/>
      <c r="AO11" s="738"/>
      <c r="AQ11" s="738"/>
    </row>
    <row r="12" spans="1:54" s="734" customFormat="1" ht="64.5" customHeight="1" thickBot="1">
      <c r="A12" s="727"/>
      <c r="B12" s="728"/>
      <c r="C12" s="1370" t="s">
        <v>782</v>
      </c>
      <c r="E12" s="1199" t="s">
        <v>43</v>
      </c>
      <c r="F12" s="741"/>
      <c r="G12" s="742"/>
      <c r="H12" s="1198" t="str">
        <f>LOOKUP(J11,'ورقة العمل'!Y2:Y12,'ورقة العمل'!X2:X12)</f>
        <v>الحساب الجاري البريدي</v>
      </c>
      <c r="J12" s="743"/>
      <c r="K12" s="744"/>
      <c r="L12" s="745"/>
      <c r="N12" s="746"/>
      <c r="O12" s="732"/>
      <c r="P12" s="732"/>
      <c r="Q12" s="732"/>
      <c r="R12" s="732"/>
      <c r="S12" s="732"/>
      <c r="T12" s="732"/>
      <c r="U12" s="732"/>
      <c r="V12" s="732"/>
      <c r="W12" s="732"/>
      <c r="X12" s="736"/>
      <c r="Y12" s="737"/>
      <c r="AB12" s="695"/>
      <c r="AC12" s="695"/>
      <c r="AD12" s="697"/>
      <c r="AE12" s="697"/>
      <c r="AF12" s="697"/>
      <c r="AG12" s="698"/>
      <c r="AH12" s="697"/>
      <c r="AI12" s="698"/>
      <c r="AJ12" s="697"/>
      <c r="AK12" s="738"/>
      <c r="AM12" s="738"/>
      <c r="AO12" s="738"/>
      <c r="AQ12" s="738"/>
    </row>
    <row r="13" spans="1:54" s="751" customFormat="1" ht="71.25" customHeight="1" thickBot="1">
      <c r="A13" s="747"/>
      <c r="B13" s="1718" t="s">
        <v>19</v>
      </c>
      <c r="C13" s="1718" t="s">
        <v>42</v>
      </c>
      <c r="D13" s="1206"/>
      <c r="E13" s="1207"/>
      <c r="F13" s="1207"/>
      <c r="G13" s="1207"/>
      <c r="H13" s="1207"/>
      <c r="I13" s="1208"/>
      <c r="J13" s="1209"/>
      <c r="K13" s="1720" t="s">
        <v>44</v>
      </c>
      <c r="L13" s="1721"/>
      <c r="M13" s="1722"/>
      <c r="N13" s="1261"/>
      <c r="O13" s="1202" t="s">
        <v>565</v>
      </c>
      <c r="P13" s="1219" t="s">
        <v>565</v>
      </c>
      <c r="Q13" s="1220"/>
      <c r="R13" s="1220"/>
      <c r="S13" s="1220"/>
      <c r="T13" s="1220"/>
      <c r="U13" s="1220"/>
      <c r="V13" s="1221"/>
      <c r="W13" s="1202" t="s">
        <v>565</v>
      </c>
      <c r="X13" s="1723" t="s">
        <v>23</v>
      </c>
      <c r="Y13" s="749"/>
      <c r="Z13" s="812" t="s">
        <v>425</v>
      </c>
      <c r="AB13" s="752"/>
      <c r="AC13" s="752"/>
      <c r="AD13" s="698"/>
      <c r="AE13" s="749"/>
      <c r="AF13" s="698"/>
      <c r="AG13" s="749"/>
      <c r="AH13" s="698"/>
      <c r="AI13" s="749"/>
      <c r="AJ13" s="698"/>
      <c r="AK13" s="753"/>
      <c r="AM13" s="753"/>
      <c r="AO13" s="753"/>
      <c r="AQ13" s="753"/>
    </row>
    <row r="14" spans="1:54" s="751" customFormat="1" ht="159" customHeight="1">
      <c r="A14" s="747"/>
      <c r="B14" s="1719"/>
      <c r="C14" s="1719"/>
      <c r="D14" s="1210" t="s">
        <v>40</v>
      </c>
      <c r="E14" s="1210" t="s">
        <v>569</v>
      </c>
      <c r="F14" s="1210" t="s">
        <v>523</v>
      </c>
      <c r="G14" s="1210" t="s">
        <v>570</v>
      </c>
      <c r="H14" s="1210" t="s">
        <v>39</v>
      </c>
      <c r="I14" s="1211" t="s">
        <v>38</v>
      </c>
      <c r="J14" s="1212" t="s">
        <v>26</v>
      </c>
      <c r="K14" s="1213" t="s">
        <v>571</v>
      </c>
      <c r="L14" s="1214" t="s">
        <v>572</v>
      </c>
      <c r="M14" s="1215" t="s">
        <v>29</v>
      </c>
      <c r="N14" s="1216" t="s">
        <v>37</v>
      </c>
      <c r="O14" s="1217" t="s">
        <v>573</v>
      </c>
      <c r="P14" s="1212" t="s">
        <v>709</v>
      </c>
      <c r="Q14" s="1218" t="s">
        <v>716</v>
      </c>
      <c r="R14" s="1218" t="s">
        <v>711</v>
      </c>
      <c r="S14" s="1218" t="s">
        <v>585</v>
      </c>
      <c r="T14" s="1218" t="s">
        <v>712</v>
      </c>
      <c r="U14" s="1218" t="s">
        <v>31</v>
      </c>
      <c r="V14" s="1214" t="s">
        <v>625</v>
      </c>
      <c r="W14" s="1202" t="s">
        <v>45</v>
      </c>
      <c r="X14" s="1724"/>
      <c r="Y14" s="1196" t="str">
        <f>H12</f>
        <v>الحساب الجاري البريدي</v>
      </c>
      <c r="Z14" s="702"/>
      <c r="AA14" s="703"/>
      <c r="AB14" s="752"/>
      <c r="AC14" s="752"/>
      <c r="AD14" s="698"/>
      <c r="AE14" s="749"/>
      <c r="AF14" s="698"/>
      <c r="AG14" s="1123" t="s">
        <v>705</v>
      </c>
      <c r="AH14" s="1119" t="s">
        <v>706</v>
      </c>
      <c r="AI14" s="1123" t="s">
        <v>707</v>
      </c>
      <c r="AJ14" s="65"/>
      <c r="AK14" s="35"/>
      <c r="AL14" s="34"/>
      <c r="AM14" s="35"/>
      <c r="AN14" s="34"/>
      <c r="AO14" s="753"/>
      <c r="AQ14" s="753"/>
    </row>
    <row r="15" spans="1:54" ht="91.5" customHeight="1">
      <c r="A15" s="754">
        <f>'VAC-TCMP'!A24</f>
        <v>23</v>
      </c>
      <c r="B15" s="1262">
        <v>1</v>
      </c>
      <c r="C15" s="1263" t="str">
        <f>LOOKUP(A15,'VAC-TCMP'!A:A,'VAC-TCMP'!B:B)</f>
        <v>زنتؤءىلاورؤةىلازوةءؤرىلا</v>
      </c>
      <c r="D15" s="1263">
        <f>LOOKUP(A15,'VAC-TCMP'!A:A,'VAC-TCMP'!L:L)</f>
        <v>768766876</v>
      </c>
      <c r="E15" s="1264" t="str">
        <f>LOOKUP(A15,'VAC-TCMP'!A:A,'VAC-TCMP'!O:O)</f>
        <v>د 1</v>
      </c>
      <c r="F15" s="1264">
        <f>LOOKUP(A15,'VAC-TCMP'!A:A,'VAC-TCMP'!P:P)</f>
        <v>200</v>
      </c>
      <c r="G15" s="1264" t="str">
        <f>LOOKUP(A15,'VAC-TCMP'!A:A,'VAC-TCMP'!Q:Q)</f>
        <v xml:space="preserve">19 X 1,40% </v>
      </c>
      <c r="H15" s="1265">
        <f t="shared" ref="H15:H21" si="0">N15-K15-L15-J15-M15-I15</f>
        <v>14276.68</v>
      </c>
      <c r="I15" s="1265">
        <f>LOOKUP(A15,'ورقة العمل'!J:J,'ورقة العمل'!N:N)</f>
        <v>0</v>
      </c>
      <c r="J15" s="1265">
        <f t="shared" ref="J15:J21" si="1">ROUND( (N15-W15-M15-K15-L15 )*X15/30,2)</f>
        <v>481.57</v>
      </c>
      <c r="K15" s="1265">
        <f>LOOKUP(A15,'VAC-TCMP'!A:A,'VAC-TCMP'!AJ:AJ)</f>
        <v>1459.61</v>
      </c>
      <c r="L15" s="1266">
        <f>LOOKUP(A15,'VAC-TCMP'!A:A,'VAC-TCMP'!AL:AL)</f>
        <v>0</v>
      </c>
      <c r="M15" s="1266">
        <f>LOOKUP(A15,'VAC-TCMP'!A:A,'VAC-TCMP'!AM:AM)</f>
        <v>0</v>
      </c>
      <c r="N15" s="1265">
        <f>LOOKUP(A15,'VAC-TCMP'!A:A,'VAC-TCMP'!AH:AH)</f>
        <v>16217.86</v>
      </c>
      <c r="O15" s="1265">
        <f>LOOKUP(A15,'VAC-TCMP'!A:A,'VAC-TCMP'!AG:AG)</f>
        <v>7446.6</v>
      </c>
      <c r="P15" s="1265">
        <f>(VLOOKUP(A15,BDVACT,'VAC-TCMP'!$A$2+27,FALSE))</f>
        <v>1725.41</v>
      </c>
      <c r="Q15" s="1265">
        <f>(VLOOKUP(A15,BDVACT,'VAC-TCMP'!$A$2+29,FALSE))</f>
        <v>0</v>
      </c>
      <c r="R15" s="1265">
        <f>(VLOOKUP(A15,BDVACT,'VAC-TCMP'!$A$2+28,FALSE))</f>
        <v>0</v>
      </c>
      <c r="S15" s="1265">
        <f>(VLOOKUP(A15,BDVACT,'VAC-TCMP'!$A$2+26,FALSE))</f>
        <v>4664.1000000000004</v>
      </c>
      <c r="T15" s="1265">
        <f>(VLOOKUP(A15,BDVACT,'VAC-TCMP'!$A$2+30,FALSE))</f>
        <v>690.17</v>
      </c>
      <c r="U15" s="1265">
        <f>(VLOOKUP(A15,BDVACT,'VAC-TCMP'!$A$2+31,FALSE))</f>
        <v>1380.33</v>
      </c>
      <c r="V15" s="1267">
        <f>(VLOOKUP(A15,BDVACT,'VAC-TCMP'!$A$2+40,FALSE))</f>
        <v>105</v>
      </c>
      <c r="W15" s="1265">
        <f>(VLOOKUP(A15,BDVACT,'VAC-TCMP'!$A$2+20,FALSE))</f>
        <v>311.25</v>
      </c>
      <c r="X15" s="755">
        <f>LOOKUP(A15,'ورقة العمل'!J:J,'ورقة العمل'!O:O)</f>
        <v>1</v>
      </c>
      <c r="Y15" s="756" t="str">
        <f>(VLOOKUP(A15,BDVACT,'VAC-TCMP'!$A$2+12,FALSE))</f>
        <v>بنك الفلاحة و التنمية الريفية</v>
      </c>
      <c r="Z15" s="750" t="str">
        <f t="shared" ref="Z15:Z21" si="2">$Z$13</f>
        <v>ج</v>
      </c>
      <c r="AB15" s="586"/>
      <c r="AC15" s="586"/>
      <c r="AG15" s="1124" t="str">
        <f t="shared" ref="AG15:AG21" si="3">IF(Y15="لبنك الوطني الجزائري",B15,"")</f>
        <v/>
      </c>
      <c r="AH15" s="1124" t="str">
        <f t="shared" ref="AH15:AH21" si="4">IF(Y15="بنك التنمية المحلية",B15,"")</f>
        <v/>
      </c>
      <c r="AI15" s="1124">
        <f t="shared" ref="AI15:AI21" si="5">IF(Y15="بنك الفلاحة و التنمية الريفية",B15,"")</f>
        <v>1</v>
      </c>
    </row>
    <row r="16" spans="1:54" ht="91.5" customHeight="1">
      <c r="A16" s="754">
        <f>'VAC-TCMP'!A25</f>
        <v>24</v>
      </c>
      <c r="B16" s="1262">
        <v>1</v>
      </c>
      <c r="C16" s="1263" t="str">
        <f>LOOKUP(A16,'VAC-TCMP'!A:A,'VAC-TCMP'!B:B)</f>
        <v>نتيمسلابىلاكؤرمتنىلا</v>
      </c>
      <c r="D16" s="1263">
        <f>LOOKUP(A16,'VAC-TCMP'!A:A,'VAC-TCMP'!L:L)</f>
        <v>5777888888</v>
      </c>
      <c r="E16" s="1264" t="str">
        <f>LOOKUP(A16,'VAC-TCMP'!A:A,'VAC-TCMP'!O:O)</f>
        <v>د 1</v>
      </c>
      <c r="F16" s="1264">
        <f>LOOKUP(A16,'VAC-TCMP'!A:A,'VAC-TCMP'!P:P)</f>
        <v>200</v>
      </c>
      <c r="G16" s="1264" t="str">
        <f>LOOKUP(A16,'VAC-TCMP'!A:A,'VAC-TCMP'!Q:Q)</f>
        <v xml:space="preserve">19 X 1,40% </v>
      </c>
      <c r="H16" s="1265">
        <f t="shared" si="0"/>
        <v>8510.02</v>
      </c>
      <c r="I16" s="1265">
        <f>LOOKUP(A16,'ورقة العمل'!J:J,'ورقة العمل'!N:N)</f>
        <v>5000</v>
      </c>
      <c r="J16" s="1265">
        <f t="shared" si="1"/>
        <v>965</v>
      </c>
      <c r="K16" s="1265">
        <f>LOOKUP(A16,'VAC-TCMP'!A:A,'VAC-TCMP'!AJ:AJ)</f>
        <v>1431.59</v>
      </c>
      <c r="L16" s="1266">
        <f>LOOKUP(A16,'VAC-TCMP'!A:A,'VAC-TCMP'!AL:AL)</f>
        <v>0</v>
      </c>
      <c r="M16" s="1266">
        <f>LOOKUP(A16,'VAC-TCMP'!A:A,'VAC-TCMP'!AM:AM)</f>
        <v>0</v>
      </c>
      <c r="N16" s="1265">
        <f>LOOKUP(A16,'VAC-TCMP'!A:A,'VAC-TCMP'!AH:AH)</f>
        <v>15906.61</v>
      </c>
      <c r="O16" s="1265">
        <f>LOOKUP(A16,'VAC-TCMP'!A:A,'VAC-TCMP'!AG:AG)</f>
        <v>7446.6</v>
      </c>
      <c r="P16" s="1265">
        <f>(VLOOKUP(A16,BDVACT,'VAC-TCMP'!$A$2+27,FALSE))</f>
        <v>1725.41</v>
      </c>
      <c r="Q16" s="1265">
        <f>(VLOOKUP(A16,BDVACT,'VAC-TCMP'!$A$2+29,FALSE))</f>
        <v>0</v>
      </c>
      <c r="R16" s="1265">
        <f>(VLOOKUP(A16,BDVACT,'VAC-TCMP'!$A$2+28,FALSE))</f>
        <v>0</v>
      </c>
      <c r="S16" s="1265">
        <f>(VLOOKUP(A16,BDVACT,'VAC-TCMP'!$A$2+26,FALSE))</f>
        <v>4664.1000000000004</v>
      </c>
      <c r="T16" s="1265">
        <f>(VLOOKUP(A16,BDVACT,'VAC-TCMP'!$A$2+30,FALSE))</f>
        <v>690.17</v>
      </c>
      <c r="U16" s="1265">
        <f>(VLOOKUP(A16,BDVACT,'VAC-TCMP'!$A$2+31,FALSE))</f>
        <v>1380.33</v>
      </c>
      <c r="V16" s="1267">
        <f>(VLOOKUP(A16,BDVACT,'VAC-TCMP'!$A$2+40,FALSE))</f>
        <v>105</v>
      </c>
      <c r="W16" s="1265">
        <f>(VLOOKUP(A16,BDVACT,'VAC-TCMP'!$A$2+20,FALSE))</f>
        <v>0</v>
      </c>
      <c r="X16" s="755">
        <f>LOOKUP(A16,'ورقة العمل'!J:J,'ورقة العمل'!O:O)</f>
        <v>2</v>
      </c>
      <c r="Y16" s="756" t="str">
        <f>(VLOOKUP(A16,BDVACT,'VAC-TCMP'!$A$2+12,FALSE))</f>
        <v>بنك التنمية المحلية</v>
      </c>
      <c r="Z16" s="750" t="str">
        <f t="shared" si="2"/>
        <v>ج</v>
      </c>
      <c r="AB16" s="586"/>
      <c r="AC16" s="586"/>
      <c r="AG16" s="1124" t="str">
        <f t="shared" si="3"/>
        <v/>
      </c>
      <c r="AH16" s="1124">
        <f t="shared" si="4"/>
        <v>1</v>
      </c>
      <c r="AI16" s="1124" t="str">
        <f t="shared" si="5"/>
        <v/>
      </c>
    </row>
    <row r="17" spans="1:48" ht="91.5" customHeight="1">
      <c r="A17" s="754">
        <f>'VAC-TCMP'!A26</f>
        <v>25</v>
      </c>
      <c r="B17" s="1262">
        <v>2</v>
      </c>
      <c r="C17" s="1263" t="str">
        <f>LOOKUP(A17,'VAC-TCMP'!A:A,'VAC-TCMP'!B:B)</f>
        <v>ةىروؤزلاىؤرءزوةلا</v>
      </c>
      <c r="D17" s="1263">
        <f>LOOKUP(A17,'VAC-TCMP'!A:A,'VAC-TCMP'!L:L)</f>
        <v>4355435373</v>
      </c>
      <c r="E17" s="1264" t="str">
        <f>LOOKUP(A17,'VAC-TCMP'!A:A,'VAC-TCMP'!O:O)</f>
        <v>د 1</v>
      </c>
      <c r="F17" s="1264">
        <f>LOOKUP(A17,'VAC-TCMP'!A:A,'VAC-TCMP'!P:P)</f>
        <v>200</v>
      </c>
      <c r="G17" s="1264" t="str">
        <f>LOOKUP(A17,'VAC-TCMP'!A:A,'VAC-TCMP'!Q:Q)</f>
        <v xml:space="preserve">8 X 1,40% </v>
      </c>
      <c r="H17" s="1265">
        <f t="shared" si="0"/>
        <v>8291.68</v>
      </c>
      <c r="I17" s="1265">
        <f>LOOKUP(A17,'ورقة العمل'!J:J,'ورقة العمل'!N:N)</f>
        <v>5000</v>
      </c>
      <c r="J17" s="1265">
        <f t="shared" si="1"/>
        <v>0</v>
      </c>
      <c r="K17" s="1265">
        <f>LOOKUP(A17,'VAC-TCMP'!A:A,'VAC-TCMP'!AJ:AJ)</f>
        <v>1314.56</v>
      </c>
      <c r="L17" s="1266">
        <f>LOOKUP(A17,'VAC-TCMP'!A:A,'VAC-TCMP'!AL:AL)</f>
        <v>0</v>
      </c>
      <c r="M17" s="1266">
        <f>LOOKUP(A17,'VAC-TCMP'!A:A,'VAC-TCMP'!AM:AM)</f>
        <v>0</v>
      </c>
      <c r="N17" s="1265">
        <f>LOOKUP(A17,'VAC-TCMP'!A:A,'VAC-TCMP'!AH:AH)</f>
        <v>14606.24</v>
      </c>
      <c r="O17" s="1265">
        <f>LOOKUP(A17,'VAC-TCMP'!A:A,'VAC-TCMP'!AG:AG)</f>
        <v>6607.65</v>
      </c>
      <c r="P17" s="1265">
        <f>(VLOOKUP(A17,BDVACT,'VAC-TCMP'!$A$2+27,FALSE))</f>
        <v>1515.68</v>
      </c>
      <c r="Q17" s="1265">
        <f>(VLOOKUP(A17,BDVACT,'VAC-TCMP'!$A$2+29,FALSE))</f>
        <v>0</v>
      </c>
      <c r="R17" s="1265">
        <f>(VLOOKUP(A17,BDVACT,'VAC-TCMP'!$A$2+28,FALSE))</f>
        <v>0</v>
      </c>
      <c r="S17" s="1265">
        <f>(VLOOKUP(A17,BDVACT,'VAC-TCMP'!$A$2+26,FALSE))</f>
        <v>4664.1000000000004</v>
      </c>
      <c r="T17" s="1265">
        <f>(VLOOKUP(A17,BDVACT,'VAC-TCMP'!$A$2+30,FALSE))</f>
        <v>606.27</v>
      </c>
      <c r="U17" s="1265">
        <f>(VLOOKUP(A17,BDVACT,'VAC-TCMP'!$A$2+31,FALSE))</f>
        <v>1212.54</v>
      </c>
      <c r="V17" s="1267">
        <f>(VLOOKUP(A17,BDVACT,'VAC-TCMP'!$A$2+40,FALSE))</f>
        <v>105</v>
      </c>
      <c r="W17" s="1265">
        <f>(VLOOKUP(A17,BDVACT,'VAC-TCMP'!$A$2+20,FALSE))</f>
        <v>0</v>
      </c>
      <c r="X17" s="755">
        <f>LOOKUP(A17,'ورقة العمل'!J:J,'ورقة العمل'!O:O)</f>
        <v>0</v>
      </c>
      <c r="Y17" s="756" t="str">
        <f>(VLOOKUP(A17,BDVACT,'VAC-TCMP'!$A$2+12,FALSE))</f>
        <v>بنك التنمية المحلية</v>
      </c>
      <c r="Z17" s="750" t="str">
        <f t="shared" si="2"/>
        <v>ج</v>
      </c>
      <c r="AB17" s="586"/>
      <c r="AC17" s="586"/>
      <c r="AG17" s="1124" t="str">
        <f t="shared" si="3"/>
        <v/>
      </c>
      <c r="AH17" s="1124">
        <f t="shared" si="4"/>
        <v>2</v>
      </c>
      <c r="AI17" s="1124" t="str">
        <f t="shared" si="5"/>
        <v/>
      </c>
    </row>
    <row r="18" spans="1:48" ht="91.5" customHeight="1">
      <c r="A18" s="754">
        <f>'VAC-TCMP'!A27</f>
        <v>26</v>
      </c>
      <c r="B18" s="1262">
        <v>1</v>
      </c>
      <c r="C18" s="1263" t="str">
        <f>LOOKUP(A18,'VAC-TCMP'!A:A,'VAC-TCMP'!B:B)</f>
        <v>منتكبالاسماتلطبات</v>
      </c>
      <c r="D18" s="1263">
        <f>LOOKUP(A18,'VAC-TCMP'!A:A,'VAC-TCMP'!L:L)</f>
        <v>4355435373</v>
      </c>
      <c r="E18" s="1264" t="str">
        <f>LOOKUP(A18,'VAC-TCMP'!A:A,'VAC-TCMP'!O:O)</f>
        <v>د 1</v>
      </c>
      <c r="F18" s="1264">
        <f>LOOKUP(A18,'VAC-TCMP'!A:A,'VAC-TCMP'!P:P)</f>
        <v>200</v>
      </c>
      <c r="G18" s="1264" t="str">
        <f>LOOKUP(A18,'VAC-TCMP'!A:A,'VAC-TCMP'!Q:Q)</f>
        <v xml:space="preserve">4 X 1,40% </v>
      </c>
      <c r="H18" s="1265">
        <f t="shared" si="0"/>
        <v>7364.8</v>
      </c>
      <c r="I18" s="1265">
        <f>LOOKUP(A18,'ورقة العمل'!J:J,'ورقة العمل'!N:N)</f>
        <v>5000</v>
      </c>
      <c r="J18" s="1265">
        <f t="shared" si="1"/>
        <v>0</v>
      </c>
      <c r="K18" s="1265">
        <f>LOOKUP(A18,'VAC-TCMP'!A:A,'VAC-TCMP'!AJ:AJ)</f>
        <v>1222.8900000000001</v>
      </c>
      <c r="L18" s="1266">
        <f>LOOKUP(A18,'VAC-TCMP'!A:A,'VAC-TCMP'!AL:AL)</f>
        <v>0</v>
      </c>
      <c r="M18" s="1266">
        <f>LOOKUP(A18,'VAC-TCMP'!A:A,'VAC-TCMP'!AM:AM)</f>
        <v>0</v>
      </c>
      <c r="N18" s="1265">
        <f>LOOKUP(A18,'VAC-TCMP'!A:A,'VAC-TCMP'!AH:AH)</f>
        <v>13587.69</v>
      </c>
      <c r="O18" s="1265">
        <f>LOOKUP(A18,'VAC-TCMP'!A:A,'VAC-TCMP'!AG:AG)</f>
        <v>5757.15</v>
      </c>
      <c r="P18" s="1265">
        <f>(VLOOKUP(A18,BDVACT,'VAC-TCMP'!$A$2+27,FALSE))</f>
        <v>1439.29</v>
      </c>
      <c r="Q18" s="1265">
        <f>(VLOOKUP(A18,BDVACT,'VAC-TCMP'!$A$2+29,FALSE))</f>
        <v>0</v>
      </c>
      <c r="R18" s="1265">
        <f>(VLOOKUP(A18,BDVACT,'VAC-TCMP'!$A$2+28,FALSE))</f>
        <v>0</v>
      </c>
      <c r="S18" s="1265">
        <f>(VLOOKUP(A18,BDVACT,'VAC-TCMP'!$A$2+26,FALSE))</f>
        <v>4664.1000000000004</v>
      </c>
      <c r="T18" s="1265">
        <f>(VLOOKUP(A18,BDVACT,'VAC-TCMP'!$A$2+30,FALSE))</f>
        <v>575.72</v>
      </c>
      <c r="U18" s="1265">
        <f>(VLOOKUP(A18,BDVACT,'VAC-TCMP'!$A$2+31,FALSE))</f>
        <v>1151.43</v>
      </c>
      <c r="V18" s="1267">
        <f>(VLOOKUP(A18,BDVACT,'VAC-TCMP'!$A$2+40,FALSE))</f>
        <v>105</v>
      </c>
      <c r="W18" s="1265">
        <f>(VLOOKUP(A18,BDVACT,'VAC-TCMP'!$A$2+20,FALSE))</f>
        <v>0</v>
      </c>
      <c r="X18" s="755">
        <f>LOOKUP(A18,'ورقة العمل'!J:J,'ورقة العمل'!O:O)</f>
        <v>0</v>
      </c>
      <c r="Y18" s="756" t="str">
        <f>(VLOOKUP(A18,BDVACT,'VAC-TCMP'!$A$2+12,FALSE))</f>
        <v>الحساب الجاري البريدي</v>
      </c>
      <c r="Z18" s="750" t="str">
        <f t="shared" si="2"/>
        <v>ج</v>
      </c>
      <c r="AB18" s="586"/>
      <c r="AC18" s="586"/>
      <c r="AG18" s="1124" t="str">
        <f t="shared" si="3"/>
        <v/>
      </c>
      <c r="AH18" s="1124" t="str">
        <f t="shared" si="4"/>
        <v/>
      </c>
      <c r="AI18" s="1124" t="str">
        <f t="shared" si="5"/>
        <v/>
      </c>
    </row>
    <row r="19" spans="1:48" ht="91.5" customHeight="1">
      <c r="A19" s="754">
        <f>'VAC-TCMP'!A28</f>
        <v>27</v>
      </c>
      <c r="B19" s="1262">
        <v>2</v>
      </c>
      <c r="C19" s="1263" t="str">
        <f>LOOKUP(A19,'VAC-TCMP'!A:A,'VAC-TCMP'!B:B)</f>
        <v>كسمنتيبسشكيمنلتميبسل</v>
      </c>
      <c r="D19" s="1263">
        <f>LOOKUP(A19,'VAC-TCMP'!A:A,'VAC-TCMP'!L:L)</f>
        <v>4355435373</v>
      </c>
      <c r="E19" s="1264" t="str">
        <f>LOOKUP(A19,'VAC-TCMP'!A:A,'VAC-TCMP'!O:O)</f>
        <v>د 1</v>
      </c>
      <c r="F19" s="1264">
        <f>LOOKUP(A19,'VAC-TCMP'!A:A,'VAC-TCMP'!P:P)</f>
        <v>200</v>
      </c>
      <c r="G19" s="1264" t="str">
        <f>LOOKUP(A19,'VAC-TCMP'!A:A,'VAC-TCMP'!Q:Q)</f>
        <v xml:space="preserve">4 X 1,40% </v>
      </c>
      <c r="H19" s="1265">
        <f t="shared" si="0"/>
        <v>6540.48</v>
      </c>
      <c r="I19" s="1265">
        <f>LOOKUP(A19,'ورقة العمل'!J:J,'ورقة العمل'!N:N)</f>
        <v>5000</v>
      </c>
      <c r="J19" s="1265">
        <f t="shared" si="1"/>
        <v>824.32</v>
      </c>
      <c r="K19" s="1265">
        <f>LOOKUP(A19,'VAC-TCMP'!A:A,'VAC-TCMP'!AJ:AJ)</f>
        <v>1222.8900000000001</v>
      </c>
      <c r="L19" s="1266">
        <f>LOOKUP(A19,'VAC-TCMP'!A:A,'VAC-TCMP'!AL:AL)</f>
        <v>0</v>
      </c>
      <c r="M19" s="1266">
        <f>LOOKUP(A19,'VAC-TCMP'!A:A,'VAC-TCMP'!AM:AM)</f>
        <v>0</v>
      </c>
      <c r="N19" s="1265">
        <f>LOOKUP(A19,'VAC-TCMP'!A:A,'VAC-TCMP'!AH:AH)</f>
        <v>13587.69</v>
      </c>
      <c r="O19" s="1265">
        <f>LOOKUP(A19,'VAC-TCMP'!A:A,'VAC-TCMP'!AG:AG)</f>
        <v>5757.15</v>
      </c>
      <c r="P19" s="1265">
        <f>(VLOOKUP(A19,BDVACT,'VAC-TCMP'!$A$2+27,FALSE))</f>
        <v>1439.29</v>
      </c>
      <c r="Q19" s="1265">
        <f>(VLOOKUP(A19,BDVACT,'VAC-TCMP'!$A$2+29,FALSE))</f>
        <v>0</v>
      </c>
      <c r="R19" s="1265">
        <f>(VLOOKUP(A19,BDVACT,'VAC-TCMP'!$A$2+28,FALSE))</f>
        <v>0</v>
      </c>
      <c r="S19" s="1265">
        <f>(VLOOKUP(A19,BDVACT,'VAC-TCMP'!$A$2+26,FALSE))</f>
        <v>4664.1000000000004</v>
      </c>
      <c r="T19" s="1265">
        <f>(VLOOKUP(A19,BDVACT,'VAC-TCMP'!$A$2+30,FALSE))</f>
        <v>575.72</v>
      </c>
      <c r="U19" s="1265">
        <f>(VLOOKUP(A19,BDVACT,'VAC-TCMP'!$A$2+31,FALSE))</f>
        <v>1151.43</v>
      </c>
      <c r="V19" s="1267">
        <f>(VLOOKUP(A19,BDVACT,'VAC-TCMP'!$A$2+40,FALSE))</f>
        <v>105</v>
      </c>
      <c r="W19" s="1265">
        <f>(VLOOKUP(A19,BDVACT,'VAC-TCMP'!$A$2+20,FALSE))</f>
        <v>0</v>
      </c>
      <c r="X19" s="755">
        <f>LOOKUP(A19,'ورقة العمل'!J:J,'ورقة العمل'!O:O)</f>
        <v>2</v>
      </c>
      <c r="Y19" s="756" t="str">
        <f>(VLOOKUP(A19,BDVACT,'VAC-TCMP'!$A$2+12,FALSE))</f>
        <v>الحساب الجاري البريدي</v>
      </c>
      <c r="Z19" s="750" t="str">
        <f t="shared" si="2"/>
        <v>ج</v>
      </c>
      <c r="AB19" s="586"/>
      <c r="AC19" s="586"/>
      <c r="AG19" s="1124" t="str">
        <f t="shared" si="3"/>
        <v/>
      </c>
      <c r="AH19" s="1124" t="str">
        <f t="shared" si="4"/>
        <v/>
      </c>
      <c r="AI19" s="1124" t="str">
        <f t="shared" si="5"/>
        <v/>
      </c>
    </row>
    <row r="20" spans="1:48" ht="91.5" customHeight="1">
      <c r="A20" s="754">
        <f>'VAC-TCMP'!A29</f>
        <v>28</v>
      </c>
      <c r="B20" s="1262">
        <v>3</v>
      </c>
      <c r="C20" s="1263" t="str">
        <f>LOOKUP(A20,'VAC-TCMP'!A:A,'VAC-TCMP'!B:B)</f>
        <v>نتبلشبنيمتلنمبيل</v>
      </c>
      <c r="D20" s="1263">
        <f>LOOKUP(A20,'VAC-TCMP'!A:A,'VAC-TCMP'!L:L)</f>
        <v>4355435373</v>
      </c>
      <c r="E20" s="1264" t="str">
        <f>LOOKUP(A20,'VAC-TCMP'!A:A,'VAC-TCMP'!O:O)</f>
        <v>د 1</v>
      </c>
      <c r="F20" s="1264">
        <f>LOOKUP(A20,'VAC-TCMP'!A:A,'VAC-TCMP'!P:P)</f>
        <v>200</v>
      </c>
      <c r="G20" s="1264" t="str">
        <f>LOOKUP(A20,'VAC-TCMP'!A:A,'VAC-TCMP'!Q:Q)</f>
        <v xml:space="preserve">3 X 1,40% </v>
      </c>
      <c r="H20" s="1265">
        <f t="shared" si="0"/>
        <v>12256.68</v>
      </c>
      <c r="I20" s="1265">
        <f>LOOKUP(A20,'ورقة العمل'!J:J,'ورقة العمل'!N:N)</f>
        <v>0</v>
      </c>
      <c r="J20" s="1265">
        <f t="shared" si="1"/>
        <v>0</v>
      </c>
      <c r="K20" s="1265">
        <f>LOOKUP(A20,'VAC-TCMP'!A:A,'VAC-TCMP'!AJ:AJ)</f>
        <v>1212.2</v>
      </c>
      <c r="L20" s="1266">
        <f>LOOKUP(A20,'VAC-TCMP'!A:A,'VAC-TCMP'!AL:AL)</f>
        <v>0</v>
      </c>
      <c r="M20" s="1266">
        <f>LOOKUP(A20,'VAC-TCMP'!A:A,'VAC-TCMP'!AM:AM)</f>
        <v>0</v>
      </c>
      <c r="N20" s="1265">
        <f>LOOKUP(A20,'VAC-TCMP'!A:A,'VAC-TCMP'!AH:AH)</f>
        <v>13468.88</v>
      </c>
      <c r="O20" s="1265">
        <f>LOOKUP(A20,'VAC-TCMP'!A:A,'VAC-TCMP'!AG:AG)</f>
        <v>5680.5</v>
      </c>
      <c r="P20" s="1265">
        <f>(VLOOKUP(A20,BDVACT,'VAC-TCMP'!$A$2+27,FALSE))</f>
        <v>1420.13</v>
      </c>
      <c r="Q20" s="1265">
        <f>(VLOOKUP(A20,BDVACT,'VAC-TCMP'!$A$2+29,FALSE))</f>
        <v>0</v>
      </c>
      <c r="R20" s="1265">
        <f>(VLOOKUP(A20,BDVACT,'VAC-TCMP'!$A$2+28,FALSE))</f>
        <v>0</v>
      </c>
      <c r="S20" s="1265">
        <f>(VLOOKUP(A20,BDVACT,'VAC-TCMP'!$A$2+26,FALSE))</f>
        <v>4664.1000000000004</v>
      </c>
      <c r="T20" s="1265">
        <f>(VLOOKUP(A20,BDVACT,'VAC-TCMP'!$A$2+30,FALSE))</f>
        <v>568.04999999999995</v>
      </c>
      <c r="U20" s="1265">
        <f>(VLOOKUP(A20,BDVACT,'VAC-TCMP'!$A$2+31,FALSE))</f>
        <v>1136.0999999999999</v>
      </c>
      <c r="V20" s="1267">
        <f>(VLOOKUP(A20,BDVACT,'VAC-TCMP'!$A$2+40,FALSE))</f>
        <v>105</v>
      </c>
      <c r="W20" s="1265">
        <f>(VLOOKUP(A20,BDVACT,'VAC-TCMP'!$A$2+20,FALSE))</f>
        <v>0</v>
      </c>
      <c r="X20" s="755">
        <f>LOOKUP(A20,'ورقة العمل'!J:J,'ورقة العمل'!O:O)</f>
        <v>0</v>
      </c>
      <c r="Y20" s="756" t="str">
        <f>(VLOOKUP(A20,BDVACT,'VAC-TCMP'!$A$2+12,FALSE))</f>
        <v>الحساب الجاري البريدي</v>
      </c>
      <c r="Z20" s="750" t="str">
        <f t="shared" si="2"/>
        <v>ج</v>
      </c>
      <c r="AB20" s="586"/>
      <c r="AC20" s="586"/>
      <c r="AG20" s="1124" t="str">
        <f t="shared" si="3"/>
        <v/>
      </c>
      <c r="AH20" s="1124" t="str">
        <f t="shared" si="4"/>
        <v/>
      </c>
      <c r="AI20" s="1124" t="str">
        <f t="shared" si="5"/>
        <v/>
      </c>
    </row>
    <row r="21" spans="1:48" ht="91.5" customHeight="1" thickBot="1">
      <c r="A21" s="754">
        <f>'VAC-TCMP'!A30</f>
        <v>29</v>
      </c>
      <c r="B21" s="1262">
        <v>4</v>
      </c>
      <c r="C21" s="1263" t="str">
        <f>LOOKUP(A21,'VAC-TCMP'!A:A,'VAC-TCMP'!B:B)</f>
        <v>منيبتطلنبيشتطتمنتل</v>
      </c>
      <c r="D21" s="1263">
        <f>LOOKUP(A21,'VAC-TCMP'!A:A,'VAC-TCMP'!L:L)</f>
        <v>4355435373</v>
      </c>
      <c r="E21" s="1264" t="str">
        <f>LOOKUP(A21,'VAC-TCMP'!A:A,'VAC-TCMP'!O:O)</f>
        <v>د 1</v>
      </c>
      <c r="F21" s="1264">
        <f>LOOKUP(A21,'VAC-TCMP'!A:A,'VAC-TCMP'!P:P)</f>
        <v>200</v>
      </c>
      <c r="G21" s="1264" t="str">
        <f>LOOKUP(A21,'VAC-TCMP'!A:A,'VAC-TCMP'!Q:Q)</f>
        <v xml:space="preserve">3 X 1,40% </v>
      </c>
      <c r="H21" s="1265">
        <f t="shared" si="0"/>
        <v>12256.68</v>
      </c>
      <c r="I21" s="1265">
        <f>LOOKUP(A21,'ورقة العمل'!J:J,'ورقة العمل'!N:N)</f>
        <v>0</v>
      </c>
      <c r="J21" s="1265">
        <f t="shared" si="1"/>
        <v>0</v>
      </c>
      <c r="K21" s="1265">
        <f>LOOKUP(A21,'VAC-TCMP'!A:A,'VAC-TCMP'!AJ:AJ)</f>
        <v>1212.2</v>
      </c>
      <c r="L21" s="1266">
        <f>LOOKUP(A21,'VAC-TCMP'!A:A,'VAC-TCMP'!AL:AL)</f>
        <v>0</v>
      </c>
      <c r="M21" s="1266">
        <f>LOOKUP(A21,'VAC-TCMP'!A:A,'VAC-TCMP'!AM:AM)</f>
        <v>0</v>
      </c>
      <c r="N21" s="1265">
        <f>LOOKUP(A21,'VAC-TCMP'!A:A,'VAC-TCMP'!AH:AH)</f>
        <v>13468.88</v>
      </c>
      <c r="O21" s="1265">
        <f>LOOKUP(A21,'VAC-TCMP'!A:A,'VAC-TCMP'!AG:AG)</f>
        <v>5680.5</v>
      </c>
      <c r="P21" s="1265">
        <f>(VLOOKUP(A21,BDVACT,'VAC-TCMP'!$A$2+27,FALSE))</f>
        <v>1420.13</v>
      </c>
      <c r="Q21" s="1265">
        <f>(VLOOKUP(A21,BDVACT,'VAC-TCMP'!$A$2+29,FALSE))</f>
        <v>0</v>
      </c>
      <c r="R21" s="1265">
        <f>(VLOOKUP(A21,BDVACT,'VAC-TCMP'!$A$2+28,FALSE))</f>
        <v>0</v>
      </c>
      <c r="S21" s="1265">
        <f>(VLOOKUP(A21,BDVACT,'VAC-TCMP'!$A$2+26,FALSE))</f>
        <v>4664.1000000000004</v>
      </c>
      <c r="T21" s="1265">
        <f>(VLOOKUP(A21,BDVACT,'VAC-TCMP'!$A$2+30,FALSE))</f>
        <v>568.04999999999995</v>
      </c>
      <c r="U21" s="1265">
        <f>(VLOOKUP(A21,BDVACT,'VAC-TCMP'!$A$2+31,FALSE))</f>
        <v>1136.0999999999999</v>
      </c>
      <c r="V21" s="1267">
        <f>(VLOOKUP(A21,BDVACT,'VAC-TCMP'!$A$2+40,FALSE))</f>
        <v>105</v>
      </c>
      <c r="W21" s="1265">
        <f>(VLOOKUP(A21,BDVACT,'VAC-TCMP'!$A$2+20,FALSE))</f>
        <v>0</v>
      </c>
      <c r="X21" s="755">
        <f>LOOKUP(A21,'ورقة العمل'!J:J,'ورقة العمل'!O:O)</f>
        <v>0</v>
      </c>
      <c r="Y21" s="756" t="str">
        <f>(VLOOKUP(A21,BDVACT,'VAC-TCMP'!$A$2+12,FALSE))</f>
        <v>الحساب الجاري البريدي</v>
      </c>
      <c r="Z21" s="750" t="str">
        <f t="shared" si="2"/>
        <v>ج</v>
      </c>
      <c r="AB21" s="586"/>
      <c r="AC21" s="586"/>
      <c r="AG21" s="1124" t="str">
        <f t="shared" si="3"/>
        <v/>
      </c>
      <c r="AH21" s="1124" t="str">
        <f t="shared" si="4"/>
        <v/>
      </c>
      <c r="AI21" s="1124" t="str">
        <f t="shared" si="5"/>
        <v/>
      </c>
    </row>
    <row r="22" spans="1:48" s="751" customFormat="1" ht="132" customHeight="1" thickBot="1">
      <c r="A22" s="747"/>
      <c r="B22" s="1725" t="s">
        <v>32</v>
      </c>
      <c r="C22" s="1726"/>
      <c r="D22" s="1726"/>
      <c r="E22" s="1726"/>
      <c r="F22" s="1726"/>
      <c r="G22" s="1727"/>
      <c r="H22" s="1259">
        <f>SUMIF(Y15:Y21,Y22,H15:H21)</f>
        <v>16801.7</v>
      </c>
      <c r="I22" s="1259">
        <f>SUMIF(Y15:Y21,Y22,I15:I21)</f>
        <v>10000</v>
      </c>
      <c r="J22" s="1260">
        <f>SUMIF(Y15:Y21,Y22,J15:J21)</f>
        <v>965</v>
      </c>
      <c r="K22" s="1259">
        <f>SUMIF(Y15:Y21,Y22,K15:K21)</f>
        <v>2746.15</v>
      </c>
      <c r="L22" s="1259">
        <f>SUMIF(Y15:Y21,Y22,L15:L21)</f>
        <v>0</v>
      </c>
      <c r="M22" s="1260">
        <f>SUMIF(Y15:Y21,Y22,M15:M21)</f>
        <v>0</v>
      </c>
      <c r="N22" s="1260">
        <f>SUMIF(Y15:Y21,Y22,N15:N21)</f>
        <v>30512.85</v>
      </c>
      <c r="O22" s="1260">
        <f>SUMIF(Y15:Y21,Y22,O15:O21)</f>
        <v>14054.25</v>
      </c>
      <c r="P22" s="1260">
        <f>SUMIF(Y15:Y21,Y22,P15:P21)</f>
        <v>3241.09</v>
      </c>
      <c r="Q22" s="1260">
        <f>SUMIF(Y15:Y21,Y22,Q15:Q21)</f>
        <v>0</v>
      </c>
      <c r="R22" s="1260">
        <f>SUMIF(Y15:Y21,Y22,R15:R21)</f>
        <v>0</v>
      </c>
      <c r="S22" s="1260">
        <f>SUMIF(Y15:Y21,Y22,S15:S21)</f>
        <v>9328.2000000000007</v>
      </c>
      <c r="T22" s="1260">
        <f>SUMIF(Y15:Y21,Y22,T15:T21)</f>
        <v>1296.44</v>
      </c>
      <c r="U22" s="1260">
        <f>SUMIF(Y15:Y21,Y22,U15:U21)</f>
        <v>2592.87</v>
      </c>
      <c r="V22" s="1260"/>
      <c r="W22" s="1260">
        <f>SUMIF(Y15:Y21,Y22,W15:W21)</f>
        <v>0</v>
      </c>
      <c r="X22" s="763"/>
      <c r="Y22" s="813" t="s">
        <v>561</v>
      </c>
      <c r="Z22" s="764">
        <f>AD1</f>
        <v>0</v>
      </c>
      <c r="AD22" s="698"/>
      <c r="AE22" s="765"/>
      <c r="AF22" s="698"/>
      <c r="AG22" s="749"/>
      <c r="AH22" s="698"/>
      <c r="AI22" s="749"/>
      <c r="AJ22" s="698"/>
      <c r="AK22" s="753"/>
      <c r="AM22" s="753"/>
      <c r="AO22" s="753"/>
      <c r="AQ22" s="753"/>
      <c r="AU22" s="766"/>
      <c r="AV22" s="766"/>
    </row>
    <row r="23" spans="1:48" s="708" customFormat="1" ht="88.5" customHeight="1">
      <c r="A23" s="704"/>
      <c r="B23" s="720"/>
      <c r="C23" s="938" t="s">
        <v>574</v>
      </c>
      <c r="D23" s="939">
        <f>N22</f>
        <v>30512.85</v>
      </c>
      <c r="E23" s="769" t="s">
        <v>575</v>
      </c>
      <c r="F23" s="720"/>
      <c r="G23" s="770" t="str">
        <f>[1]!Arreta(E27)</f>
        <v>ثمانية وثلاثون ألف ومائة وواحد وأربعون دينار جزائري وستة سنتيمات</v>
      </c>
      <c r="H23" s="722"/>
      <c r="I23" s="722"/>
      <c r="J23" s="720"/>
      <c r="K23" s="722"/>
      <c r="L23" s="722"/>
      <c r="M23" s="721"/>
      <c r="N23" s="722"/>
      <c r="O23" s="720"/>
      <c r="P23" s="720"/>
      <c r="Q23" s="720"/>
      <c r="R23" s="720"/>
      <c r="S23" s="720"/>
      <c r="T23" s="720"/>
      <c r="U23" s="720"/>
      <c r="V23" s="720"/>
      <c r="W23" s="720"/>
      <c r="X23" s="706"/>
      <c r="Y23" s="813" t="s">
        <v>561</v>
      </c>
      <c r="AD23" s="709"/>
      <c r="AE23" s="771"/>
      <c r="AF23" s="709"/>
      <c r="AG23" s="707"/>
      <c r="AH23" s="709"/>
      <c r="AI23" s="707"/>
      <c r="AJ23" s="709"/>
      <c r="AK23" s="710"/>
      <c r="AM23" s="710"/>
      <c r="AO23" s="710"/>
      <c r="AQ23" s="710"/>
      <c r="AU23" s="772"/>
      <c r="AV23" s="772"/>
    </row>
    <row r="24" spans="1:48" s="708" customFormat="1" ht="67.5" customHeight="1">
      <c r="A24" s="704"/>
      <c r="B24" s="720"/>
      <c r="C24" s="1711" t="s">
        <v>576</v>
      </c>
      <c r="D24" s="1711"/>
      <c r="E24" s="1717">
        <f>ROUND((N22-W22)*23.75%,2)</f>
        <v>7246.8</v>
      </c>
      <c r="F24" s="1717"/>
      <c r="G24" s="773"/>
      <c r="H24" s="722"/>
      <c r="I24" s="722"/>
      <c r="J24" s="720"/>
      <c r="K24" s="722"/>
      <c r="L24" s="722"/>
      <c r="M24" s="721"/>
      <c r="N24" s="722"/>
      <c r="O24" s="720"/>
      <c r="P24" s="720"/>
      <c r="Q24" s="720"/>
      <c r="R24" s="720"/>
      <c r="S24" s="720"/>
      <c r="T24" s="720"/>
      <c r="U24" s="720"/>
      <c r="V24" s="720"/>
      <c r="W24" s="720"/>
      <c r="X24" s="706"/>
      <c r="Y24" s="813" t="s">
        <v>561</v>
      </c>
      <c r="AD24" s="709"/>
      <c r="AE24" s="771"/>
      <c r="AF24" s="709"/>
      <c r="AG24" s="707"/>
      <c r="AH24" s="709"/>
      <c r="AI24" s="707"/>
      <c r="AJ24" s="709"/>
      <c r="AK24" s="710"/>
      <c r="AM24" s="710"/>
      <c r="AO24" s="710"/>
      <c r="AQ24" s="710"/>
      <c r="AU24" s="772"/>
      <c r="AV24" s="772"/>
    </row>
    <row r="25" spans="1:48" s="708" customFormat="1" ht="67.5" customHeight="1">
      <c r="A25" s="704"/>
      <c r="B25" s="720"/>
      <c r="C25" s="1711" t="s">
        <v>577</v>
      </c>
      <c r="D25" s="1711"/>
      <c r="E25" s="1717">
        <f>ROUND((N22-W22)*1%,2)</f>
        <v>305.13</v>
      </c>
      <c r="F25" s="1717"/>
      <c r="G25" s="773"/>
      <c r="H25" s="722"/>
      <c r="I25" s="722"/>
      <c r="J25" s="720"/>
      <c r="K25" s="722"/>
      <c r="L25" s="722"/>
      <c r="M25" s="721"/>
      <c r="N25" s="722"/>
      <c r="O25" s="720"/>
      <c r="P25" s="720"/>
      <c r="Q25" s="720"/>
      <c r="R25" s="720"/>
      <c r="S25" s="720"/>
      <c r="T25" s="720"/>
      <c r="U25" s="720"/>
      <c r="V25" s="720"/>
      <c r="W25" s="720"/>
      <c r="X25" s="706"/>
      <c r="Y25" s="813" t="s">
        <v>561</v>
      </c>
      <c r="AD25" s="709"/>
      <c r="AE25" s="771"/>
      <c r="AF25" s="709"/>
      <c r="AG25" s="707"/>
      <c r="AH25" s="709"/>
      <c r="AI25" s="707"/>
      <c r="AJ25" s="709"/>
      <c r="AK25" s="710"/>
      <c r="AM25" s="710"/>
      <c r="AO25" s="710"/>
      <c r="AQ25" s="710"/>
      <c r="AU25" s="772"/>
      <c r="AV25" s="772"/>
    </row>
    <row r="26" spans="1:48" s="708" customFormat="1" ht="67.5" customHeight="1" thickBot="1">
      <c r="A26" s="704"/>
      <c r="B26" s="720"/>
      <c r="C26" s="1711" t="s">
        <v>578</v>
      </c>
      <c r="D26" s="1711"/>
      <c r="E26" s="1712">
        <f>ROUND((N22-W22)*0.25%,2)</f>
        <v>76.28</v>
      </c>
      <c r="F26" s="1712"/>
      <c r="G26" s="773"/>
      <c r="H26" s="722"/>
      <c r="I26" s="722"/>
      <c r="J26" s="1341">
        <f>الرئيسية!$N$10</f>
        <v>43617</v>
      </c>
      <c r="K26" s="722"/>
      <c r="L26" s="722"/>
      <c r="M26" s="721"/>
      <c r="N26" s="722"/>
      <c r="O26" s="720"/>
      <c r="P26" s="720"/>
      <c r="Q26" s="720"/>
      <c r="R26" s="720"/>
      <c r="S26" s="720"/>
      <c r="T26" s="720"/>
      <c r="U26" s="720"/>
      <c r="V26" s="720"/>
      <c r="W26" s="720"/>
      <c r="X26" s="706"/>
      <c r="Y26" s="813" t="s">
        <v>561</v>
      </c>
      <c r="AD26" s="709"/>
      <c r="AE26" s="771"/>
      <c r="AF26" s="709"/>
      <c r="AG26" s="707"/>
      <c r="AH26" s="709"/>
      <c r="AI26" s="707"/>
      <c r="AJ26" s="709"/>
      <c r="AK26" s="710"/>
      <c r="AM26" s="710"/>
      <c r="AO26" s="710"/>
      <c r="AQ26" s="710"/>
      <c r="AU26" s="772"/>
      <c r="AV26" s="772"/>
    </row>
    <row r="27" spans="1:48" s="708" customFormat="1" ht="88.5">
      <c r="A27" s="704"/>
      <c r="B27" s="719"/>
      <c r="D27" s="774"/>
      <c r="E27" s="1713">
        <f>E24+E25+E26+D23</f>
        <v>38141.06</v>
      </c>
      <c r="F27" s="1713"/>
      <c r="G27" s="1713"/>
      <c r="H27" s="720"/>
      <c r="I27" s="720"/>
      <c r="J27" s="720"/>
      <c r="K27" s="720"/>
      <c r="L27" s="720"/>
      <c r="M27" s="775"/>
      <c r="N27" s="722"/>
      <c r="O27" s="776"/>
      <c r="P27" s="720"/>
      <c r="Q27" s="720"/>
      <c r="R27" s="720"/>
      <c r="S27" s="720"/>
      <c r="T27" s="777"/>
      <c r="U27" s="720"/>
      <c r="V27" s="720"/>
      <c r="W27" s="720"/>
      <c r="X27" s="706"/>
      <c r="Y27" s="813" t="s">
        <v>561</v>
      </c>
      <c r="AD27" s="709"/>
      <c r="AE27" s="709"/>
      <c r="AF27" s="709"/>
      <c r="AG27" s="707"/>
      <c r="AH27" s="709"/>
      <c r="AI27" s="707"/>
      <c r="AJ27" s="709"/>
      <c r="AK27" s="710"/>
      <c r="AM27" s="710"/>
      <c r="AO27" s="710"/>
      <c r="AQ27" s="710"/>
      <c r="AU27" s="772"/>
      <c r="AV27" s="772"/>
    </row>
    <row r="28" spans="1:48" ht="27.75">
      <c r="F28" s="623"/>
      <c r="Y28" s="813"/>
      <c r="AB28" s="586"/>
      <c r="AC28" s="586"/>
    </row>
    <row r="29" spans="1:48" ht="28.5" thickBot="1">
      <c r="Y29" s="813"/>
      <c r="AB29" s="586"/>
      <c r="AC29" s="586"/>
    </row>
    <row r="30" spans="1:48" s="751" customFormat="1" ht="132" customHeight="1" thickBot="1">
      <c r="A30" s="747"/>
      <c r="B30" s="1725" t="s">
        <v>32</v>
      </c>
      <c r="C30" s="1726"/>
      <c r="D30" s="1726"/>
      <c r="E30" s="1726"/>
      <c r="F30" s="1726"/>
      <c r="G30" s="1727"/>
      <c r="H30" s="1259">
        <f>SUMIF(Y15:Y21,Y30,H15:H21)</f>
        <v>0</v>
      </c>
      <c r="I30" s="1259">
        <f>SUMIF(Y15:Y21,Y30,I15:I21)</f>
        <v>0</v>
      </c>
      <c r="J30" s="1260">
        <f>SUMIF(Y15:Y21,Y30,J15:J21)</f>
        <v>0</v>
      </c>
      <c r="K30" s="1259">
        <f>SUMIF(Y15:Y21,Y30,K15:K21)</f>
        <v>0</v>
      </c>
      <c r="L30" s="1259">
        <f>SUMIF(Y15:Y21,Y30,L15:L21)</f>
        <v>0</v>
      </c>
      <c r="M30" s="1260">
        <f>SUMIF(Y15:Y21,Y30,M15:M21)</f>
        <v>0</v>
      </c>
      <c r="N30" s="1260">
        <f>SUMIF(Y15:Y21,Y30,N15:N21)</f>
        <v>0</v>
      </c>
      <c r="O30" s="1260">
        <f>SUMIF(Y15:Y21,Y30,O15:O21)</f>
        <v>0</v>
      </c>
      <c r="P30" s="1260">
        <f>SUMIF(Y15:Y21,Y30,P15:P21)</f>
        <v>0</v>
      </c>
      <c r="Q30" s="1260">
        <f>SUMIF(Y15:Y21,Y30,Q15:Q21)</f>
        <v>0</v>
      </c>
      <c r="R30" s="1260">
        <f>SUMIF(Y15:Y21,Y30,R15:R21)</f>
        <v>0</v>
      </c>
      <c r="S30" s="1260">
        <f>SUMIF(Y15:Y21,Y30,S15:S21)</f>
        <v>0</v>
      </c>
      <c r="T30" s="1260">
        <f>SUMIF(Y15:Y21,Y30,T15:T21)</f>
        <v>0</v>
      </c>
      <c r="U30" s="1260">
        <f>SUMIF(Y15:Y21,Y30,U15:U21)</f>
        <v>0</v>
      </c>
      <c r="V30" s="1260">
        <f>SUMIF(Y15:Y21,Y30,V15:V21)</f>
        <v>0</v>
      </c>
      <c r="W30" s="1260">
        <f>SUMIF(Y15:Y21,Y30,W15:W21)</f>
        <v>0</v>
      </c>
      <c r="X30" s="763"/>
      <c r="Y30" s="813" t="s">
        <v>550</v>
      </c>
      <c r="Z30" s="764">
        <f>Z22+1</f>
        <v>1</v>
      </c>
      <c r="AD30" s="698"/>
      <c r="AE30" s="765"/>
      <c r="AF30" s="698"/>
      <c r="AG30" s="749"/>
      <c r="AH30" s="698"/>
      <c r="AI30" s="749"/>
      <c r="AJ30" s="698"/>
      <c r="AK30" s="753"/>
      <c r="AM30" s="753"/>
      <c r="AO30" s="753"/>
      <c r="AQ30" s="753"/>
      <c r="AU30" s="766"/>
      <c r="AV30" s="766"/>
    </row>
    <row r="31" spans="1:48" s="708" customFormat="1" ht="88.5" customHeight="1">
      <c r="A31" s="704"/>
      <c r="B31" s="720"/>
      <c r="C31" s="938" t="s">
        <v>574</v>
      </c>
      <c r="D31" s="939">
        <f>N30</f>
        <v>0</v>
      </c>
      <c r="E31" s="769" t="s">
        <v>575</v>
      </c>
      <c r="F31" s="720"/>
      <c r="G31" s="770" t="str">
        <f>[1]!Arreta(E35)</f>
        <v/>
      </c>
      <c r="H31" s="722"/>
      <c r="I31" s="722"/>
      <c r="J31" s="720"/>
      <c r="K31" s="722"/>
      <c r="L31" s="722"/>
      <c r="M31" s="721"/>
      <c r="N31" s="722"/>
      <c r="O31" s="720"/>
      <c r="P31" s="720"/>
      <c r="Q31" s="720"/>
      <c r="R31" s="720"/>
      <c r="S31" s="720"/>
      <c r="T31" s="720"/>
      <c r="U31" s="720"/>
      <c r="V31" s="720"/>
      <c r="W31" s="720"/>
      <c r="X31" s="706"/>
      <c r="Y31" s="813" t="s">
        <v>550</v>
      </c>
      <c r="AD31" s="709"/>
      <c r="AE31" s="771"/>
      <c r="AF31" s="709"/>
      <c r="AG31" s="707"/>
      <c r="AH31" s="709"/>
      <c r="AI31" s="707"/>
      <c r="AJ31" s="709"/>
      <c r="AK31" s="710"/>
      <c r="AM31" s="710"/>
      <c r="AO31" s="710"/>
      <c r="AQ31" s="710"/>
      <c r="AU31" s="772"/>
      <c r="AV31" s="772"/>
    </row>
    <row r="32" spans="1:48" s="708" customFormat="1" ht="67.5" customHeight="1">
      <c r="A32" s="704"/>
      <c r="B32" s="720"/>
      <c r="C32" s="1711" t="s">
        <v>576</v>
      </c>
      <c r="D32" s="1711"/>
      <c r="E32" s="1717">
        <f>ROUND((N30-W30)*23.75%,2)</f>
        <v>0</v>
      </c>
      <c r="F32" s="1717"/>
      <c r="G32" s="773"/>
      <c r="H32" s="722"/>
      <c r="I32" s="722"/>
      <c r="J32" s="720"/>
      <c r="K32" s="722"/>
      <c r="L32" s="722"/>
      <c r="M32" s="721"/>
      <c r="N32" s="722"/>
      <c r="O32" s="720"/>
      <c r="P32" s="720"/>
      <c r="Q32" s="720"/>
      <c r="R32" s="720"/>
      <c r="S32" s="720"/>
      <c r="T32" s="720"/>
      <c r="U32" s="720"/>
      <c r="V32" s="720"/>
      <c r="W32" s="720"/>
      <c r="X32" s="706"/>
      <c r="Y32" s="813" t="s">
        <v>550</v>
      </c>
      <c r="AD32" s="709"/>
      <c r="AE32" s="771"/>
      <c r="AF32" s="709"/>
      <c r="AG32" s="707"/>
      <c r="AH32" s="709"/>
      <c r="AI32" s="707"/>
      <c r="AJ32" s="709"/>
      <c r="AK32" s="710"/>
      <c r="AM32" s="710"/>
      <c r="AO32" s="710"/>
      <c r="AQ32" s="710"/>
      <c r="AU32" s="772"/>
      <c r="AV32" s="772"/>
    </row>
    <row r="33" spans="1:48" s="708" customFormat="1" ht="67.5" customHeight="1">
      <c r="A33" s="704"/>
      <c r="B33" s="720"/>
      <c r="C33" s="1711" t="s">
        <v>577</v>
      </c>
      <c r="D33" s="1711"/>
      <c r="E33" s="1717">
        <f>ROUND((N30-W30)*1%,2)</f>
        <v>0</v>
      </c>
      <c r="F33" s="1717"/>
      <c r="G33" s="773"/>
      <c r="H33" s="722"/>
      <c r="I33" s="722"/>
      <c r="J33" s="720"/>
      <c r="K33" s="722"/>
      <c r="L33" s="722"/>
      <c r="M33" s="721"/>
      <c r="N33" s="722"/>
      <c r="O33" s="720"/>
      <c r="P33" s="720"/>
      <c r="Q33" s="720"/>
      <c r="R33" s="720"/>
      <c r="S33" s="720"/>
      <c r="T33" s="720"/>
      <c r="U33" s="720"/>
      <c r="V33" s="720"/>
      <c r="W33" s="720"/>
      <c r="X33" s="706"/>
      <c r="Y33" s="813" t="s">
        <v>550</v>
      </c>
      <c r="AD33" s="709"/>
      <c r="AE33" s="771"/>
      <c r="AF33" s="709"/>
      <c r="AG33" s="707"/>
      <c r="AH33" s="709"/>
      <c r="AI33" s="707"/>
      <c r="AJ33" s="709"/>
      <c r="AK33" s="710"/>
      <c r="AM33" s="710"/>
      <c r="AO33" s="710"/>
      <c r="AQ33" s="710"/>
      <c r="AU33" s="772"/>
      <c r="AV33" s="772"/>
    </row>
    <row r="34" spans="1:48" s="708" customFormat="1" ht="67.5" customHeight="1" thickBot="1">
      <c r="A34" s="704"/>
      <c r="B34" s="720"/>
      <c r="C34" s="1711" t="s">
        <v>578</v>
      </c>
      <c r="D34" s="1711"/>
      <c r="E34" s="1712">
        <f>ROUND((N30-W30)*0.25%,2)</f>
        <v>0</v>
      </c>
      <c r="F34" s="1712"/>
      <c r="G34" s="773"/>
      <c r="H34" s="722"/>
      <c r="I34" s="722"/>
      <c r="J34" s="1341">
        <f>الرئيسية!$N$10</f>
        <v>43617</v>
      </c>
      <c r="K34" s="722"/>
      <c r="L34" s="722"/>
      <c r="M34" s="721"/>
      <c r="N34" s="722"/>
      <c r="O34" s="720"/>
      <c r="P34" s="720"/>
      <c r="Q34" s="720"/>
      <c r="R34" s="720"/>
      <c r="S34" s="720"/>
      <c r="T34" s="720"/>
      <c r="U34" s="720"/>
      <c r="V34" s="720"/>
      <c r="W34" s="720"/>
      <c r="X34" s="706"/>
      <c r="Y34" s="813" t="s">
        <v>550</v>
      </c>
      <c r="AD34" s="709"/>
      <c r="AE34" s="771"/>
      <c r="AF34" s="709"/>
      <c r="AG34" s="707"/>
      <c r="AH34" s="709"/>
      <c r="AI34" s="707"/>
      <c r="AJ34" s="709"/>
      <c r="AK34" s="710"/>
      <c r="AM34" s="710"/>
      <c r="AO34" s="710"/>
      <c r="AQ34" s="710"/>
      <c r="AU34" s="772"/>
      <c r="AV34" s="772"/>
    </row>
    <row r="35" spans="1:48" s="708" customFormat="1" ht="89.25" thickBot="1">
      <c r="A35" s="704"/>
      <c r="B35" s="719"/>
      <c r="D35" s="774"/>
      <c r="E35" s="1713">
        <f>E32+E33+E34+D31</f>
        <v>0</v>
      </c>
      <c r="F35" s="1713"/>
      <c r="G35" s="1713"/>
      <c r="H35" s="720"/>
      <c r="I35" s="720"/>
      <c r="J35" s="720"/>
      <c r="K35" s="720"/>
      <c r="L35" s="720"/>
      <c r="M35" s="775"/>
      <c r="N35" s="722"/>
      <c r="O35" s="776"/>
      <c r="P35" s="720"/>
      <c r="Q35" s="720"/>
      <c r="R35" s="720"/>
      <c r="S35" s="720"/>
      <c r="T35" s="777"/>
      <c r="U35" s="720"/>
      <c r="V35" s="720"/>
      <c r="W35" s="720"/>
      <c r="X35" s="706"/>
      <c r="Y35" s="813" t="s">
        <v>550</v>
      </c>
      <c r="AD35" s="709"/>
      <c r="AE35" s="709"/>
      <c r="AF35" s="709"/>
      <c r="AG35" s="707"/>
      <c r="AH35" s="709"/>
      <c r="AI35" s="707"/>
      <c r="AJ35" s="709"/>
      <c r="AK35" s="710"/>
      <c r="AM35" s="710"/>
      <c r="AO35" s="710"/>
      <c r="AQ35" s="710"/>
      <c r="AU35" s="772"/>
      <c r="AV35" s="772"/>
    </row>
    <row r="36" spans="1:48" s="751" customFormat="1" ht="132" customHeight="1" thickBot="1">
      <c r="A36" s="747"/>
      <c r="B36" s="1725" t="s">
        <v>32</v>
      </c>
      <c r="C36" s="1726"/>
      <c r="D36" s="1726"/>
      <c r="E36" s="1726"/>
      <c r="F36" s="1726"/>
      <c r="G36" s="1727"/>
      <c r="H36" s="1259">
        <f>SUMIF(Y15:Y21,Y36,H15:H21)</f>
        <v>38418.639999999999</v>
      </c>
      <c r="I36" s="1259">
        <f>SUMIF(Y15:Y21,Y36,I15:I21)</f>
        <v>10000</v>
      </c>
      <c r="J36" s="1260">
        <f>SUMIF(Y15:Y21,Y36,J15:J21)</f>
        <v>824.32</v>
      </c>
      <c r="K36" s="1259">
        <f>SUMIF(Y15:Y21,Y36,K15:K21)</f>
        <v>4870.18</v>
      </c>
      <c r="L36" s="1259">
        <f>SUMIF(Y15:Y21,Y36,L15:L21)</f>
        <v>0</v>
      </c>
      <c r="M36" s="1260">
        <f>SUMIF(Y15:Y21,Y36,M15:M21)</f>
        <v>0</v>
      </c>
      <c r="N36" s="1260">
        <f>SUMIF(Y15:Y21,Y36,N15:N21)</f>
        <v>54113.14</v>
      </c>
      <c r="O36" s="1260">
        <f>SUMIF(Y15:Y21,Y36,O15:O21)</f>
        <v>22875.3</v>
      </c>
      <c r="P36" s="1260">
        <f>SUMIF(Y15:Y21,Y36,P15:P21)</f>
        <v>5718.84</v>
      </c>
      <c r="Q36" s="1260">
        <f>SUMIF(Y15:Y21,Y36,Q15:Q21)</f>
        <v>0</v>
      </c>
      <c r="R36" s="1260">
        <f>SUMIF(Y15:Y21,Y36,R15:R21)</f>
        <v>0</v>
      </c>
      <c r="S36" s="1260">
        <f>SUMIF(Y15:Y21,Y36,S15:S21)</f>
        <v>18656.400000000001</v>
      </c>
      <c r="T36" s="1260">
        <f>SUMIF(Y15:Y21,Y36,T15:T21)</f>
        <v>2287.54</v>
      </c>
      <c r="U36" s="1260">
        <f>SUMIF(Y15:Y21,Y36,U15:U21)</f>
        <v>4575.0600000000004</v>
      </c>
      <c r="V36" s="1260">
        <f>SUMIF(Y15:Y21,Y36,V15:V21)</f>
        <v>420</v>
      </c>
      <c r="W36" s="1260">
        <f>SUMIF(Y15:Y21,Y36,W15:W21)</f>
        <v>0</v>
      </c>
      <c r="X36" s="763"/>
      <c r="Y36" s="813" t="s">
        <v>562</v>
      </c>
      <c r="Z36" s="764">
        <f>Z30+1</f>
        <v>2</v>
      </c>
      <c r="AD36" s="698"/>
      <c r="AE36" s="765"/>
      <c r="AF36" s="698"/>
      <c r="AG36" s="749"/>
      <c r="AH36" s="698"/>
      <c r="AI36" s="749"/>
      <c r="AJ36" s="698"/>
      <c r="AK36" s="753"/>
      <c r="AM36" s="753"/>
      <c r="AO36" s="753"/>
      <c r="AQ36" s="753"/>
      <c r="AU36" s="766"/>
      <c r="AV36" s="766"/>
    </row>
    <row r="37" spans="1:48" s="708" customFormat="1" ht="88.5" customHeight="1">
      <c r="A37" s="704"/>
      <c r="B37" s="720"/>
      <c r="C37" s="938" t="s">
        <v>574</v>
      </c>
      <c r="D37" s="939">
        <f>N36</f>
        <v>54113.14</v>
      </c>
      <c r="E37" s="769" t="s">
        <v>575</v>
      </c>
      <c r="F37" s="720"/>
      <c r="G37" s="770" t="str">
        <f>[1]!Arreta(E41)</f>
        <v>سبعة وستون ألف وستمائة وواحد وأربعون دينار جزائري وإثنان وأربعون سنتيما</v>
      </c>
      <c r="H37" s="722"/>
      <c r="I37" s="722"/>
      <c r="J37" s="720"/>
      <c r="K37" s="722"/>
      <c r="L37" s="722"/>
      <c r="M37" s="721"/>
      <c r="N37" s="722"/>
      <c r="O37" s="720"/>
      <c r="P37" s="720"/>
      <c r="Q37" s="720"/>
      <c r="R37" s="720"/>
      <c r="S37" s="720"/>
      <c r="T37" s="720"/>
      <c r="U37" s="720"/>
      <c r="V37" s="720"/>
      <c r="W37" s="720"/>
      <c r="X37" s="706"/>
      <c r="Y37" s="813" t="s">
        <v>562</v>
      </c>
      <c r="AB37" s="778"/>
      <c r="AC37" s="778"/>
      <c r="AD37" s="709"/>
      <c r="AE37" s="771"/>
      <c r="AF37" s="709"/>
      <c r="AG37" s="707"/>
      <c r="AH37" s="709"/>
      <c r="AI37" s="707"/>
      <c r="AJ37" s="709"/>
      <c r="AK37" s="710"/>
      <c r="AM37" s="710"/>
      <c r="AO37" s="710"/>
      <c r="AQ37" s="710"/>
      <c r="AU37" s="772"/>
      <c r="AV37" s="772"/>
    </row>
    <row r="38" spans="1:48" s="708" customFormat="1" ht="67.5" customHeight="1">
      <c r="A38" s="704"/>
      <c r="B38" s="720"/>
      <c r="C38" s="1711" t="s">
        <v>576</v>
      </c>
      <c r="D38" s="1711"/>
      <c r="E38" s="1717">
        <f>ROUND((N36-W36)*23.75%,2)</f>
        <v>12851.87</v>
      </c>
      <c r="F38" s="1717"/>
      <c r="G38" s="773"/>
      <c r="H38" s="722"/>
      <c r="I38" s="722"/>
      <c r="J38" s="720"/>
      <c r="K38" s="722"/>
      <c r="L38" s="722"/>
      <c r="M38" s="721"/>
      <c r="N38" s="722"/>
      <c r="O38" s="720"/>
      <c r="P38" s="720"/>
      <c r="Q38" s="720"/>
      <c r="R38" s="720"/>
      <c r="S38" s="720"/>
      <c r="T38" s="720"/>
      <c r="U38" s="720"/>
      <c r="V38" s="720"/>
      <c r="W38" s="720"/>
      <c r="X38" s="706"/>
      <c r="Y38" s="813" t="s">
        <v>562</v>
      </c>
      <c r="AB38" s="778"/>
      <c r="AC38" s="778"/>
      <c r="AD38" s="709"/>
      <c r="AE38" s="771"/>
      <c r="AF38" s="709"/>
      <c r="AG38" s="707"/>
      <c r="AH38" s="709"/>
      <c r="AI38" s="707"/>
      <c r="AJ38" s="709"/>
      <c r="AK38" s="710"/>
      <c r="AM38" s="710"/>
      <c r="AO38" s="710"/>
      <c r="AQ38" s="710"/>
      <c r="AU38" s="772"/>
      <c r="AV38" s="772"/>
    </row>
    <row r="39" spans="1:48" s="708" customFormat="1" ht="67.5" customHeight="1">
      <c r="A39" s="704"/>
      <c r="B39" s="720"/>
      <c r="C39" s="1711" t="s">
        <v>577</v>
      </c>
      <c r="D39" s="1711"/>
      <c r="E39" s="1717">
        <f>ROUND((N36-W36)*1%,2)</f>
        <v>541.13</v>
      </c>
      <c r="F39" s="1717"/>
      <c r="G39" s="773"/>
      <c r="H39" s="722"/>
      <c r="I39" s="722"/>
      <c r="J39" s="720"/>
      <c r="K39" s="722"/>
      <c r="L39" s="722"/>
      <c r="M39" s="721"/>
      <c r="N39" s="722"/>
      <c r="O39" s="720"/>
      <c r="P39" s="720"/>
      <c r="Q39" s="720"/>
      <c r="R39" s="720"/>
      <c r="S39" s="720"/>
      <c r="T39" s="720"/>
      <c r="U39" s="720"/>
      <c r="V39" s="720"/>
      <c r="W39" s="720"/>
      <c r="X39" s="706"/>
      <c r="Y39" s="813" t="s">
        <v>562</v>
      </c>
      <c r="AB39" s="778"/>
      <c r="AC39" s="778"/>
      <c r="AD39" s="709"/>
      <c r="AE39" s="771"/>
      <c r="AF39" s="709"/>
      <c r="AG39" s="707"/>
      <c r="AH39" s="709"/>
      <c r="AI39" s="707"/>
      <c r="AJ39" s="709"/>
      <c r="AK39" s="710"/>
      <c r="AM39" s="710"/>
      <c r="AO39" s="710"/>
      <c r="AQ39" s="710"/>
      <c r="AU39" s="772"/>
      <c r="AV39" s="772"/>
    </row>
    <row r="40" spans="1:48" s="708" customFormat="1" ht="67.5" customHeight="1" thickBot="1">
      <c r="A40" s="704"/>
      <c r="B40" s="720"/>
      <c r="C40" s="1711" t="s">
        <v>578</v>
      </c>
      <c r="D40" s="1711"/>
      <c r="E40" s="1712">
        <f>ROUND((N36-W36)*0.25%,2)</f>
        <v>135.28</v>
      </c>
      <c r="F40" s="1712"/>
      <c r="G40" s="773"/>
      <c r="H40" s="722"/>
      <c r="I40" s="722"/>
      <c r="J40" s="1341">
        <f>الرئيسية!$N$10</f>
        <v>43617</v>
      </c>
      <c r="K40" s="722"/>
      <c r="L40" s="722"/>
      <c r="M40" s="721"/>
      <c r="N40" s="722"/>
      <c r="O40" s="720"/>
      <c r="P40" s="720"/>
      <c r="Q40" s="720"/>
      <c r="R40" s="720"/>
      <c r="S40" s="720"/>
      <c r="T40" s="720"/>
      <c r="U40" s="720"/>
      <c r="V40" s="720"/>
      <c r="W40" s="720"/>
      <c r="X40" s="706"/>
      <c r="Y40" s="813" t="s">
        <v>562</v>
      </c>
      <c r="AB40" s="778"/>
      <c r="AC40" s="778"/>
      <c r="AD40" s="709"/>
      <c r="AE40" s="771"/>
      <c r="AF40" s="709"/>
      <c r="AG40" s="707"/>
      <c r="AH40" s="709"/>
      <c r="AI40" s="707"/>
      <c r="AJ40" s="709"/>
      <c r="AK40" s="710"/>
      <c r="AM40" s="710"/>
      <c r="AO40" s="710"/>
      <c r="AQ40" s="710"/>
      <c r="AU40" s="772"/>
      <c r="AV40" s="772"/>
    </row>
    <row r="41" spans="1:48" s="708" customFormat="1" ht="89.25" thickBot="1">
      <c r="A41" s="704"/>
      <c r="B41" s="719"/>
      <c r="D41" s="774"/>
      <c r="E41" s="1713">
        <f>E38+E39+E40+D37</f>
        <v>67641.42</v>
      </c>
      <c r="F41" s="1713"/>
      <c r="G41" s="1713"/>
      <c r="H41" s="720"/>
      <c r="I41" s="720"/>
      <c r="J41" s="720"/>
      <c r="K41" s="720"/>
      <c r="L41" s="720"/>
      <c r="M41" s="775"/>
      <c r="N41" s="722"/>
      <c r="O41" s="776"/>
      <c r="P41" s="720"/>
      <c r="Q41" s="720"/>
      <c r="R41" s="720"/>
      <c r="S41" s="720"/>
      <c r="T41" s="777"/>
      <c r="U41" s="720"/>
      <c r="V41" s="720"/>
      <c r="W41" s="720"/>
      <c r="X41" s="706"/>
      <c r="Y41" s="813" t="s">
        <v>562</v>
      </c>
      <c r="AB41" s="778"/>
      <c r="AC41" s="778"/>
      <c r="AD41" s="709"/>
      <c r="AE41" s="709"/>
      <c r="AF41" s="709"/>
      <c r="AG41" s="707"/>
      <c r="AH41" s="709"/>
      <c r="AI41" s="707"/>
      <c r="AJ41" s="709"/>
      <c r="AK41" s="710"/>
      <c r="AM41" s="710"/>
      <c r="AO41" s="710"/>
      <c r="AQ41" s="710"/>
      <c r="AU41" s="772"/>
      <c r="AV41" s="772"/>
    </row>
    <row r="42" spans="1:48" s="751" customFormat="1" ht="132" customHeight="1" thickBot="1">
      <c r="A42" s="747"/>
      <c r="B42" s="1725" t="s">
        <v>32</v>
      </c>
      <c r="C42" s="1726"/>
      <c r="D42" s="1726"/>
      <c r="E42" s="1726"/>
      <c r="F42" s="1726"/>
      <c r="G42" s="1727"/>
      <c r="H42" s="1259">
        <f>SUMIF(Y15:Y21,Y42,H15:H21)</f>
        <v>14276.68</v>
      </c>
      <c r="I42" s="1259">
        <f>SUMIF(Y15:Y21,Y42,I15:I21)</f>
        <v>0</v>
      </c>
      <c r="J42" s="1260">
        <f>SUMIF(Y15:Y21,Y42,J15:J21)</f>
        <v>481.57</v>
      </c>
      <c r="K42" s="1259">
        <f>SUMIF(Y15:Y21,Y42,K15:K21)</f>
        <v>1459.61</v>
      </c>
      <c r="L42" s="1259">
        <f>SUMIF(Y15:Y21,Y42,L15:L21)</f>
        <v>0</v>
      </c>
      <c r="M42" s="1260">
        <f>SUMIF(Y15:Y21,Y42,M15:M21)</f>
        <v>0</v>
      </c>
      <c r="N42" s="1260">
        <f>SUMIF(Y15:Y21,Y42,N15:N21)</f>
        <v>16217.86</v>
      </c>
      <c r="O42" s="1260">
        <f>SUMIF(Y15:Y21,Y42,O15:O21)</f>
        <v>7446.6</v>
      </c>
      <c r="P42" s="1260">
        <f>SUMIF(Y15:Y21,Y42,P15:P21)</f>
        <v>1725.41</v>
      </c>
      <c r="Q42" s="1260">
        <f>SUMIF(Y15:Y21,Y42,Q15:Q21)</f>
        <v>0</v>
      </c>
      <c r="R42" s="1260">
        <f>SUMIF(Y15:Y21,Y42,R15:R21)</f>
        <v>0</v>
      </c>
      <c r="S42" s="1260">
        <f>SUMIF(Y15:Y21,Y42,S15:S21)</f>
        <v>4664.1000000000004</v>
      </c>
      <c r="T42" s="1260">
        <f>SUMIF(Y15:Y21,Y42,T15:T21)</f>
        <v>690.17</v>
      </c>
      <c r="U42" s="1260">
        <f>SUMIF(Y15:Y21,Y42,U15:U21)</f>
        <v>1380.33</v>
      </c>
      <c r="V42" s="1260">
        <f>SUMIF(Y15:Y21,Y42,V15:V21)</f>
        <v>105</v>
      </c>
      <c r="W42" s="1260">
        <f>SUMIF(Y15:Y21,Y42,W15:W21)</f>
        <v>311.25</v>
      </c>
      <c r="X42" s="763"/>
      <c r="Y42" s="813" t="s">
        <v>549</v>
      </c>
      <c r="Z42" s="764">
        <f>Z36+1</f>
        <v>3</v>
      </c>
      <c r="AD42" s="698"/>
      <c r="AE42" s="765"/>
      <c r="AF42" s="698"/>
      <c r="AG42" s="749"/>
      <c r="AH42" s="698"/>
      <c r="AI42" s="749"/>
      <c r="AJ42" s="698"/>
      <c r="AK42" s="753"/>
      <c r="AM42" s="753"/>
      <c r="AO42" s="753"/>
      <c r="AQ42" s="753"/>
      <c r="AU42" s="766"/>
      <c r="AV42" s="766"/>
    </row>
    <row r="43" spans="1:48" s="919" customFormat="1" ht="88.5" customHeight="1">
      <c r="A43" s="910"/>
      <c r="B43" s="911"/>
      <c r="C43" s="936" t="s">
        <v>574</v>
      </c>
      <c r="D43" s="937">
        <f>N42</f>
        <v>16217.86</v>
      </c>
      <c r="E43" s="914" t="s">
        <v>575</v>
      </c>
      <c r="F43" s="911"/>
      <c r="G43" s="915" t="str">
        <f>[1]!Arreta(E47)</f>
        <v>عشرون ألف ومائة وأربعة وتسعون دينار جزائري وإثنان وخمسون سنتيما</v>
      </c>
      <c r="H43" s="916"/>
      <c r="I43" s="916"/>
      <c r="J43" s="911"/>
      <c r="K43" s="916"/>
      <c r="L43" s="916"/>
      <c r="M43" s="917"/>
      <c r="N43" s="916"/>
      <c r="O43" s="911"/>
      <c r="P43" s="911"/>
      <c r="Q43" s="911"/>
      <c r="R43" s="911"/>
      <c r="S43" s="911"/>
      <c r="T43" s="911"/>
      <c r="U43" s="911"/>
      <c r="V43" s="911"/>
      <c r="W43" s="911"/>
      <c r="X43" s="918"/>
      <c r="Y43" s="909" t="s">
        <v>549</v>
      </c>
      <c r="AD43" s="920"/>
      <c r="AE43" s="921"/>
      <c r="AF43" s="920"/>
      <c r="AG43" s="922"/>
      <c r="AH43" s="920"/>
      <c r="AI43" s="922"/>
      <c r="AJ43" s="920"/>
      <c r="AK43" s="923"/>
      <c r="AM43" s="923"/>
      <c r="AO43" s="923"/>
      <c r="AQ43" s="923"/>
      <c r="AU43" s="924"/>
      <c r="AV43" s="924"/>
    </row>
    <row r="44" spans="1:48" s="919" customFormat="1" ht="67.5" customHeight="1">
      <c r="A44" s="910"/>
      <c r="B44" s="911"/>
      <c r="C44" s="1704" t="s">
        <v>576</v>
      </c>
      <c r="D44" s="1704"/>
      <c r="E44" s="1705">
        <f>ROUND((N42-W42)*23.75%,2)</f>
        <v>3777.82</v>
      </c>
      <c r="F44" s="1705"/>
      <c r="G44" s="925"/>
      <c r="H44" s="916"/>
      <c r="I44" s="916"/>
      <c r="J44" s="911"/>
      <c r="K44" s="916"/>
      <c r="L44" s="916"/>
      <c r="M44" s="917"/>
      <c r="N44" s="916"/>
      <c r="O44" s="911"/>
      <c r="P44" s="911"/>
      <c r="Q44" s="911"/>
      <c r="R44" s="911"/>
      <c r="S44" s="911"/>
      <c r="T44" s="911"/>
      <c r="U44" s="911"/>
      <c r="V44" s="911"/>
      <c r="W44" s="911"/>
      <c r="X44" s="918"/>
      <c r="Y44" s="909" t="s">
        <v>549</v>
      </c>
      <c r="AD44" s="920"/>
      <c r="AE44" s="921"/>
      <c r="AF44" s="920"/>
      <c r="AG44" s="922"/>
      <c r="AH44" s="920"/>
      <c r="AI44" s="922"/>
      <c r="AJ44" s="920"/>
      <c r="AK44" s="923"/>
      <c r="AM44" s="923"/>
      <c r="AO44" s="923"/>
      <c r="AQ44" s="923"/>
      <c r="AU44" s="924"/>
      <c r="AV44" s="924"/>
    </row>
    <row r="45" spans="1:48" s="919" customFormat="1" ht="67.5" customHeight="1">
      <c r="A45" s="910"/>
      <c r="B45" s="911"/>
      <c r="C45" s="1704" t="s">
        <v>577</v>
      </c>
      <c r="D45" s="1704"/>
      <c r="E45" s="1705">
        <f>ROUND((N42-W42)*1%,2)</f>
        <v>159.07</v>
      </c>
      <c r="F45" s="1705"/>
      <c r="G45" s="925"/>
      <c r="H45" s="916"/>
      <c r="I45" s="916"/>
      <c r="J45" s="911"/>
      <c r="K45" s="916"/>
      <c r="L45" s="916"/>
      <c r="M45" s="917"/>
      <c r="N45" s="916"/>
      <c r="O45" s="911"/>
      <c r="P45" s="911"/>
      <c r="Q45" s="911"/>
      <c r="R45" s="911"/>
      <c r="S45" s="911"/>
      <c r="T45" s="911"/>
      <c r="U45" s="911"/>
      <c r="V45" s="911"/>
      <c r="W45" s="911"/>
      <c r="X45" s="918"/>
      <c r="Y45" s="909" t="s">
        <v>549</v>
      </c>
      <c r="AD45" s="920"/>
      <c r="AE45" s="921"/>
      <c r="AF45" s="920"/>
      <c r="AG45" s="922"/>
      <c r="AH45" s="920"/>
      <c r="AI45" s="922"/>
      <c r="AJ45" s="920"/>
      <c r="AK45" s="923"/>
      <c r="AM45" s="923"/>
      <c r="AO45" s="923"/>
      <c r="AQ45" s="923"/>
      <c r="AU45" s="924"/>
      <c r="AV45" s="924"/>
    </row>
    <row r="46" spans="1:48" s="919" customFormat="1" ht="67.5" customHeight="1" thickBot="1">
      <c r="A46" s="910"/>
      <c r="B46" s="911"/>
      <c r="C46" s="1704" t="s">
        <v>578</v>
      </c>
      <c r="D46" s="1704"/>
      <c r="E46" s="1706">
        <f>ROUND((N42-W42)*0.25%,2)</f>
        <v>39.770000000000003</v>
      </c>
      <c r="F46" s="1706"/>
      <c r="G46" s="925"/>
      <c r="H46" s="916"/>
      <c r="I46" s="916"/>
      <c r="J46" s="1341">
        <f>الرئيسية!$N$10</f>
        <v>43617</v>
      </c>
      <c r="K46" s="916"/>
      <c r="L46" s="916"/>
      <c r="M46" s="917"/>
      <c r="N46" s="916"/>
      <c r="O46" s="911"/>
      <c r="P46" s="911"/>
      <c r="Q46" s="911"/>
      <c r="R46" s="911"/>
      <c r="S46" s="911"/>
      <c r="T46" s="911"/>
      <c r="U46" s="911"/>
      <c r="V46" s="911"/>
      <c r="W46" s="911"/>
      <c r="X46" s="918"/>
      <c r="Y46" s="909" t="s">
        <v>549</v>
      </c>
      <c r="AD46" s="920"/>
      <c r="AE46" s="921"/>
      <c r="AF46" s="920"/>
      <c r="AG46" s="922"/>
      <c r="AH46" s="920"/>
      <c r="AI46" s="922"/>
      <c r="AJ46" s="920"/>
      <c r="AK46" s="923"/>
      <c r="AM46" s="923"/>
      <c r="AO46" s="923"/>
      <c r="AQ46" s="923"/>
      <c r="AU46" s="924"/>
      <c r="AV46" s="924"/>
    </row>
    <row r="47" spans="1:48" s="919" customFormat="1" ht="89.25" thickBot="1">
      <c r="A47" s="910"/>
      <c r="B47" s="926"/>
      <c r="D47" s="927"/>
      <c r="E47" s="1707">
        <f>E44+E45+E46+D43</f>
        <v>20194.52</v>
      </c>
      <c r="F47" s="1707"/>
      <c r="G47" s="1707"/>
      <c r="H47" s="911"/>
      <c r="I47" s="911"/>
      <c r="J47" s="911"/>
      <c r="K47" s="911"/>
      <c r="L47" s="911"/>
      <c r="M47" s="928"/>
      <c r="N47" s="916"/>
      <c r="O47" s="929"/>
      <c r="P47" s="911"/>
      <c r="Q47" s="911"/>
      <c r="R47" s="911"/>
      <c r="S47" s="911"/>
      <c r="T47" s="930"/>
      <c r="U47" s="911"/>
      <c r="V47" s="911"/>
      <c r="W47" s="911"/>
      <c r="X47" s="918"/>
      <c r="Y47" s="909" t="s">
        <v>549</v>
      </c>
      <c r="AD47" s="920"/>
      <c r="AE47" s="920"/>
      <c r="AF47" s="920"/>
      <c r="AG47" s="922"/>
      <c r="AH47" s="920"/>
      <c r="AI47" s="922"/>
      <c r="AJ47" s="920"/>
      <c r="AK47" s="923"/>
      <c r="AM47" s="923"/>
      <c r="AO47" s="923"/>
      <c r="AQ47" s="923"/>
      <c r="AU47" s="924"/>
      <c r="AV47" s="924"/>
    </row>
    <row r="48" spans="1:48" s="751" customFormat="1" ht="132" customHeight="1" thickBot="1">
      <c r="A48" s="747"/>
      <c r="B48" s="1725" t="s">
        <v>32</v>
      </c>
      <c r="C48" s="1726"/>
      <c r="D48" s="1726"/>
      <c r="E48" s="1726"/>
      <c r="F48" s="1726"/>
      <c r="G48" s="1727"/>
      <c r="H48" s="1259">
        <f>SUMIF(Y15:Y27,Y48,H15:H27)</f>
        <v>33603.4</v>
      </c>
      <c r="I48" s="1259">
        <f>SUMIF(Y15:Y27,Y48,I15:I27)</f>
        <v>20000</v>
      </c>
      <c r="J48" s="1260">
        <f>SUMIF(Y15:Y27,Y48,J15:J27)</f>
        <v>45547</v>
      </c>
      <c r="K48" s="1259">
        <f>SUMIF(Y15:Y27,Y48,K15:K27)</f>
        <v>5492.3</v>
      </c>
      <c r="L48" s="1259">
        <f>SUMIF(Y15:Y27,Y48,L15:L27)</f>
        <v>0</v>
      </c>
      <c r="M48" s="1260">
        <f>SUMIF(Y15:Y27,Y48,M15:M27)</f>
        <v>0</v>
      </c>
      <c r="N48" s="1260">
        <f>SUMIF(Y15:Y27,Y48,N15:N27)</f>
        <v>61025.7</v>
      </c>
      <c r="O48" s="1260">
        <f>SUMIF(Y15:Y27,Y48,O15:O27)</f>
        <v>28108.5</v>
      </c>
      <c r="P48" s="1260">
        <f>SUMIF(Y15:Y27,Y48,P15:P27)</f>
        <v>6482.18</v>
      </c>
      <c r="Q48" s="1260">
        <f>SUMIF(Y15:Y27,Y48,Q15:Q27)</f>
        <v>0</v>
      </c>
      <c r="R48" s="1260">
        <f>SUMIF(Y15:Y27,Y48,R15:R27)</f>
        <v>0</v>
      </c>
      <c r="S48" s="1260">
        <f>SUMIF(Y15:Y27,Y48,S15:S27)</f>
        <v>18656.400000000001</v>
      </c>
      <c r="T48" s="1260">
        <f>SUMIF(Y15:Y27,Y48,T15:T27)</f>
        <v>2592.88</v>
      </c>
      <c r="U48" s="1260">
        <f>SUMIF(Y15:Y27,Y48,U15:U27)</f>
        <v>5185.74</v>
      </c>
      <c r="V48" s="1260">
        <f>SUMIF(Y15:Y27,Y48,V15:V27)</f>
        <v>210</v>
      </c>
      <c r="W48" s="1260">
        <f>SUMIF(Y15:Y27,Y48,W15:W27)</f>
        <v>0</v>
      </c>
      <c r="X48" s="763"/>
      <c r="Y48" s="813" t="s">
        <v>561</v>
      </c>
      <c r="Z48" s="764">
        <f>Z42+1</f>
        <v>4</v>
      </c>
      <c r="AD48" s="698"/>
      <c r="AE48" s="765"/>
      <c r="AF48" s="698"/>
      <c r="AG48" s="749"/>
      <c r="AH48" s="698"/>
      <c r="AI48" s="749"/>
      <c r="AJ48" s="698"/>
      <c r="AK48" s="753"/>
      <c r="AM48" s="753"/>
      <c r="AO48" s="753"/>
      <c r="AQ48" s="753"/>
      <c r="AU48" s="766"/>
      <c r="AV48" s="766"/>
    </row>
    <row r="49" spans="1:48" s="919" customFormat="1" ht="88.5" customHeight="1">
      <c r="A49" s="910"/>
      <c r="B49" s="911"/>
      <c r="C49" s="936" t="s">
        <v>574</v>
      </c>
      <c r="D49" s="937">
        <f>N48</f>
        <v>61025.7</v>
      </c>
      <c r="E49" s="914" t="s">
        <v>575</v>
      </c>
      <c r="F49" s="911"/>
      <c r="G49" s="915" t="str">
        <f>[1]!Arreta(E53)</f>
        <v>ستة وسبعون ألف ومائتين وإثنان وثمانون دينار جزائري وإثنى عشر سنتيما</v>
      </c>
      <c r="H49" s="916"/>
      <c r="I49" s="916"/>
      <c r="J49" s="911"/>
      <c r="K49" s="916"/>
      <c r="L49" s="916"/>
      <c r="M49" s="917"/>
      <c r="N49" s="916"/>
      <c r="O49" s="911"/>
      <c r="P49" s="911"/>
      <c r="Q49" s="911"/>
      <c r="R49" s="911"/>
      <c r="S49" s="911"/>
      <c r="T49" s="911"/>
      <c r="U49" s="911"/>
      <c r="V49" s="911"/>
      <c r="W49" s="911"/>
      <c r="X49" s="918"/>
      <c r="Y49" s="909" t="s">
        <v>561</v>
      </c>
      <c r="AD49" s="920"/>
      <c r="AE49" s="921"/>
      <c r="AF49" s="920"/>
      <c r="AG49" s="922"/>
      <c r="AH49" s="920"/>
      <c r="AI49" s="922"/>
      <c r="AJ49" s="920"/>
      <c r="AK49" s="923"/>
      <c r="AM49" s="923"/>
      <c r="AO49" s="923"/>
      <c r="AQ49" s="923"/>
      <c r="AU49" s="924"/>
      <c r="AV49" s="924"/>
    </row>
    <row r="50" spans="1:48" s="919" customFormat="1" ht="67.5" customHeight="1">
      <c r="A50" s="910"/>
      <c r="B50" s="911"/>
      <c r="C50" s="1704" t="s">
        <v>576</v>
      </c>
      <c r="D50" s="1704"/>
      <c r="E50" s="1705">
        <f>ROUND((N48-W48)*23.75%,2)</f>
        <v>14493.6</v>
      </c>
      <c r="F50" s="1705"/>
      <c r="G50" s="925"/>
      <c r="H50" s="916"/>
      <c r="I50" s="916"/>
      <c r="J50" s="911"/>
      <c r="K50" s="916"/>
      <c r="L50" s="916"/>
      <c r="M50" s="917"/>
      <c r="N50" s="916"/>
      <c r="O50" s="911"/>
      <c r="P50" s="911"/>
      <c r="Q50" s="911"/>
      <c r="R50" s="911"/>
      <c r="S50" s="911"/>
      <c r="T50" s="911"/>
      <c r="U50" s="911"/>
      <c r="V50" s="911"/>
      <c r="W50" s="911"/>
      <c r="X50" s="918"/>
      <c r="Y50" s="909" t="s">
        <v>561</v>
      </c>
      <c r="AD50" s="920"/>
      <c r="AE50" s="921"/>
      <c r="AF50" s="920"/>
      <c r="AG50" s="922"/>
      <c r="AH50" s="920"/>
      <c r="AI50" s="922"/>
      <c r="AJ50" s="920"/>
      <c r="AK50" s="923"/>
      <c r="AM50" s="923"/>
      <c r="AO50" s="923"/>
      <c r="AQ50" s="923"/>
      <c r="AU50" s="924"/>
      <c r="AV50" s="924"/>
    </row>
    <row r="51" spans="1:48" s="919" customFormat="1" ht="67.5" customHeight="1">
      <c r="A51" s="910"/>
      <c r="B51" s="911"/>
      <c r="C51" s="1704" t="s">
        <v>577</v>
      </c>
      <c r="D51" s="1704"/>
      <c r="E51" s="1705">
        <f>ROUND((N48-W48)*1%,2)</f>
        <v>610.26</v>
      </c>
      <c r="F51" s="1705"/>
      <c r="G51" s="925"/>
      <c r="H51" s="916"/>
      <c r="I51" s="916"/>
      <c r="J51" s="911"/>
      <c r="K51" s="916"/>
      <c r="L51" s="916"/>
      <c r="M51" s="917"/>
      <c r="N51" s="916"/>
      <c r="O51" s="911"/>
      <c r="P51" s="911"/>
      <c r="Q51" s="911"/>
      <c r="R51" s="911"/>
      <c r="S51" s="911"/>
      <c r="T51" s="911"/>
      <c r="U51" s="911"/>
      <c r="V51" s="911"/>
      <c r="W51" s="911"/>
      <c r="X51" s="918"/>
      <c r="Y51" s="909" t="s">
        <v>561</v>
      </c>
      <c r="AD51" s="920"/>
      <c r="AE51" s="921"/>
      <c r="AF51" s="920"/>
      <c r="AG51" s="922"/>
      <c r="AH51" s="920"/>
      <c r="AI51" s="922"/>
      <c r="AJ51" s="920"/>
      <c r="AK51" s="923"/>
      <c r="AM51" s="923"/>
      <c r="AO51" s="923"/>
      <c r="AQ51" s="923"/>
      <c r="AU51" s="924"/>
      <c r="AV51" s="924"/>
    </row>
    <row r="52" spans="1:48" s="919" customFormat="1" ht="67.5" customHeight="1" thickBot="1">
      <c r="A52" s="910"/>
      <c r="B52" s="911"/>
      <c r="C52" s="1704" t="s">
        <v>578</v>
      </c>
      <c r="D52" s="1704"/>
      <c r="E52" s="1706">
        <f>ROUND((N48-W48)*0.25%,2)</f>
        <v>152.56</v>
      </c>
      <c r="F52" s="1706"/>
      <c r="G52" s="925"/>
      <c r="H52" s="916"/>
      <c r="I52" s="916"/>
      <c r="J52" s="1341">
        <f>الرئيسية!$N$10</f>
        <v>43617</v>
      </c>
      <c r="K52" s="916"/>
      <c r="L52" s="916"/>
      <c r="M52" s="917"/>
      <c r="N52" s="916"/>
      <c r="O52" s="911"/>
      <c r="P52" s="911"/>
      <c r="Q52" s="911"/>
      <c r="R52" s="911"/>
      <c r="S52" s="911"/>
      <c r="T52" s="911"/>
      <c r="U52" s="911"/>
      <c r="V52" s="911"/>
      <c r="W52" s="911"/>
      <c r="X52" s="918"/>
      <c r="Y52" s="909" t="s">
        <v>561</v>
      </c>
      <c r="AD52" s="920"/>
      <c r="AE52" s="921"/>
      <c r="AF52" s="920"/>
      <c r="AG52" s="922"/>
      <c r="AH52" s="920"/>
      <c r="AI52" s="922"/>
      <c r="AJ52" s="920"/>
      <c r="AK52" s="923"/>
      <c r="AM52" s="923"/>
      <c r="AO52" s="923"/>
      <c r="AQ52" s="923"/>
      <c r="AU52" s="924"/>
      <c r="AV52" s="924"/>
    </row>
    <row r="53" spans="1:48" s="919" customFormat="1" ht="89.25" thickBot="1">
      <c r="A53" s="910"/>
      <c r="B53" s="926"/>
      <c r="D53" s="927"/>
      <c r="E53" s="1707">
        <f>E50+E51+E52+D49</f>
        <v>76282.12</v>
      </c>
      <c r="F53" s="1707"/>
      <c r="G53" s="1707"/>
      <c r="H53" s="911"/>
      <c r="I53" s="911"/>
      <c r="J53" s="911"/>
      <c r="K53" s="911"/>
      <c r="L53" s="911"/>
      <c r="M53" s="928"/>
      <c r="N53" s="916"/>
      <c r="O53" s="929"/>
      <c r="P53" s="911"/>
      <c r="Q53" s="911"/>
      <c r="R53" s="911"/>
      <c r="S53" s="911"/>
      <c r="T53" s="930"/>
      <c r="U53" s="911"/>
      <c r="V53" s="911"/>
      <c r="W53" s="911"/>
      <c r="X53" s="918"/>
      <c r="Y53" s="909" t="s">
        <v>561</v>
      </c>
      <c r="AD53" s="920"/>
      <c r="AE53" s="920"/>
      <c r="AF53" s="920"/>
      <c r="AG53" s="922"/>
      <c r="AH53" s="920"/>
      <c r="AI53" s="922"/>
      <c r="AJ53" s="920"/>
      <c r="AK53" s="923"/>
      <c r="AM53" s="923"/>
      <c r="AO53" s="923"/>
      <c r="AQ53" s="923"/>
      <c r="AU53" s="924"/>
      <c r="AV53" s="924"/>
    </row>
    <row r="54" spans="1:48" s="751" customFormat="1" ht="132" customHeight="1" thickBot="1">
      <c r="A54" s="747"/>
      <c r="B54" s="1725" t="s">
        <v>32</v>
      </c>
      <c r="C54" s="1726"/>
      <c r="D54" s="1726"/>
      <c r="E54" s="1726"/>
      <c r="F54" s="1726"/>
      <c r="G54" s="1727"/>
      <c r="H54" s="1259">
        <f>SUMIF(Y15:Y33,Y54,H15:H33)</f>
        <v>38418.639999999999</v>
      </c>
      <c r="I54" s="1259">
        <f>SUMIF(Y15:Y33,Y54,I15:I33)</f>
        <v>10000</v>
      </c>
      <c r="J54" s="1260">
        <f>SUMIF(Y15:Y33,Y54,J15:J33)</f>
        <v>824.32</v>
      </c>
      <c r="K54" s="1259">
        <f>SUMIF(Y15:Y33,Y54,K15:K33)</f>
        <v>4870.18</v>
      </c>
      <c r="L54" s="1259">
        <f>SUMIF(Y15:Y33,Y54,L15:L33)</f>
        <v>0</v>
      </c>
      <c r="M54" s="1260">
        <f>SUMIF(Y15:Y33,Y54,M15:M33)</f>
        <v>0</v>
      </c>
      <c r="N54" s="1260">
        <f>SUMIF(Y15:Y33,Y54,N15:N33)</f>
        <v>54113.14</v>
      </c>
      <c r="O54" s="1260">
        <f>SUMIF(Y15:Y33,Y54,O15:O33)</f>
        <v>22875.3</v>
      </c>
      <c r="P54" s="1260">
        <f>SUMIF(Y15:Y33,Y54,P15:P33)</f>
        <v>5718.84</v>
      </c>
      <c r="Q54" s="1260">
        <f>SUMIF(Y15:Y33,Y54,Q15:Q33)</f>
        <v>0</v>
      </c>
      <c r="R54" s="1260">
        <f>SUMIF(Y15:Y33,Y54,R15:R33)</f>
        <v>0</v>
      </c>
      <c r="S54" s="1260">
        <f>SUMIF(Y15:Y33,Y54,S15:S33)</f>
        <v>18656.400000000001</v>
      </c>
      <c r="T54" s="1260">
        <f>SUMIF(Y15:Y33,Y54,T15:T33)</f>
        <v>2287.54</v>
      </c>
      <c r="U54" s="1260">
        <f>SUMIF(Y15:Y33,Y54,U15:U33)</f>
        <v>4575.0600000000004</v>
      </c>
      <c r="V54" s="1260">
        <f>SUMIF(Y15:Y33,Y54,V15:V33)</f>
        <v>420</v>
      </c>
      <c r="W54" s="1260">
        <f>SUMIF(Y15:Y33,Y54,W15:W33)</f>
        <v>0</v>
      </c>
      <c r="X54" s="763"/>
      <c r="Y54" s="813" t="s">
        <v>562</v>
      </c>
      <c r="Z54" s="764">
        <f>Z48+1</f>
        <v>5</v>
      </c>
      <c r="AD54" s="698"/>
      <c r="AE54" s="765"/>
      <c r="AF54" s="698"/>
      <c r="AG54" s="749"/>
      <c r="AH54" s="698"/>
      <c r="AI54" s="749"/>
      <c r="AJ54" s="698"/>
      <c r="AK54" s="753"/>
      <c r="AM54" s="753"/>
      <c r="AO54" s="753"/>
      <c r="AQ54" s="753"/>
      <c r="AU54" s="766"/>
      <c r="AV54" s="766"/>
    </row>
    <row r="55" spans="1:48" s="919" customFormat="1" ht="88.5" customHeight="1">
      <c r="A55" s="910"/>
      <c r="B55" s="911"/>
      <c r="C55" s="936" t="s">
        <v>574</v>
      </c>
      <c r="D55" s="937">
        <f>N54</f>
        <v>54113.14</v>
      </c>
      <c r="E55" s="914" t="s">
        <v>575</v>
      </c>
      <c r="F55" s="911"/>
      <c r="G55" s="915" t="str">
        <f>[1]!Arreta(E59)</f>
        <v>سبعة وستون ألف وستمائة وواحد وأربعون دينار جزائري وإثنان وأربعون سنتيما</v>
      </c>
      <c r="H55" s="916"/>
      <c r="I55" s="916"/>
      <c r="J55" s="911"/>
      <c r="K55" s="916"/>
      <c r="L55" s="916"/>
      <c r="M55" s="917"/>
      <c r="N55" s="916"/>
      <c r="O55" s="911"/>
      <c r="P55" s="911"/>
      <c r="Q55" s="911"/>
      <c r="R55" s="911"/>
      <c r="S55" s="911"/>
      <c r="T55" s="911"/>
      <c r="U55" s="911"/>
      <c r="V55" s="911"/>
      <c r="W55" s="911"/>
      <c r="X55" s="918"/>
      <c r="Y55" s="909" t="s">
        <v>562</v>
      </c>
      <c r="AD55" s="920"/>
      <c r="AE55" s="921"/>
      <c r="AF55" s="920"/>
      <c r="AG55" s="922"/>
      <c r="AH55" s="920"/>
      <c r="AI55" s="922"/>
      <c r="AJ55" s="920"/>
      <c r="AK55" s="923"/>
      <c r="AM55" s="923"/>
      <c r="AO55" s="923"/>
      <c r="AQ55" s="923"/>
      <c r="AU55" s="924"/>
      <c r="AV55" s="924"/>
    </row>
    <row r="56" spans="1:48" s="919" customFormat="1" ht="67.5" customHeight="1">
      <c r="A56" s="910"/>
      <c r="B56" s="911"/>
      <c r="C56" s="1704" t="s">
        <v>576</v>
      </c>
      <c r="D56" s="1704"/>
      <c r="E56" s="1705">
        <f>ROUND((N54-W54)*23.75%,2)</f>
        <v>12851.87</v>
      </c>
      <c r="F56" s="1705"/>
      <c r="G56" s="925"/>
      <c r="H56" s="916"/>
      <c r="I56" s="916"/>
      <c r="J56" s="911"/>
      <c r="K56" s="916"/>
      <c r="L56" s="916"/>
      <c r="M56" s="917"/>
      <c r="N56" s="916"/>
      <c r="O56" s="911"/>
      <c r="P56" s="911"/>
      <c r="Q56" s="911"/>
      <c r="R56" s="911"/>
      <c r="S56" s="911"/>
      <c r="T56" s="911"/>
      <c r="U56" s="911"/>
      <c r="V56" s="911"/>
      <c r="W56" s="911"/>
      <c r="X56" s="918"/>
      <c r="Y56" s="909" t="s">
        <v>562</v>
      </c>
      <c r="AD56" s="920"/>
      <c r="AE56" s="921"/>
      <c r="AF56" s="920"/>
      <c r="AG56" s="922"/>
      <c r="AH56" s="920"/>
      <c r="AI56" s="922"/>
      <c r="AJ56" s="920"/>
      <c r="AK56" s="923"/>
      <c r="AM56" s="923"/>
      <c r="AO56" s="923"/>
      <c r="AQ56" s="923"/>
      <c r="AU56" s="924"/>
      <c r="AV56" s="924"/>
    </row>
    <row r="57" spans="1:48" s="919" customFormat="1" ht="67.5" customHeight="1">
      <c r="A57" s="910"/>
      <c r="B57" s="911"/>
      <c r="C57" s="1704" t="s">
        <v>577</v>
      </c>
      <c r="D57" s="1704"/>
      <c r="E57" s="1705">
        <f>ROUND((N54-W54)*1%,2)</f>
        <v>541.13</v>
      </c>
      <c r="F57" s="1705"/>
      <c r="G57" s="925"/>
      <c r="H57" s="916"/>
      <c r="I57" s="916"/>
      <c r="J57" s="911"/>
      <c r="K57" s="916"/>
      <c r="L57" s="916"/>
      <c r="M57" s="917"/>
      <c r="N57" s="916"/>
      <c r="O57" s="911"/>
      <c r="P57" s="911"/>
      <c r="Q57" s="911"/>
      <c r="R57" s="911"/>
      <c r="S57" s="911"/>
      <c r="T57" s="911"/>
      <c r="U57" s="911"/>
      <c r="V57" s="911"/>
      <c r="W57" s="911"/>
      <c r="X57" s="918"/>
      <c r="Y57" s="909" t="s">
        <v>562</v>
      </c>
      <c r="AD57" s="920"/>
      <c r="AE57" s="921"/>
      <c r="AF57" s="920"/>
      <c r="AG57" s="922"/>
      <c r="AH57" s="920"/>
      <c r="AI57" s="922"/>
      <c r="AJ57" s="920"/>
      <c r="AK57" s="923"/>
      <c r="AM57" s="923"/>
      <c r="AO57" s="923"/>
      <c r="AQ57" s="923"/>
      <c r="AU57" s="924"/>
      <c r="AV57" s="924"/>
    </row>
    <row r="58" spans="1:48" s="919" customFormat="1" ht="67.5" customHeight="1" thickBot="1">
      <c r="A58" s="910"/>
      <c r="B58" s="911"/>
      <c r="C58" s="1704" t="s">
        <v>578</v>
      </c>
      <c r="D58" s="1704"/>
      <c r="E58" s="1706">
        <f>ROUND((N54-W54)*0.25%,2)</f>
        <v>135.28</v>
      </c>
      <c r="F58" s="1706"/>
      <c r="G58" s="925"/>
      <c r="H58" s="916"/>
      <c r="I58" s="916"/>
      <c r="J58" s="1341">
        <f>الرئيسية!$N$10</f>
        <v>43617</v>
      </c>
      <c r="K58" s="916"/>
      <c r="L58" s="916"/>
      <c r="M58" s="917"/>
      <c r="N58" s="916"/>
      <c r="O58" s="911"/>
      <c r="P58" s="911"/>
      <c r="Q58" s="911"/>
      <c r="R58" s="911"/>
      <c r="S58" s="911"/>
      <c r="T58" s="911"/>
      <c r="U58" s="911"/>
      <c r="V58" s="911"/>
      <c r="W58" s="911"/>
      <c r="X58" s="918"/>
      <c r="Y58" s="909" t="s">
        <v>562</v>
      </c>
      <c r="AD58" s="920"/>
      <c r="AE58" s="921"/>
      <c r="AF58" s="920"/>
      <c r="AG58" s="922"/>
      <c r="AH58" s="920"/>
      <c r="AI58" s="922"/>
      <c r="AJ58" s="920"/>
      <c r="AK58" s="923"/>
      <c r="AM58" s="923"/>
      <c r="AO58" s="923"/>
      <c r="AQ58" s="923"/>
      <c r="AU58" s="924"/>
      <c r="AV58" s="924"/>
    </row>
    <row r="59" spans="1:48" s="919" customFormat="1" ht="88.5">
      <c r="A59" s="910"/>
      <c r="B59" s="926"/>
      <c r="D59" s="927"/>
      <c r="E59" s="1707">
        <f>E56+E57+E58+D55</f>
        <v>67641.42</v>
      </c>
      <c r="F59" s="1707"/>
      <c r="G59" s="1707"/>
      <c r="H59" s="911"/>
      <c r="I59" s="911"/>
      <c r="J59" s="911"/>
      <c r="K59" s="911"/>
      <c r="L59" s="911"/>
      <c r="M59" s="928"/>
      <c r="N59" s="916"/>
      <c r="O59" s="929"/>
      <c r="P59" s="911"/>
      <c r="Q59" s="911"/>
      <c r="R59" s="911"/>
      <c r="S59" s="911"/>
      <c r="T59" s="930"/>
      <c r="U59" s="911"/>
      <c r="V59" s="911"/>
      <c r="W59" s="911"/>
      <c r="X59" s="918"/>
      <c r="Y59" s="909" t="s">
        <v>562</v>
      </c>
      <c r="AD59" s="920"/>
      <c r="AE59" s="920"/>
      <c r="AF59" s="920"/>
      <c r="AG59" s="922"/>
      <c r="AH59" s="920"/>
      <c r="AI59" s="922"/>
      <c r="AJ59" s="920"/>
      <c r="AK59" s="923"/>
      <c r="AM59" s="923"/>
      <c r="AO59" s="923"/>
      <c r="AQ59" s="923"/>
      <c r="AU59" s="924"/>
      <c r="AV59" s="924"/>
    </row>
  </sheetData>
  <autoFilter ref="Y14:Y59">
    <filterColumn colId="0"/>
  </autoFilter>
  <mergeCells count="52">
    <mergeCell ref="B30:G30"/>
    <mergeCell ref="B13:B14"/>
    <mergeCell ref="C13:C14"/>
    <mergeCell ref="K13:M13"/>
    <mergeCell ref="X13:X14"/>
    <mergeCell ref="B22:G22"/>
    <mergeCell ref="C24:D24"/>
    <mergeCell ref="E24:F24"/>
    <mergeCell ref="C25:D25"/>
    <mergeCell ref="E25:F25"/>
    <mergeCell ref="C26:D26"/>
    <mergeCell ref="E26:F26"/>
    <mergeCell ref="E27:G27"/>
    <mergeCell ref="C32:D32"/>
    <mergeCell ref="E32:F32"/>
    <mergeCell ref="C33:D33"/>
    <mergeCell ref="E33:F33"/>
    <mergeCell ref="C34:D34"/>
    <mergeCell ref="E34:F34"/>
    <mergeCell ref="E35:G35"/>
    <mergeCell ref="B36:G36"/>
    <mergeCell ref="C38:D38"/>
    <mergeCell ref="E38:F38"/>
    <mergeCell ref="C39:D39"/>
    <mergeCell ref="E39:F39"/>
    <mergeCell ref="B48:G48"/>
    <mergeCell ref="C40:D40"/>
    <mergeCell ref="E40:F40"/>
    <mergeCell ref="E41:G41"/>
    <mergeCell ref="B42:G42"/>
    <mergeCell ref="C44:D44"/>
    <mergeCell ref="E44:F44"/>
    <mergeCell ref="C45:D45"/>
    <mergeCell ref="E45:F45"/>
    <mergeCell ref="C46:D46"/>
    <mergeCell ref="E46:F46"/>
    <mergeCell ref="E47:G47"/>
    <mergeCell ref="C50:D50"/>
    <mergeCell ref="E50:F50"/>
    <mergeCell ref="C51:D51"/>
    <mergeCell ref="E51:F51"/>
    <mergeCell ref="C52:D52"/>
    <mergeCell ref="E52:F52"/>
    <mergeCell ref="C58:D58"/>
    <mergeCell ref="E58:F58"/>
    <mergeCell ref="E59:G59"/>
    <mergeCell ref="E53:G53"/>
    <mergeCell ref="B54:G54"/>
    <mergeCell ref="C56:D56"/>
    <mergeCell ref="E56:F56"/>
    <mergeCell ref="C57:D57"/>
    <mergeCell ref="E57:F57"/>
  </mergeCells>
  <dataValidations count="2">
    <dataValidation type="list" allowBlank="1" showInputMessage="1" showErrorMessage="1" error="خطأ........إختر إحدى المقرات الموجودة في القائمة" sqref="Y22:Y27 Y30:Y59">
      <formula1>"الخزينة الولائية,لبنك الوطني الجزائري,بنك الفلاحة و التنمية الريفية,بنك التنمية المحلية,البنك الخارجي الجزائري,الحساب الجاري البريدي,القرض الشعبي الجزائري,الصندوق الوطني للتوفير والإحتياط"</formula1>
    </dataValidation>
    <dataValidation type="list" allowBlank="1" showInputMessage="1" showErrorMessage="1" sqref="J11">
      <formula1>'ورقة العمل'!Y10:Y12</formula1>
    </dataValidation>
  </dataValidations>
  <printOptions horizontalCentered="1"/>
  <pageMargins left="0.39370078740157483" right="0.19685039370078741" top="0.39370078740157483" bottom="0.59055118110236227" header="0" footer="0"/>
  <pageSetup paperSize="12" scale="14" orientation="landscape" horizontalDpi="180" verticalDpi="18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sheetPr>
    <tabColor rgb="FFFF0000"/>
    <pageSetUpPr fitToPage="1"/>
  </sheetPr>
  <dimension ref="B1:AN45"/>
  <sheetViews>
    <sheetView rightToLeft="1" view="pageBreakPreview" zoomScale="40" zoomScaleSheetLayoutView="40" workbookViewId="0">
      <selection activeCell="B45" sqref="B45"/>
    </sheetView>
  </sheetViews>
  <sheetFormatPr baseColWidth="10" defaultRowHeight="12.75"/>
  <cols>
    <col min="1" max="1" width="3" style="586" customWidth="1"/>
    <col min="2" max="4" width="25.140625" style="586" customWidth="1"/>
    <col min="5" max="6" width="31.28515625" style="586" customWidth="1"/>
    <col min="7" max="9" width="25.140625" style="586" customWidth="1"/>
    <col min="10" max="10" width="15.140625" style="586" customWidth="1"/>
    <col min="11" max="11" width="3.7109375" style="586" customWidth="1"/>
    <col min="12" max="12" width="23.7109375" style="586" customWidth="1"/>
    <col min="13" max="13" width="33.28515625" style="586" customWidth="1"/>
    <col min="14" max="14" width="11.42578125" style="586"/>
    <col min="15" max="15" width="13.5703125" style="898" customWidth="1"/>
    <col min="16" max="18" width="11.42578125" style="586"/>
    <col min="19" max="19" width="19.28515625" style="586" customWidth="1"/>
    <col min="20" max="20" width="21.5703125" style="586" customWidth="1"/>
    <col min="21" max="21" width="17.42578125" style="586" customWidth="1"/>
    <col min="22" max="22" width="18.28515625" style="586" customWidth="1"/>
    <col min="23" max="23" width="19" style="586" customWidth="1"/>
    <col min="24" max="24" width="15.7109375" style="586" customWidth="1"/>
    <col min="25" max="25" width="15.42578125" style="586" customWidth="1"/>
    <col min="26" max="26" width="18.5703125" style="586" customWidth="1"/>
    <col min="27" max="28" width="20.7109375" style="586" customWidth="1"/>
    <col min="29" max="29" width="22" style="586" bestFit="1" customWidth="1"/>
    <col min="30" max="30" width="18.5703125" style="586" customWidth="1"/>
    <col min="31" max="31" width="22.42578125" style="586" customWidth="1"/>
    <col min="32" max="16384" width="11.42578125" style="586"/>
  </cols>
  <sheetData>
    <row r="1" spans="2:40" s="708" customFormat="1" ht="51">
      <c r="B1" s="826" t="s">
        <v>1</v>
      </c>
      <c r="C1" s="827"/>
      <c r="D1" s="828"/>
      <c r="E1" s="829"/>
      <c r="F1" s="830" t="s">
        <v>47</v>
      </c>
      <c r="G1" s="827"/>
      <c r="H1" s="831" t="s">
        <v>48</v>
      </c>
      <c r="I1" s="832"/>
      <c r="J1" s="827"/>
      <c r="L1" s="833"/>
      <c r="O1" s="695"/>
      <c r="P1" s="695"/>
      <c r="Q1" s="696"/>
      <c r="R1" s="698"/>
      <c r="S1" s="834"/>
      <c r="T1" s="834"/>
      <c r="U1" s="834"/>
      <c r="V1" s="834"/>
      <c r="W1" s="834"/>
      <c r="X1" s="834"/>
      <c r="Y1" s="834"/>
      <c r="Z1" s="834"/>
      <c r="AA1" s="834"/>
      <c r="AB1" s="834"/>
      <c r="AC1" s="834"/>
      <c r="AD1" s="834"/>
      <c r="AE1" s="834"/>
      <c r="AF1" s="710"/>
      <c r="AH1" s="710"/>
      <c r="AJ1" s="710"/>
      <c r="AL1" s="710"/>
      <c r="AN1" s="710"/>
    </row>
    <row r="2" spans="2:40" s="708" customFormat="1" ht="39" customHeight="1">
      <c r="B2" s="1365" t="s">
        <v>778</v>
      </c>
      <c r="C2" s="827"/>
      <c r="D2" s="827"/>
      <c r="E2" s="831" t="s">
        <v>49</v>
      </c>
      <c r="F2" s="827"/>
      <c r="G2" s="827"/>
      <c r="H2" s="1364" t="s">
        <v>780</v>
      </c>
      <c r="I2" s="832"/>
      <c r="J2" s="827"/>
      <c r="O2" s="695"/>
      <c r="P2" s="695"/>
      <c r="Q2" s="696"/>
      <c r="R2" s="698"/>
      <c r="S2" s="834"/>
      <c r="T2" s="834"/>
      <c r="U2" s="834"/>
      <c r="V2" s="834"/>
      <c r="W2" s="834"/>
      <c r="X2" s="834"/>
      <c r="Y2" s="834"/>
      <c r="Z2" s="834"/>
      <c r="AA2" s="834"/>
      <c r="AB2" s="834"/>
      <c r="AC2" s="834"/>
      <c r="AD2" s="834"/>
      <c r="AE2" s="834"/>
      <c r="AF2" s="710"/>
      <c r="AH2" s="710"/>
      <c r="AJ2" s="710"/>
      <c r="AL2" s="710"/>
      <c r="AN2" s="710"/>
    </row>
    <row r="3" spans="2:40" s="708" customFormat="1" ht="39" customHeight="1">
      <c r="B3" s="1366" t="s">
        <v>779</v>
      </c>
      <c r="C3" s="827"/>
      <c r="D3" s="827"/>
      <c r="E3" s="831" t="s">
        <v>50</v>
      </c>
      <c r="F3" s="827"/>
      <c r="G3" s="827"/>
      <c r="H3" s="835" t="s">
        <v>51</v>
      </c>
      <c r="I3" s="832"/>
      <c r="J3" s="827"/>
      <c r="O3" s="695"/>
      <c r="P3" s="695"/>
      <c r="Q3" s="696"/>
      <c r="R3" s="698"/>
      <c r="S3" s="834"/>
      <c r="T3" s="834"/>
      <c r="U3" s="834"/>
      <c r="V3" s="834"/>
      <c r="W3" s="834"/>
      <c r="X3" s="834"/>
      <c r="Y3" s="834"/>
      <c r="Z3" s="834"/>
      <c r="AA3" s="834"/>
      <c r="AB3" s="834"/>
      <c r="AC3" s="834"/>
      <c r="AD3" s="834"/>
      <c r="AE3" s="834"/>
      <c r="AF3" s="710"/>
      <c r="AH3" s="710"/>
      <c r="AJ3" s="710"/>
      <c r="AL3" s="710"/>
      <c r="AN3" s="710"/>
    </row>
    <row r="4" spans="2:40" s="708" customFormat="1" ht="42.75">
      <c r="B4" s="836"/>
      <c r="C4" s="827"/>
      <c r="D4" s="827"/>
      <c r="E4" s="716"/>
      <c r="F4" s="827"/>
      <c r="G4" s="827"/>
      <c r="H4" s="837" t="s">
        <v>52</v>
      </c>
      <c r="I4" s="838"/>
      <c r="J4" s="827"/>
      <c r="O4" s="695"/>
      <c r="P4" s="695"/>
      <c r="Q4" s="696"/>
      <c r="R4" s="698"/>
      <c r="S4" s="834"/>
      <c r="T4" s="834"/>
      <c r="U4" s="834"/>
      <c r="V4" s="834"/>
      <c r="W4" s="834"/>
      <c r="X4" s="834"/>
      <c r="Y4" s="834"/>
      <c r="Z4" s="834"/>
      <c r="AA4" s="834"/>
      <c r="AB4" s="834"/>
      <c r="AC4" s="834"/>
      <c r="AD4" s="834"/>
      <c r="AE4" s="834"/>
      <c r="AF4" s="710"/>
      <c r="AH4" s="710"/>
      <c r="AJ4" s="710"/>
      <c r="AL4" s="710"/>
      <c r="AN4" s="710"/>
    </row>
    <row r="5" spans="2:40" s="708" customFormat="1" ht="42.75">
      <c r="B5" s="931" t="s">
        <v>644</v>
      </c>
      <c r="C5" s="1289">
        <v>78</v>
      </c>
      <c r="D5" s="716"/>
      <c r="E5" s="1733" t="str">
        <f>CONCATENATE("لشهـــــر :"," ",الرئيسية!N8)</f>
        <v>لشهـــــر : جوان</v>
      </c>
      <c r="F5" s="1733"/>
      <c r="G5" s="827"/>
      <c r="H5" s="827"/>
      <c r="I5" s="832"/>
      <c r="J5" s="827"/>
      <c r="O5" s="695"/>
      <c r="P5" s="695"/>
      <c r="Q5" s="696"/>
      <c r="R5" s="698"/>
      <c r="S5" s="834"/>
      <c r="T5" s="834"/>
      <c r="U5" s="834"/>
      <c r="V5" s="834"/>
      <c r="W5" s="834"/>
      <c r="X5" s="834"/>
      <c r="Y5" s="834"/>
      <c r="Z5" s="834"/>
      <c r="AA5" s="834"/>
      <c r="AB5" s="834"/>
      <c r="AC5" s="834"/>
      <c r="AD5" s="834"/>
      <c r="AE5" s="834"/>
      <c r="AF5" s="710"/>
      <c r="AH5" s="710"/>
      <c r="AJ5" s="710"/>
      <c r="AL5" s="710"/>
      <c r="AN5" s="710"/>
    </row>
    <row r="6" spans="2:40" s="708" customFormat="1" ht="42.75">
      <c r="B6" s="835"/>
      <c r="C6" s="839"/>
      <c r="D6" s="716"/>
      <c r="E6" s="840"/>
      <c r="F6" s="840"/>
      <c r="G6" s="827"/>
      <c r="H6" s="827"/>
      <c r="I6" s="832"/>
      <c r="J6" s="827"/>
      <c r="O6" s="695"/>
      <c r="P6" s="695"/>
      <c r="Q6" s="696"/>
      <c r="R6" s="698"/>
      <c r="S6" s="834"/>
      <c r="T6" s="834"/>
      <c r="U6" s="841"/>
      <c r="V6" s="834"/>
      <c r="W6" s="834"/>
      <c r="X6" s="834"/>
      <c r="Y6" s="834"/>
      <c r="Z6" s="834"/>
      <c r="AA6" s="842"/>
      <c r="AB6" s="842"/>
      <c r="AD6" s="710"/>
      <c r="AE6" s="843"/>
      <c r="AF6" s="710"/>
      <c r="AH6" s="710"/>
      <c r="AJ6" s="710"/>
      <c r="AL6" s="710"/>
      <c r="AN6" s="710"/>
    </row>
    <row r="7" spans="2:40" s="708" customFormat="1" ht="36.75" customHeight="1">
      <c r="B7" s="844"/>
      <c r="C7" s="827"/>
      <c r="D7" s="845"/>
      <c r="E7" s="835" t="str">
        <f ca="1">CONCATENATE("تسييــــر : "," ",YEAR(TODAY())," ","فصل  : 222222"  )</f>
        <v>تسييــــر :  2019 فصل  : 222222</v>
      </c>
      <c r="F7" s="827"/>
      <c r="G7" s="827"/>
      <c r="H7" s="836"/>
      <c r="I7" s="836"/>
      <c r="J7" s="827"/>
      <c r="S7" s="717"/>
      <c r="U7" s="778"/>
      <c r="V7" s="843"/>
      <c r="AA7" s="710"/>
      <c r="AB7" s="710"/>
      <c r="AD7" s="710"/>
      <c r="AE7" s="843"/>
      <c r="AF7" s="710"/>
      <c r="AH7" s="710"/>
      <c r="AJ7" s="710"/>
      <c r="AL7" s="710"/>
      <c r="AN7" s="710"/>
    </row>
    <row r="8" spans="2:40" s="708" customFormat="1" ht="36.75" customHeight="1">
      <c r="B8" s="844"/>
      <c r="C8" s="827"/>
      <c r="D8" s="845"/>
      <c r="E8" s="835"/>
      <c r="F8" s="827"/>
      <c r="G8" s="827"/>
      <c r="H8" s="836"/>
      <c r="I8" s="836"/>
      <c r="J8" s="827"/>
      <c r="S8" s="717"/>
      <c r="U8" s="778"/>
      <c r="AA8" s="710"/>
      <c r="AB8" s="710"/>
      <c r="AD8" s="710"/>
      <c r="AE8" s="843"/>
      <c r="AF8" s="710"/>
      <c r="AH8" s="710"/>
      <c r="AJ8" s="710"/>
      <c r="AL8" s="710"/>
      <c r="AN8" s="710"/>
    </row>
    <row r="9" spans="2:40" s="708" customFormat="1" ht="36.75" customHeight="1">
      <c r="B9" s="835"/>
      <c r="C9" s="827"/>
      <c r="D9" s="845"/>
      <c r="E9" s="846" t="s">
        <v>53</v>
      </c>
      <c r="F9" s="932" t="str">
        <f>LOOKUP(C5,'ورقة العمل'!Y:Y,'ورقة العمل'!X:X)</f>
        <v>بنك الفلاحة والتنمية الريفية</v>
      </c>
      <c r="G9" s="827"/>
      <c r="H9" s="827"/>
      <c r="I9" s="827"/>
      <c r="J9" s="827"/>
      <c r="S9" s="717"/>
      <c r="U9" s="778"/>
      <c r="AA9" s="710"/>
      <c r="AB9" s="710"/>
      <c r="AD9" s="710"/>
      <c r="AE9" s="843"/>
      <c r="AF9" s="710"/>
      <c r="AH9" s="710"/>
      <c r="AJ9" s="710"/>
      <c r="AL9" s="710"/>
      <c r="AN9" s="710"/>
    </row>
    <row r="10" spans="2:40" s="708" customFormat="1" ht="36.75" customHeight="1">
      <c r="B10" s="835"/>
      <c r="C10" s="827"/>
      <c r="D10" s="845"/>
      <c r="E10" s="846"/>
      <c r="F10" s="847"/>
      <c r="G10" s="827"/>
      <c r="H10" s="827"/>
      <c r="I10" s="827"/>
      <c r="J10" s="827"/>
      <c r="M10" s="588"/>
      <c r="S10" s="717"/>
      <c r="U10" s="778"/>
      <c r="AA10" s="710"/>
      <c r="AB10" s="710"/>
      <c r="AD10" s="710"/>
      <c r="AF10" s="710"/>
      <c r="AH10" s="710"/>
      <c r="AJ10" s="710"/>
      <c r="AL10" s="710"/>
      <c r="AN10" s="710"/>
    </row>
    <row r="11" spans="2:40" s="708" customFormat="1" ht="36.75" customHeight="1">
      <c r="B11" s="827"/>
      <c r="C11" s="827"/>
      <c r="D11" s="845"/>
      <c r="E11" s="1364" t="s">
        <v>781</v>
      </c>
      <c r="F11" s="1367"/>
      <c r="G11" s="827"/>
      <c r="H11" s="827"/>
      <c r="I11" s="827"/>
      <c r="J11" s="832" t="s">
        <v>54</v>
      </c>
      <c r="M11" s="1368"/>
      <c r="S11" s="717"/>
      <c r="U11" s="778"/>
      <c r="AA11" s="710"/>
      <c r="AB11" s="710"/>
      <c r="AD11" s="710"/>
      <c r="AF11" s="710"/>
      <c r="AH11" s="710"/>
      <c r="AJ11" s="710"/>
      <c r="AL11" s="710"/>
      <c r="AN11" s="710"/>
    </row>
    <row r="12" spans="2:40" s="708" customFormat="1" ht="36.75" customHeight="1">
      <c r="B12" s="827"/>
      <c r="C12" s="827"/>
      <c r="D12" s="845"/>
      <c r="E12" s="835"/>
      <c r="F12" s="827"/>
      <c r="G12" s="827"/>
      <c r="H12" s="827"/>
      <c r="I12" s="827"/>
      <c r="J12" s="832"/>
      <c r="M12" s="1369"/>
      <c r="S12" s="717"/>
      <c r="U12" s="778"/>
      <c r="AA12" s="710"/>
      <c r="AB12" s="710"/>
      <c r="AD12" s="710"/>
      <c r="AF12" s="710"/>
      <c r="AH12" s="710"/>
      <c r="AJ12" s="710"/>
      <c r="AL12" s="710"/>
      <c r="AN12" s="710"/>
    </row>
    <row r="13" spans="2:40" s="708" customFormat="1" ht="38.25" customHeight="1">
      <c r="B13" s="827"/>
      <c r="C13" s="827"/>
      <c r="D13" s="836"/>
      <c r="E13" s="827"/>
      <c r="F13" s="827"/>
      <c r="G13" s="827"/>
      <c r="H13" s="827"/>
      <c r="I13" s="827"/>
      <c r="J13" s="827"/>
      <c r="M13" s="1369"/>
      <c r="S13" s="717"/>
      <c r="U13" s="778"/>
      <c r="AA13" s="710"/>
      <c r="AB13" s="710"/>
      <c r="AD13" s="710"/>
      <c r="AF13" s="710"/>
      <c r="AH13" s="710"/>
      <c r="AJ13" s="710"/>
      <c r="AL13" s="710"/>
      <c r="AN13" s="710"/>
    </row>
    <row r="14" spans="2:40" s="708" customFormat="1" ht="23.25">
      <c r="B14" s="848"/>
      <c r="C14" s="849"/>
      <c r="D14" s="849"/>
      <c r="E14" s="850"/>
      <c r="F14" s="851"/>
      <c r="G14" s="849"/>
      <c r="H14" s="849"/>
      <c r="I14" s="849"/>
      <c r="J14" s="852"/>
      <c r="M14" s="588"/>
      <c r="S14" s="717"/>
      <c r="U14" s="778"/>
      <c r="AA14" s="710"/>
      <c r="AB14" s="710"/>
      <c r="AD14" s="710"/>
      <c r="AF14" s="710"/>
      <c r="AH14" s="710"/>
      <c r="AJ14" s="710"/>
      <c r="AL14" s="710"/>
      <c r="AN14" s="710"/>
    </row>
    <row r="15" spans="2:40" s="708" customFormat="1" ht="45" customHeight="1">
      <c r="B15" s="853" t="s">
        <v>636</v>
      </c>
      <c r="C15" s="854"/>
      <c r="D15" s="855"/>
      <c r="E15" s="933">
        <f>VLOOKUP(C5,TABMAND,S2+13,FALSE)</f>
        <v>20194.52</v>
      </c>
      <c r="F15" s="857"/>
      <c r="G15" s="858"/>
      <c r="H15" s="858"/>
      <c r="I15" s="858"/>
      <c r="J15" s="859"/>
      <c r="O15" s="825"/>
      <c r="S15" s="717"/>
      <c r="U15" s="778"/>
      <c r="AA15" s="710"/>
      <c r="AB15" s="710"/>
      <c r="AD15" s="710"/>
      <c r="AF15" s="710"/>
      <c r="AH15" s="710"/>
      <c r="AJ15" s="710"/>
      <c r="AL15" s="710"/>
      <c r="AN15" s="710"/>
    </row>
    <row r="16" spans="2:40" s="708" customFormat="1" ht="45" customHeight="1">
      <c r="B16" s="853"/>
      <c r="C16" s="854"/>
      <c r="D16" s="855"/>
      <c r="E16" s="856"/>
      <c r="F16" s="857"/>
      <c r="G16" s="858"/>
      <c r="H16" s="858"/>
      <c r="I16" s="858"/>
      <c r="J16" s="859"/>
      <c r="O16" s="825"/>
      <c r="S16" s="717"/>
      <c r="U16" s="778"/>
      <c r="AA16" s="710"/>
      <c r="AB16" s="710"/>
      <c r="AD16" s="710"/>
      <c r="AF16" s="710"/>
      <c r="AH16" s="710"/>
      <c r="AJ16" s="710"/>
      <c r="AL16" s="710"/>
      <c r="AN16" s="710"/>
    </row>
    <row r="17" spans="2:40" s="708" customFormat="1" ht="45" customHeight="1">
      <c r="B17" s="853"/>
      <c r="C17" s="855"/>
      <c r="D17" s="855"/>
      <c r="E17" s="856"/>
      <c r="F17" s="857"/>
      <c r="G17" s="858"/>
      <c r="H17" s="858"/>
      <c r="I17" s="858"/>
      <c r="J17" s="859"/>
      <c r="O17" s="825"/>
      <c r="S17" s="717"/>
      <c r="U17" s="778"/>
      <c r="AA17" s="710"/>
      <c r="AB17" s="710"/>
      <c r="AD17" s="710"/>
      <c r="AF17" s="710"/>
      <c r="AH17" s="710"/>
      <c r="AJ17" s="710"/>
      <c r="AL17" s="710"/>
      <c r="AN17" s="710"/>
    </row>
    <row r="18" spans="2:40" s="708" customFormat="1" ht="45" customHeight="1">
      <c r="B18" s="853"/>
      <c r="C18" s="855"/>
      <c r="D18" s="855"/>
      <c r="E18" s="860"/>
      <c r="F18" s="857"/>
      <c r="G18" s="858"/>
      <c r="H18" s="858"/>
      <c r="I18" s="858"/>
      <c r="J18" s="859"/>
      <c r="O18" s="825"/>
      <c r="S18" s="717"/>
      <c r="U18" s="778"/>
      <c r="AA18" s="710"/>
      <c r="AB18" s="710"/>
      <c r="AD18" s="710"/>
      <c r="AF18" s="710"/>
      <c r="AH18" s="710"/>
      <c r="AJ18" s="710"/>
      <c r="AL18" s="710"/>
      <c r="AN18" s="710"/>
    </row>
    <row r="19" spans="2:40" s="708" customFormat="1" ht="48" customHeight="1">
      <c r="B19" s="861"/>
      <c r="C19" s="858"/>
      <c r="D19" s="858"/>
      <c r="E19" s="860"/>
      <c r="F19" s="857"/>
      <c r="G19" s="858"/>
      <c r="H19" s="858"/>
      <c r="I19" s="858"/>
      <c r="J19" s="859"/>
      <c r="O19" s="825"/>
      <c r="S19" s="717"/>
      <c r="U19" s="778"/>
      <c r="AA19" s="710"/>
      <c r="AB19" s="710"/>
      <c r="AD19" s="710"/>
      <c r="AF19" s="710"/>
      <c r="AH19" s="710"/>
      <c r="AJ19" s="710"/>
      <c r="AL19" s="710"/>
      <c r="AN19" s="710"/>
    </row>
    <row r="20" spans="2:40" s="708" customFormat="1" ht="40.5" customHeight="1">
      <c r="B20" s="861"/>
      <c r="C20" s="862" t="s">
        <v>59</v>
      </c>
      <c r="D20" s="858"/>
      <c r="E20" s="860"/>
      <c r="F20" s="863">
        <f>E15</f>
        <v>20194.52</v>
      </c>
      <c r="G20" s="858"/>
      <c r="H20" s="858"/>
      <c r="I20" s="858"/>
      <c r="J20" s="859"/>
      <c r="O20" s="825"/>
      <c r="S20" s="717"/>
      <c r="U20" s="778"/>
      <c r="AA20" s="710"/>
      <c r="AB20" s="710"/>
      <c r="AD20" s="710"/>
      <c r="AF20" s="710"/>
      <c r="AH20" s="710"/>
      <c r="AJ20" s="710"/>
      <c r="AL20" s="710"/>
      <c r="AN20" s="710"/>
    </row>
    <row r="21" spans="2:40" s="708" customFormat="1" ht="85.5" customHeight="1">
      <c r="B21" s="864"/>
      <c r="C21" s="858"/>
      <c r="D21" s="858"/>
      <c r="E21" s="860"/>
      <c r="F21" s="865"/>
      <c r="G21" s="858"/>
      <c r="H21" s="858"/>
      <c r="I21" s="858"/>
      <c r="J21" s="859"/>
      <c r="O21" s="825"/>
      <c r="S21" s="717"/>
      <c r="U21" s="778"/>
      <c r="AA21" s="710"/>
      <c r="AB21" s="710"/>
      <c r="AD21" s="710"/>
      <c r="AF21" s="710"/>
      <c r="AH21" s="710"/>
      <c r="AJ21" s="710"/>
      <c r="AL21" s="710"/>
      <c r="AN21" s="710"/>
    </row>
    <row r="22" spans="2:40" s="708" customFormat="1" ht="50.25" customHeight="1">
      <c r="B22" s="861"/>
      <c r="C22" s="866"/>
      <c r="D22" s="858"/>
      <c r="E22" s="860"/>
      <c r="F22" s="865"/>
      <c r="G22" s="1734" t="str">
        <f ca="1">CONCATENATE('ETAT-PAY-VACT'!E10," ","للموظفين المتعاقدين المستخدمين بالتوقيت"," ","الجزئي")</f>
        <v>أجـــرة شهـــر جوان 2019 للموظفين المتعاقدين المستخدمين بالتوقيت الجزئي</v>
      </c>
      <c r="H22" s="1735"/>
      <c r="I22" s="1735"/>
      <c r="J22" s="1736"/>
      <c r="O22" s="825"/>
      <c r="S22" s="717"/>
      <c r="U22" s="778"/>
      <c r="AA22" s="710"/>
      <c r="AB22" s="710"/>
      <c r="AD22" s="710"/>
      <c r="AF22" s="710"/>
      <c r="AH22" s="710"/>
      <c r="AJ22" s="710"/>
      <c r="AL22" s="710"/>
      <c r="AN22" s="710"/>
    </row>
    <row r="23" spans="2:40" s="708" customFormat="1" ht="48.75" customHeight="1">
      <c r="B23" s="864"/>
      <c r="C23" s="867" t="s">
        <v>60</v>
      </c>
      <c r="D23" s="858"/>
      <c r="E23" s="860"/>
      <c r="F23" s="865"/>
      <c r="G23" s="1734"/>
      <c r="H23" s="1735"/>
      <c r="I23" s="1735"/>
      <c r="J23" s="1736"/>
      <c r="O23" s="825"/>
      <c r="S23" s="717"/>
      <c r="U23" s="778"/>
      <c r="AA23" s="710"/>
      <c r="AB23" s="710"/>
      <c r="AD23" s="710"/>
      <c r="AF23" s="710"/>
      <c r="AH23" s="710"/>
      <c r="AJ23" s="710"/>
      <c r="AL23" s="710"/>
      <c r="AN23" s="710"/>
    </row>
    <row r="24" spans="2:40" s="708" customFormat="1" ht="43.5" customHeight="1">
      <c r="B24" s="864"/>
      <c r="C24" s="858"/>
      <c r="D24" s="868" t="s">
        <v>70</v>
      </c>
      <c r="E24" s="860"/>
      <c r="F24" s="865"/>
      <c r="G24" s="1734"/>
      <c r="H24" s="1735"/>
      <c r="I24" s="1735"/>
      <c r="J24" s="1736"/>
      <c r="O24" s="825"/>
      <c r="S24" s="717"/>
      <c r="U24" s="778"/>
      <c r="AA24" s="710"/>
      <c r="AB24" s="710"/>
      <c r="AD24" s="710"/>
      <c r="AF24" s="710"/>
      <c r="AH24" s="710"/>
      <c r="AJ24" s="710"/>
      <c r="AL24" s="710"/>
      <c r="AN24" s="710"/>
    </row>
    <row r="25" spans="2:40" s="708" customFormat="1" ht="43.5" customHeight="1">
      <c r="B25" s="869" t="s">
        <v>61</v>
      </c>
      <c r="C25" s="858"/>
      <c r="D25" s="858"/>
      <c r="E25" s="870">
        <f>VLOOKUP(C5,TABMAND,S2+14,FALSE)</f>
        <v>5436.27</v>
      </c>
      <c r="F25" s="865"/>
      <c r="G25" s="871"/>
      <c r="H25" s="872"/>
      <c r="J25" s="859"/>
      <c r="O25" s="825"/>
      <c r="S25" s="717"/>
      <c r="U25" s="778"/>
      <c r="AA25" s="710"/>
      <c r="AB25" s="710"/>
      <c r="AD25" s="710"/>
      <c r="AF25" s="710"/>
      <c r="AH25" s="710"/>
      <c r="AJ25" s="710"/>
      <c r="AL25" s="710"/>
      <c r="AN25" s="710"/>
    </row>
    <row r="26" spans="2:40" s="708" customFormat="1" ht="43.5" customHeight="1">
      <c r="B26" s="864"/>
      <c r="C26" s="873" t="s">
        <v>67</v>
      </c>
      <c r="D26" s="854"/>
      <c r="E26" s="870"/>
      <c r="F26" s="865"/>
      <c r="G26" s="858"/>
      <c r="H26" s="858"/>
      <c r="I26" s="858"/>
      <c r="J26" s="859"/>
      <c r="O26" s="825"/>
      <c r="S26" s="717"/>
      <c r="U26" s="778"/>
      <c r="AA26" s="710"/>
      <c r="AB26" s="710"/>
      <c r="AD26" s="710"/>
      <c r="AF26" s="710"/>
      <c r="AH26" s="710"/>
      <c r="AJ26" s="710"/>
      <c r="AL26" s="710"/>
      <c r="AN26" s="710"/>
    </row>
    <row r="27" spans="2:40" s="708" customFormat="1" ht="43.5" customHeight="1">
      <c r="B27" s="861"/>
      <c r="C27" s="862" t="s">
        <v>68</v>
      </c>
      <c r="D27" s="858"/>
      <c r="E27" s="870">
        <f>VLOOKUP(C5,TABMAND,S2+6,FALSE)</f>
        <v>1459.61</v>
      </c>
      <c r="F27" s="865"/>
      <c r="G27" s="858"/>
      <c r="H27" s="858"/>
      <c r="I27" s="858"/>
      <c r="J27" s="859"/>
      <c r="O27" s="825"/>
      <c r="S27" s="717"/>
      <c r="U27" s="778"/>
      <c r="AA27" s="710"/>
      <c r="AB27" s="710"/>
      <c r="AD27" s="710"/>
      <c r="AF27" s="710"/>
      <c r="AH27" s="710"/>
      <c r="AJ27" s="710"/>
      <c r="AL27" s="710"/>
      <c r="AN27" s="710"/>
    </row>
    <row r="28" spans="2:40" s="708" customFormat="1" ht="43.5" customHeight="1">
      <c r="B28" s="861"/>
      <c r="C28" s="862" t="s">
        <v>69</v>
      </c>
      <c r="D28" s="858"/>
      <c r="E28" s="870">
        <v>0</v>
      </c>
      <c r="F28" s="865"/>
      <c r="G28" s="858"/>
      <c r="H28" s="858"/>
      <c r="I28" s="858"/>
      <c r="J28" s="859"/>
      <c r="O28" s="825"/>
      <c r="S28" s="717"/>
      <c r="U28" s="778"/>
      <c r="AA28" s="710"/>
      <c r="AB28" s="710"/>
      <c r="AD28" s="710"/>
      <c r="AF28" s="710"/>
      <c r="AH28" s="710"/>
      <c r="AJ28" s="710"/>
      <c r="AL28" s="710"/>
      <c r="AN28" s="710"/>
    </row>
    <row r="29" spans="2:40" s="708" customFormat="1" ht="43.5" customHeight="1">
      <c r="B29" s="861"/>
      <c r="C29" s="862" t="s">
        <v>71</v>
      </c>
      <c r="D29" s="858"/>
      <c r="E29" s="870">
        <v>0</v>
      </c>
      <c r="F29" s="865"/>
      <c r="G29" s="874"/>
      <c r="H29" s="875"/>
      <c r="I29" s="875"/>
      <c r="J29" s="876"/>
      <c r="O29" s="825"/>
      <c r="S29" s="717"/>
      <c r="U29" s="778"/>
      <c r="AA29" s="710"/>
      <c r="AB29" s="710"/>
      <c r="AD29" s="710"/>
      <c r="AF29" s="710"/>
      <c r="AH29" s="710"/>
      <c r="AJ29" s="710"/>
      <c r="AL29" s="710"/>
      <c r="AN29" s="710"/>
    </row>
    <row r="30" spans="2:40" s="708" customFormat="1" ht="43.5" customHeight="1">
      <c r="B30" s="861"/>
      <c r="C30" s="862" t="s">
        <v>72</v>
      </c>
      <c r="D30" s="858"/>
      <c r="E30" s="870">
        <f>VLOOKUP(C5,TABMAND,S2+10,FALSE)</f>
        <v>0</v>
      </c>
      <c r="F30" s="865"/>
      <c r="G30" s="858"/>
      <c r="H30" s="858"/>
      <c r="I30" s="858"/>
      <c r="J30" s="859"/>
      <c r="O30" s="825"/>
      <c r="S30" s="717"/>
      <c r="U30" s="778"/>
      <c r="AA30" s="710"/>
      <c r="AB30" s="710"/>
      <c r="AD30" s="710"/>
      <c r="AF30" s="710"/>
      <c r="AH30" s="710"/>
      <c r="AJ30" s="710"/>
      <c r="AL30" s="710"/>
      <c r="AN30" s="710"/>
    </row>
    <row r="31" spans="2:40" s="708" customFormat="1" ht="43.5" customHeight="1">
      <c r="B31" s="861"/>
      <c r="C31" s="862" t="s">
        <v>73</v>
      </c>
      <c r="D31" s="858"/>
      <c r="E31" s="870">
        <f>VLOOKUP(C5,TABMAND,S2+7,FALSE)</f>
        <v>0</v>
      </c>
      <c r="F31" s="865"/>
      <c r="G31" s="877" t="s">
        <v>62</v>
      </c>
      <c r="H31" s="878"/>
      <c r="I31" s="878"/>
      <c r="J31" s="879"/>
      <c r="O31" s="825"/>
      <c r="S31" s="717"/>
      <c r="U31" s="778"/>
      <c r="AA31" s="710"/>
      <c r="AB31" s="710"/>
      <c r="AD31" s="710"/>
      <c r="AF31" s="710"/>
      <c r="AH31" s="710"/>
      <c r="AJ31" s="710"/>
      <c r="AL31" s="710"/>
      <c r="AN31" s="710"/>
    </row>
    <row r="32" spans="2:40" s="708" customFormat="1" ht="43.5" customHeight="1">
      <c r="B32" s="861"/>
      <c r="C32" s="880" t="s">
        <v>74</v>
      </c>
      <c r="D32" s="858"/>
      <c r="E32" s="870">
        <f>VLOOKUP(C5,TABMAND,S2+11,FALSE)</f>
        <v>481.57</v>
      </c>
      <c r="F32" s="865"/>
      <c r="G32" s="874"/>
      <c r="H32" s="875"/>
      <c r="I32" s="875"/>
      <c r="J32" s="876"/>
      <c r="O32" s="825"/>
      <c r="S32" s="717"/>
      <c r="U32" s="778"/>
      <c r="AA32" s="710"/>
      <c r="AB32" s="710"/>
      <c r="AD32" s="710"/>
      <c r="AF32" s="710"/>
      <c r="AH32" s="710"/>
      <c r="AJ32" s="710"/>
      <c r="AL32" s="710"/>
      <c r="AN32" s="710"/>
    </row>
    <row r="33" spans="2:40" s="708" customFormat="1" ht="42.75" customHeight="1">
      <c r="B33" s="861"/>
      <c r="C33" s="862" t="s">
        <v>637</v>
      </c>
      <c r="D33" s="858"/>
      <c r="E33" s="870">
        <v>0</v>
      </c>
      <c r="F33" s="865"/>
      <c r="G33" s="881"/>
      <c r="H33" s="866" t="s">
        <v>77</v>
      </c>
      <c r="I33" s="858"/>
      <c r="J33" s="859"/>
      <c r="O33" s="825"/>
      <c r="S33" s="717"/>
      <c r="U33" s="778"/>
      <c r="AA33" s="710"/>
      <c r="AB33" s="710"/>
      <c r="AD33" s="710"/>
      <c r="AF33" s="710"/>
      <c r="AH33" s="710"/>
      <c r="AJ33" s="710"/>
      <c r="AL33" s="710"/>
      <c r="AN33" s="710"/>
    </row>
    <row r="34" spans="2:40" s="708" customFormat="1" ht="42.75" customHeight="1">
      <c r="B34" s="861"/>
      <c r="C34" s="862" t="s">
        <v>75</v>
      </c>
      <c r="D34" s="858"/>
      <c r="E34" s="882">
        <f>SUM(E25:E33)</f>
        <v>7377.45</v>
      </c>
      <c r="F34" s="865"/>
      <c r="G34" s="858"/>
      <c r="H34" s="866" t="s">
        <v>78</v>
      </c>
      <c r="I34" s="858"/>
      <c r="J34" s="859"/>
      <c r="M34" s="883"/>
      <c r="N34" s="883"/>
      <c r="O34" s="884"/>
      <c r="S34" s="717"/>
      <c r="U34" s="778"/>
      <c r="AA34" s="710"/>
      <c r="AB34" s="710"/>
      <c r="AD34" s="710"/>
      <c r="AF34" s="710"/>
      <c r="AH34" s="710"/>
      <c r="AJ34" s="710"/>
      <c r="AL34" s="710"/>
      <c r="AN34" s="710"/>
    </row>
    <row r="35" spans="2:40" s="708" customFormat="1" ht="42.75" customHeight="1">
      <c r="B35" s="864"/>
      <c r="C35" s="862" t="s">
        <v>76</v>
      </c>
      <c r="D35" s="858"/>
      <c r="E35" s="885"/>
      <c r="F35" s="886">
        <f>SUM(F20-E34)</f>
        <v>12817.07</v>
      </c>
      <c r="G35" s="858"/>
      <c r="H35" s="866" t="s">
        <v>79</v>
      </c>
      <c r="I35" s="858"/>
      <c r="J35" s="859"/>
      <c r="M35" s="883"/>
      <c r="N35" s="883"/>
      <c r="O35" s="884"/>
      <c r="S35" s="717"/>
      <c r="U35" s="778"/>
      <c r="AA35" s="710"/>
      <c r="AB35" s="710"/>
      <c r="AD35" s="710"/>
      <c r="AF35" s="710"/>
      <c r="AH35" s="710"/>
      <c r="AJ35" s="710"/>
      <c r="AL35" s="710"/>
      <c r="AN35" s="710"/>
    </row>
    <row r="36" spans="2:40" s="708" customFormat="1" ht="33" customHeight="1">
      <c r="B36" s="864"/>
      <c r="C36" s="858"/>
      <c r="D36" s="858"/>
      <c r="E36" s="885"/>
      <c r="F36" s="857"/>
      <c r="G36" s="858"/>
      <c r="H36" s="866" t="s">
        <v>63</v>
      </c>
      <c r="I36" s="858"/>
      <c r="J36" s="859"/>
      <c r="O36" s="825"/>
      <c r="S36" s="717"/>
      <c r="U36" s="778"/>
      <c r="AA36" s="710"/>
      <c r="AB36" s="710"/>
      <c r="AD36" s="710"/>
      <c r="AF36" s="710"/>
      <c r="AH36" s="710"/>
      <c r="AJ36" s="710"/>
      <c r="AL36" s="710"/>
      <c r="AN36" s="710"/>
    </row>
    <row r="37" spans="2:40" s="708" customFormat="1" ht="33" customHeight="1">
      <c r="B37" s="864"/>
      <c r="C37" s="858"/>
      <c r="D37" s="858"/>
      <c r="E37" s="885"/>
      <c r="F37" s="857"/>
      <c r="G37" s="858"/>
      <c r="H37" s="866" t="s">
        <v>64</v>
      </c>
      <c r="I37" s="858"/>
      <c r="J37" s="859"/>
      <c r="O37" s="825"/>
      <c r="S37" s="717"/>
      <c r="U37" s="778"/>
      <c r="AA37" s="710"/>
      <c r="AB37" s="710"/>
      <c r="AD37" s="710"/>
      <c r="AF37" s="710"/>
      <c r="AH37" s="710"/>
      <c r="AJ37" s="710"/>
      <c r="AL37" s="710"/>
      <c r="AN37" s="710"/>
    </row>
    <row r="38" spans="2:40" s="708" customFormat="1" ht="33" customHeight="1">
      <c r="B38" s="864"/>
      <c r="C38" s="858"/>
      <c r="D38" s="858"/>
      <c r="E38" s="885"/>
      <c r="F38" s="857"/>
      <c r="G38" s="858"/>
      <c r="H38" s="866"/>
      <c r="I38" s="858"/>
      <c r="J38" s="859"/>
      <c r="O38" s="825"/>
      <c r="S38" s="717"/>
      <c r="U38" s="778"/>
      <c r="AA38" s="710"/>
      <c r="AB38" s="710"/>
      <c r="AD38" s="710"/>
      <c r="AF38" s="710"/>
      <c r="AH38" s="710"/>
      <c r="AJ38" s="710"/>
      <c r="AL38" s="710"/>
      <c r="AN38" s="710"/>
    </row>
    <row r="39" spans="2:40" s="708" customFormat="1" ht="45.75" customHeight="1">
      <c r="B39" s="887"/>
      <c r="C39" s="875"/>
      <c r="D39" s="875"/>
      <c r="E39" s="888"/>
      <c r="F39" s="889"/>
      <c r="G39" s="875"/>
      <c r="H39" s="875"/>
      <c r="I39" s="875"/>
      <c r="J39" s="876"/>
      <c r="O39" s="825"/>
      <c r="S39" s="717"/>
      <c r="U39" s="778"/>
      <c r="AA39" s="710"/>
      <c r="AB39" s="710"/>
      <c r="AD39" s="710"/>
      <c r="AF39" s="710"/>
      <c r="AH39" s="710"/>
      <c r="AJ39" s="710"/>
      <c r="AL39" s="710"/>
      <c r="AN39" s="710"/>
    </row>
    <row r="40" spans="2:40" s="708" customFormat="1" ht="45.75" customHeight="1">
      <c r="B40" s="890"/>
      <c r="C40" s="858"/>
      <c r="D40" s="858"/>
      <c r="E40" s="891"/>
      <c r="F40" s="891"/>
      <c r="G40" s="858"/>
      <c r="H40" s="858"/>
      <c r="I40" s="858"/>
      <c r="J40" s="858"/>
      <c r="O40" s="825"/>
      <c r="S40" s="717"/>
      <c r="U40" s="778"/>
      <c r="AA40" s="710"/>
      <c r="AB40" s="710"/>
      <c r="AD40" s="710"/>
      <c r="AF40" s="710"/>
      <c r="AH40" s="710"/>
      <c r="AJ40" s="710"/>
      <c r="AL40" s="710"/>
      <c r="AN40" s="710"/>
    </row>
    <row r="41" spans="2:40" s="708" customFormat="1" ht="33" customHeight="1">
      <c r="B41" s="827"/>
      <c r="C41" s="827"/>
      <c r="D41" s="827"/>
      <c r="E41" s="827"/>
      <c r="F41" s="827"/>
      <c r="G41" s="827"/>
      <c r="H41" s="827"/>
      <c r="I41" s="827"/>
      <c r="J41" s="827"/>
      <c r="O41" s="825"/>
      <c r="S41" s="717"/>
      <c r="U41" s="778"/>
      <c r="AA41" s="710"/>
      <c r="AB41" s="710"/>
      <c r="AD41" s="710"/>
      <c r="AF41" s="710"/>
      <c r="AH41" s="710"/>
      <c r="AJ41" s="710"/>
      <c r="AL41" s="710"/>
      <c r="AN41" s="710"/>
    </row>
    <row r="42" spans="2:40" s="708" customFormat="1" ht="45" customHeight="1">
      <c r="B42" s="892" t="str">
        <f>CONCATENATE("أوقف المبلغ : "," ",[1]!Arreta(F20))</f>
        <v>أوقف المبلغ :  عشرون ألف ومائة وأربعة وتسعون دينار جزائري وإثنان وخمسون سنتيما</v>
      </c>
      <c r="C42" s="893"/>
      <c r="E42" s="894"/>
      <c r="F42" s="894"/>
      <c r="G42" s="894"/>
      <c r="H42" s="894"/>
      <c r="I42" s="894"/>
      <c r="J42" s="827"/>
      <c r="O42" s="825"/>
      <c r="S42" s="717"/>
      <c r="U42" s="778"/>
      <c r="AA42" s="710"/>
      <c r="AB42" s="710"/>
      <c r="AD42" s="710"/>
      <c r="AF42" s="710"/>
      <c r="AH42" s="710"/>
      <c r="AJ42" s="710"/>
      <c r="AL42" s="710"/>
      <c r="AN42" s="710"/>
    </row>
    <row r="43" spans="2:40" s="708" customFormat="1" ht="45" customHeight="1">
      <c r="B43" s="895"/>
      <c r="C43" s="893"/>
      <c r="D43" s="896"/>
      <c r="E43" s="894"/>
      <c r="F43" s="894"/>
      <c r="G43" s="894"/>
      <c r="H43" s="894"/>
      <c r="I43" s="894"/>
      <c r="J43" s="827"/>
      <c r="O43" s="825"/>
      <c r="S43" s="717"/>
      <c r="U43" s="778"/>
      <c r="AA43" s="710"/>
      <c r="AB43" s="710"/>
      <c r="AD43" s="710"/>
      <c r="AF43" s="710"/>
      <c r="AH43" s="710"/>
      <c r="AJ43" s="710"/>
      <c r="AL43" s="710"/>
      <c r="AN43" s="710"/>
    </row>
    <row r="44" spans="2:40" s="708" customFormat="1" ht="45.75" customHeight="1">
      <c r="B44" s="827"/>
      <c r="C44" s="827"/>
      <c r="D44" s="827"/>
      <c r="E44" s="827"/>
      <c r="F44" s="827"/>
      <c r="G44" s="827"/>
      <c r="H44" s="827"/>
      <c r="I44" s="827"/>
      <c r="J44" s="827"/>
      <c r="O44" s="825"/>
      <c r="S44" s="717"/>
      <c r="U44" s="778"/>
      <c r="AA44" s="710"/>
      <c r="AB44" s="710"/>
      <c r="AD44" s="710"/>
      <c r="AF44" s="710"/>
      <c r="AH44" s="710"/>
      <c r="AJ44" s="710"/>
      <c r="AL44" s="710"/>
      <c r="AN44" s="710"/>
    </row>
    <row r="45" spans="2:40" s="708" customFormat="1" ht="50.25" customHeight="1">
      <c r="B45" s="1376" t="s">
        <v>790</v>
      </c>
      <c r="C45" s="1422">
        <f>الرئيسية!N10</f>
        <v>43617</v>
      </c>
      <c r="D45" s="1422"/>
      <c r="E45" s="827"/>
      <c r="F45" s="827"/>
      <c r="I45" s="897" t="s">
        <v>65</v>
      </c>
      <c r="J45" s="827"/>
      <c r="O45" s="825"/>
      <c r="S45" s="717"/>
      <c r="U45" s="778"/>
      <c r="AA45" s="710"/>
      <c r="AB45" s="710"/>
      <c r="AD45" s="710"/>
      <c r="AF45" s="710"/>
      <c r="AH45" s="710"/>
      <c r="AJ45" s="710"/>
      <c r="AL45" s="710"/>
      <c r="AN45" s="710"/>
    </row>
  </sheetData>
  <mergeCells count="3">
    <mergeCell ref="E5:F5"/>
    <mergeCell ref="G22:J24"/>
    <mergeCell ref="C45:D45"/>
  </mergeCells>
  <dataValidations count="1">
    <dataValidation type="list" allowBlank="1" showInputMessage="1" showErrorMessage="1" sqref="C5">
      <formula1>'ورقة العمل'!Y10:Y12</formula1>
    </dataValidation>
  </dataValidations>
  <printOptions horizontalCentered="1"/>
  <pageMargins left="0.59055118110236227" right="0.59055118110236227" top="0.59055118110236227" bottom="0.59055118110236227" header="0" footer="0"/>
  <pageSetup paperSize="12" scale="48" orientation="portrait" horizontalDpi="180" verticalDpi="180"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sheetPr>
    <tabColor rgb="FFFF0000"/>
  </sheetPr>
  <dimension ref="A1:CC55"/>
  <sheetViews>
    <sheetView rightToLeft="1" view="pageBreakPreview" topLeftCell="A13" zoomScale="115" workbookViewId="0">
      <selection activeCell="C16" sqref="C16"/>
    </sheetView>
  </sheetViews>
  <sheetFormatPr baseColWidth="10" defaultRowHeight="15.75"/>
  <cols>
    <col min="1" max="1" width="3.7109375" style="300" customWidth="1"/>
    <col min="2" max="2" width="10.5703125" customWidth="1"/>
    <col min="3" max="3" width="26.28515625" customWidth="1"/>
    <col min="4" max="4" width="41.28515625" customWidth="1"/>
    <col min="5" max="5" width="24.7109375" customWidth="1"/>
    <col min="6" max="6" width="8.42578125" customWidth="1"/>
    <col min="7" max="7" width="12.7109375" style="3" customWidth="1"/>
    <col min="8" max="8" width="18.5703125" bestFit="1" customWidth="1"/>
    <col min="9" max="9" width="23.7109375" style="311" customWidth="1"/>
    <col min="10" max="10" width="19.28515625" style="311" customWidth="1"/>
    <col min="11" max="11" width="11.42578125" style="311"/>
    <col min="12" max="12" width="13.5703125" style="312" customWidth="1"/>
    <col min="13" max="14" width="11.42578125" style="311"/>
    <col min="15" max="15" width="11.42578125" style="531"/>
  </cols>
  <sheetData>
    <row r="1" spans="1:81" s="3" customFormat="1" ht="23.25">
      <c r="A1" s="300"/>
      <c r="B1" s="1454" t="s">
        <v>122</v>
      </c>
      <c r="C1" s="1454"/>
      <c r="D1" s="1454"/>
      <c r="E1" s="1455"/>
      <c r="F1" s="292"/>
      <c r="H1"/>
      <c r="I1" s="182"/>
      <c r="J1" s="182"/>
      <c r="K1" s="182"/>
      <c r="L1" s="305"/>
      <c r="M1" s="305"/>
      <c r="N1" s="305"/>
      <c r="O1" s="527"/>
      <c r="AM1" s="272"/>
      <c r="AP1" s="273"/>
      <c r="BB1" s="1288"/>
      <c r="BD1" s="272"/>
      <c r="BS1" s="272"/>
      <c r="CB1"/>
      <c r="CC1" s="169"/>
    </row>
    <row r="2" spans="1:81" s="3" customFormat="1" ht="24" customHeight="1">
      <c r="A2" s="300"/>
      <c r="B2" s="1362" t="s">
        <v>776</v>
      </c>
      <c r="C2" s="275"/>
      <c r="D2" s="276"/>
      <c r="E2" s="277"/>
      <c r="F2" s="277"/>
      <c r="H2"/>
      <c r="I2" s="182"/>
      <c r="J2" s="182"/>
      <c r="K2" s="182"/>
      <c r="L2" s="305"/>
      <c r="M2" s="305"/>
      <c r="N2" s="305"/>
      <c r="O2" s="527"/>
      <c r="AM2" s="272"/>
      <c r="AP2" s="273"/>
      <c r="BB2" s="1288"/>
      <c r="BD2" s="272"/>
      <c r="BS2" s="272"/>
      <c r="CB2"/>
      <c r="CC2" s="169"/>
    </row>
    <row r="3" spans="1:81" s="3" customFormat="1" ht="29.25" customHeight="1">
      <c r="A3" s="300"/>
      <c r="B3" s="1363" t="s">
        <v>777</v>
      </c>
      <c r="C3" s="275"/>
      <c r="D3" s="276"/>
      <c r="E3" s="277"/>
      <c r="F3" s="277"/>
      <c r="H3"/>
      <c r="I3" s="302"/>
      <c r="J3" s="303"/>
      <c r="K3" s="304"/>
      <c r="L3" s="305"/>
      <c r="M3" s="305"/>
      <c r="N3" s="305"/>
      <c r="O3" s="527"/>
      <c r="AM3" s="272"/>
      <c r="AP3" s="273"/>
      <c r="BB3" s="1288"/>
      <c r="BD3" s="272"/>
      <c r="BS3" s="272"/>
      <c r="CB3"/>
      <c r="CC3" s="169"/>
    </row>
    <row r="4" spans="1:81" s="3" customFormat="1" ht="24" customHeight="1">
      <c r="A4" s="300"/>
      <c r="B4" s="277"/>
      <c r="C4" s="277"/>
      <c r="D4" s="313" t="s">
        <v>123</v>
      </c>
      <c r="E4" s="277"/>
      <c r="F4" s="277"/>
      <c r="H4"/>
      <c r="I4" s="533"/>
      <c r="J4" s="304"/>
      <c r="K4" s="304"/>
      <c r="L4" s="305"/>
      <c r="M4" s="305"/>
      <c r="N4" s="305"/>
      <c r="O4" s="527"/>
      <c r="AM4" s="272"/>
      <c r="AP4" s="273"/>
      <c r="BB4" s="1288"/>
      <c r="BD4" s="272"/>
      <c r="BS4" s="272"/>
      <c r="CB4"/>
      <c r="CC4" s="169"/>
    </row>
    <row r="5" spans="1:81" s="3" customFormat="1" ht="24.75" customHeight="1">
      <c r="A5" s="300"/>
      <c r="B5" s="277"/>
      <c r="C5" s="159"/>
      <c r="D5" s="276"/>
      <c r="E5" s="277"/>
      <c r="F5" s="277"/>
      <c r="H5"/>
      <c r="I5" s="307"/>
      <c r="J5" s="307"/>
      <c r="K5" s="307"/>
      <c r="L5" s="305"/>
      <c r="M5" s="305"/>
      <c r="N5" s="305"/>
      <c r="O5" s="527"/>
      <c r="AM5" s="272"/>
      <c r="AP5" s="273"/>
      <c r="BB5" s="1288"/>
      <c r="BD5" s="272"/>
      <c r="BS5" s="272"/>
      <c r="CB5"/>
      <c r="CC5" s="169"/>
    </row>
    <row r="6" spans="1:81" s="3" customFormat="1" ht="18.75" customHeight="1">
      <c r="A6" s="300"/>
      <c r="B6" s="279" t="s">
        <v>124</v>
      </c>
      <c r="C6" s="944">
        <v>80</v>
      </c>
      <c r="D6" s="276"/>
      <c r="E6" s="277"/>
      <c r="F6" s="277"/>
      <c r="H6"/>
      <c r="I6" s="307"/>
      <c r="J6" s="307"/>
      <c r="K6" s="307"/>
      <c r="O6" s="528"/>
      <c r="AM6" s="272"/>
      <c r="AP6" s="273"/>
      <c r="BB6" s="1288"/>
      <c r="BD6" s="272"/>
      <c r="BS6" s="272"/>
      <c r="CB6"/>
      <c r="CC6" s="169"/>
    </row>
    <row r="7" spans="1:81" s="3" customFormat="1" ht="18.75" customHeight="1">
      <c r="A7" s="300"/>
      <c r="B7" s="278" t="str">
        <f>'MAND-PAY-PERM'!E5</f>
        <v>لشهـــــر : جوان</v>
      </c>
      <c r="C7" s="278"/>
      <c r="D7" s="276"/>
      <c r="E7" s="277"/>
      <c r="F7" s="277"/>
      <c r="H7"/>
      <c r="I7" s="307"/>
      <c r="J7" s="307"/>
      <c r="K7" s="307"/>
      <c r="O7" s="528"/>
      <c r="AM7" s="272"/>
      <c r="AP7" s="273"/>
      <c r="BB7" s="1288"/>
      <c r="BD7" s="272"/>
      <c r="BS7" s="272"/>
      <c r="CB7"/>
      <c r="CC7" s="169"/>
    </row>
    <row r="8" spans="1:81" s="3" customFormat="1" ht="18.75" customHeight="1">
      <c r="A8" s="300"/>
      <c r="B8" s="1377" t="str">
        <f ca="1">'MAND-PAY-VCTHEUR'!E7</f>
        <v>تسييــــر :  2019 فصل  : 222222</v>
      </c>
      <c r="C8" s="281"/>
      <c r="D8" s="276"/>
      <c r="E8" s="277"/>
      <c r="F8" s="277"/>
      <c r="H8"/>
      <c r="I8" s="307"/>
      <c r="J8" s="307"/>
      <c r="K8" s="307"/>
      <c r="O8" s="528"/>
      <c r="AM8" s="272"/>
      <c r="AP8" s="273"/>
      <c r="BB8" s="1288"/>
      <c r="BD8" s="272"/>
      <c r="BS8" s="272"/>
      <c r="CB8"/>
      <c r="CC8" s="169"/>
    </row>
    <row r="9" spans="1:81" s="3" customFormat="1" ht="18.75" customHeight="1">
      <c r="A9" s="300"/>
      <c r="B9" s="279" t="s">
        <v>125</v>
      </c>
      <c r="C9" s="282"/>
      <c r="D9" s="276"/>
      <c r="E9" s="277"/>
      <c r="F9" s="277"/>
      <c r="H9"/>
      <c r="I9" s="307"/>
      <c r="J9" s="307"/>
      <c r="K9" s="307"/>
      <c r="L9" s="305"/>
      <c r="M9" s="305"/>
      <c r="N9" s="306"/>
      <c r="O9" s="529"/>
      <c r="AM9" s="272"/>
      <c r="AP9" s="273"/>
      <c r="BB9" s="1288"/>
      <c r="BD9" s="272"/>
      <c r="BS9" s="272"/>
    </row>
    <row r="10" spans="1:81" s="3" customFormat="1" ht="18.75" customHeight="1">
      <c r="A10" s="300"/>
      <c r="B10" s="274" t="s">
        <v>126</v>
      </c>
      <c r="C10" s="275"/>
      <c r="D10" s="283" t="str">
        <f>LOOKUP(C6,'ورقة العمل'!Y:Y,'ورقة العمل'!X:X)</f>
        <v>الحساب الجاري البريدي</v>
      </c>
      <c r="E10" s="275"/>
      <c r="F10" s="275"/>
      <c r="G10" s="1303"/>
      <c r="H10"/>
      <c r="I10" s="307"/>
      <c r="J10" s="307"/>
      <c r="K10" s="307"/>
      <c r="L10" s="307"/>
      <c r="M10" s="307"/>
      <c r="N10" s="307"/>
      <c r="O10" s="530"/>
      <c r="AM10" s="272"/>
      <c r="AP10" s="273"/>
      <c r="BB10" s="1288"/>
      <c r="BD10" s="272"/>
      <c r="BS10" s="272"/>
    </row>
    <row r="11" spans="1:81" s="3" customFormat="1" ht="10.5" customHeight="1">
      <c r="A11" s="300"/>
      <c r="B11" s="285"/>
      <c r="C11" s="275"/>
      <c r="D11" s="286"/>
      <c r="E11" s="275"/>
      <c r="F11" s="275"/>
      <c r="G11" s="1303"/>
      <c r="H11"/>
      <c r="I11" s="307"/>
      <c r="J11" s="307"/>
      <c r="K11" s="307"/>
      <c r="L11" s="307"/>
      <c r="M11" s="307"/>
      <c r="N11" s="307"/>
      <c r="O11" s="530"/>
      <c r="AM11" s="272"/>
      <c r="AP11" s="273"/>
      <c r="BB11" s="1288"/>
      <c r="BD11" s="272"/>
      <c r="BS11" s="272"/>
      <c r="BX11" s="1456"/>
    </row>
    <row r="12" spans="1:81" s="3" customFormat="1" ht="18" customHeight="1">
      <c r="A12" s="300"/>
      <c r="B12" s="287" t="s">
        <v>127</v>
      </c>
      <c r="C12" s="288"/>
      <c r="D12" s="286"/>
      <c r="E12" s="288"/>
      <c r="F12" s="288"/>
      <c r="G12" s="1303"/>
      <c r="H12"/>
      <c r="I12" s="307"/>
      <c r="J12" s="307"/>
      <c r="K12" s="307"/>
      <c r="L12" s="307"/>
      <c r="M12" s="307"/>
      <c r="N12" s="307"/>
      <c r="O12" s="530"/>
      <c r="AM12" s="272"/>
      <c r="AP12" s="273"/>
      <c r="BB12" s="1288"/>
      <c r="BD12" s="272"/>
      <c r="BS12" s="272"/>
      <c r="BX12" s="1456"/>
      <c r="BZ12" s="1457"/>
      <c r="CA12" s="1457"/>
      <c r="CB12" s="1457"/>
    </row>
    <row r="13" spans="1:81" s="3" customFormat="1" ht="18" customHeight="1">
      <c r="A13" s="300"/>
      <c r="B13" s="279" t="s">
        <v>128</v>
      </c>
      <c r="C13" s="288"/>
      <c r="D13" s="286"/>
      <c r="E13" s="288"/>
      <c r="F13" s="288"/>
      <c r="G13" s="1303"/>
      <c r="H13"/>
      <c r="I13" s="307"/>
      <c r="J13" s="307"/>
      <c r="K13" s="307"/>
      <c r="L13" s="307"/>
      <c r="M13" s="307"/>
      <c r="N13" s="307"/>
      <c r="O13" s="530"/>
      <c r="AM13" s="272"/>
      <c r="AP13" s="273"/>
      <c r="BB13" s="1288"/>
      <c r="BD13" s="272"/>
      <c r="BS13" s="272"/>
      <c r="BX13" s="1458"/>
      <c r="BY13" s="1458"/>
      <c r="BZ13" s="1458"/>
      <c r="CA13" s="1458"/>
      <c r="CB13" s="1458"/>
      <c r="CC13" s="1458"/>
    </row>
    <row r="14" spans="1:81" s="3" customFormat="1" ht="18" customHeight="1">
      <c r="A14" s="300"/>
      <c r="B14" s="279" t="s">
        <v>129</v>
      </c>
      <c r="C14" s="288"/>
      <c r="D14" s="286"/>
      <c r="E14" s="288"/>
      <c r="F14" s="288"/>
      <c r="G14" s="1303"/>
      <c r="H14"/>
      <c r="I14" s="307"/>
      <c r="J14" s="307"/>
      <c r="K14" s="307"/>
      <c r="L14" s="307"/>
      <c r="M14" s="307"/>
      <c r="N14" s="307"/>
      <c r="O14" s="530"/>
      <c r="AM14" s="272"/>
      <c r="AP14" s="273"/>
      <c r="BB14" s="1288"/>
      <c r="BD14" s="272"/>
      <c r="BS14" s="272"/>
      <c r="BX14"/>
      <c r="BY14"/>
      <c r="BZ14"/>
      <c r="CA14"/>
      <c r="CB14"/>
      <c r="CC14"/>
    </row>
    <row r="15" spans="1:81" s="3" customFormat="1" ht="10.5" customHeight="1">
      <c r="A15" s="300"/>
      <c r="B15" s="277"/>
      <c r="C15" s="277"/>
      <c r="D15" s="276"/>
      <c r="E15" s="277"/>
      <c r="F15" s="277"/>
      <c r="H15"/>
      <c r="I15" s="307"/>
      <c r="J15" s="307"/>
      <c r="K15" s="307"/>
      <c r="L15" s="307"/>
      <c r="M15" s="307"/>
      <c r="N15" s="307"/>
      <c r="O15" s="530"/>
      <c r="AM15" s="272"/>
      <c r="AP15" s="273"/>
      <c r="BB15" s="1288"/>
      <c r="BD15" s="272"/>
      <c r="BS15" s="272"/>
      <c r="BX15" s="1457"/>
      <c r="BY15" s="1457"/>
      <c r="BZ15" s="1457"/>
      <c r="CA15" s="1457"/>
      <c r="CB15" s="1457"/>
      <c r="CC15" s="1457"/>
    </row>
    <row r="16" spans="1:81" s="3" customFormat="1" ht="23.25" customHeight="1">
      <c r="A16" s="300"/>
      <c r="B16" s="314" t="s">
        <v>130</v>
      </c>
      <c r="C16" s="315" t="s">
        <v>131</v>
      </c>
      <c r="D16" s="316" t="s">
        <v>132</v>
      </c>
      <c r="E16" s="314" t="s">
        <v>133</v>
      </c>
      <c r="F16" s="1309">
        <v>1</v>
      </c>
      <c r="G16" s="1310" t="str">
        <f>D10</f>
        <v>الحساب الجاري البريدي</v>
      </c>
      <c r="H16"/>
      <c r="I16" s="307"/>
      <c r="J16" s="307"/>
      <c r="K16" s="307"/>
      <c r="L16" s="307"/>
      <c r="M16" s="307"/>
      <c r="N16" s="307"/>
      <c r="O16" s="530"/>
      <c r="AM16" s="272"/>
      <c r="AP16" s="273"/>
      <c r="BB16" s="1288"/>
      <c r="BD16" s="272"/>
      <c r="BS16" s="272"/>
    </row>
    <row r="17" spans="1:71" s="3" customFormat="1" ht="17.25" customHeight="1">
      <c r="A17" s="300">
        <f>'ورقة العمل'!J2</f>
        <v>1</v>
      </c>
      <c r="B17" s="289"/>
      <c r="C17" s="290" t="str">
        <f>'ورقة العمل'!K2</f>
        <v>علي علي</v>
      </c>
      <c r="D17" s="290" t="str">
        <f>'ورقة العمل'!L2</f>
        <v>عون الوقاية من المستوى الأول</v>
      </c>
      <c r="E17" s="945">
        <f>'ورقة العمل'!N2</f>
        <v>5000</v>
      </c>
      <c r="F17" s="946">
        <f>IF(E17&gt;0,1,0)</f>
        <v>1</v>
      </c>
      <c r="G17" s="158" t="str">
        <f>IF(LOOKUP(A17,'VAC-TCMP'!A:A,'VAC-TCMP'!M:M)=0,"",LOOKUP(A17,'VAC-TCMP'!A:A,'VAC-TCMP'!M:M))</f>
        <v/>
      </c>
      <c r="H17" s="291"/>
      <c r="I17" s="307"/>
      <c r="J17" s="307"/>
      <c r="K17" s="307"/>
      <c r="L17" s="307"/>
      <c r="M17" s="307"/>
      <c r="N17" s="307"/>
      <c r="O17" s="307"/>
      <c r="AM17" s="272"/>
      <c r="AP17" s="273"/>
      <c r="BB17" s="1288"/>
      <c r="BD17" s="272"/>
      <c r="BS17" s="272"/>
    </row>
    <row r="18" spans="1:71" s="3" customFormat="1" ht="17.25" customHeight="1">
      <c r="A18" s="300">
        <f>'ورقة العمل'!J3</f>
        <v>2</v>
      </c>
      <c r="B18" s="289"/>
      <c r="C18" s="290" t="str">
        <f>'ورقة العمل'!K3</f>
        <v>أحمد بن أحمد</v>
      </c>
      <c r="D18" s="290" t="str">
        <f>'ورقة العمل'!L3</f>
        <v>عون الوقاية من المستوى الأول</v>
      </c>
      <c r="E18" s="945">
        <f>'ورقة العمل'!N3</f>
        <v>5000</v>
      </c>
      <c r="F18" s="946">
        <f t="shared" ref="F18:F45" si="0">IF(E18&gt;0,1,0)</f>
        <v>1</v>
      </c>
      <c r="G18" s="158" t="str">
        <f>IF(LOOKUP(A18,'VAC-TCMP'!A:A,'VAC-TCMP'!M:M)=0,"",LOOKUP(A18,'VAC-TCMP'!A:A,'VAC-TCMP'!M:M))</f>
        <v/>
      </c>
      <c r="H18" s="291"/>
      <c r="I18" s="307"/>
      <c r="J18" s="307"/>
      <c r="K18" s="307"/>
      <c r="L18" s="308"/>
      <c r="M18" s="307"/>
      <c r="N18" s="307"/>
      <c r="O18" s="307"/>
      <c r="AM18" s="272"/>
      <c r="AP18" s="273"/>
      <c r="BB18" s="1288"/>
      <c r="BD18" s="272"/>
      <c r="BS18" s="272"/>
    </row>
    <row r="19" spans="1:71" s="3" customFormat="1" ht="17.25" customHeight="1">
      <c r="A19" s="300">
        <f>'ورقة العمل'!J4</f>
        <v>3</v>
      </c>
      <c r="B19" s="289"/>
      <c r="C19" s="290" t="str">
        <f>'ورقة العمل'!K4</f>
        <v>عبد الحميد بن عبد الحميد</v>
      </c>
      <c r="D19" s="290" t="str">
        <f>'ورقة العمل'!L4</f>
        <v>سائق سيارة من المستوى الأول</v>
      </c>
      <c r="E19" s="945">
        <f>'ورقة العمل'!N4</f>
        <v>0</v>
      </c>
      <c r="F19" s="946">
        <f t="shared" si="0"/>
        <v>0</v>
      </c>
      <c r="G19" s="158" t="str">
        <f>IF(LOOKUP(A19,'VAC-TCMP'!A:A,'VAC-TCMP'!M:M)=0,"",LOOKUP(A19,'VAC-TCMP'!A:A,'VAC-TCMP'!M:M))</f>
        <v/>
      </c>
      <c r="H19" s="291"/>
      <c r="I19" s="307"/>
      <c r="J19" s="307"/>
      <c r="K19" s="307"/>
      <c r="L19" s="308"/>
      <c r="M19" s="307"/>
      <c r="N19" s="307"/>
      <c r="O19" s="307"/>
      <c r="AM19" s="272"/>
      <c r="AP19" s="273"/>
      <c r="BB19" s="1288"/>
      <c r="BD19" s="272"/>
      <c r="BS19" s="272"/>
    </row>
    <row r="20" spans="1:71" s="3" customFormat="1" ht="17.25" customHeight="1">
      <c r="A20" s="300">
        <f>'ورقة العمل'!J5</f>
        <v>4</v>
      </c>
      <c r="B20" s="289"/>
      <c r="C20" s="290" t="str">
        <f>'ورقة العمل'!K5</f>
        <v>جمال بن جمال</v>
      </c>
      <c r="D20" s="290" t="str">
        <f>'ورقة العمل'!L5</f>
        <v>سائق سيارة من المستوى الأول</v>
      </c>
      <c r="E20" s="945">
        <f>'ورقة العمل'!N5</f>
        <v>0</v>
      </c>
      <c r="F20" s="946">
        <f t="shared" si="0"/>
        <v>0</v>
      </c>
      <c r="G20" s="158" t="str">
        <f>IF(LOOKUP(A20,'VAC-TCMP'!A:A,'VAC-TCMP'!M:M)=0,"",LOOKUP(A20,'VAC-TCMP'!A:A,'VAC-TCMP'!M:M))</f>
        <v/>
      </c>
      <c r="H20" s="291"/>
      <c r="I20" s="307"/>
      <c r="J20" s="307"/>
      <c r="K20" s="307"/>
      <c r="L20" s="308"/>
      <c r="M20" s="307"/>
      <c r="N20" s="307"/>
      <c r="O20" s="307"/>
      <c r="AM20" s="272"/>
      <c r="AP20" s="273"/>
      <c r="BB20" s="1288"/>
      <c r="BD20" s="272"/>
      <c r="BS20" s="272"/>
    </row>
    <row r="21" spans="1:71" s="3" customFormat="1" ht="17.25" customHeight="1">
      <c r="A21" s="300">
        <f>'ورقة العمل'!J6</f>
        <v>5</v>
      </c>
      <c r="B21" s="289"/>
      <c r="C21" s="290" t="str">
        <f>'ورقة العمل'!K6</f>
        <v>سليمان بن سليمان</v>
      </c>
      <c r="D21" s="290" t="str">
        <f>'ورقة العمل'!L6</f>
        <v>حارس</v>
      </c>
      <c r="E21" s="945">
        <f>'ورقة العمل'!N6</f>
        <v>5000</v>
      </c>
      <c r="F21" s="946">
        <f t="shared" si="0"/>
        <v>1</v>
      </c>
      <c r="G21" s="158" t="str">
        <f>IF(LOOKUP(A21,'VAC-TCMP'!A:A,'VAC-TCMP'!M:M)=0,"",LOOKUP(A21,'VAC-TCMP'!A:A,'VAC-TCMP'!M:M))</f>
        <v/>
      </c>
      <c r="H21" s="291"/>
      <c r="I21" s="307"/>
      <c r="J21" s="307"/>
      <c r="K21" s="307"/>
      <c r="L21" s="308"/>
      <c r="M21" s="307"/>
      <c r="N21" s="307"/>
      <c r="O21" s="307"/>
      <c r="AM21" s="272"/>
      <c r="AP21" s="273"/>
      <c r="BB21" s="1288"/>
      <c r="BD21" s="272"/>
      <c r="BS21" s="272"/>
    </row>
    <row r="22" spans="1:71" s="3" customFormat="1" ht="17.25" customHeight="1">
      <c r="A22" s="300">
        <f>'ورقة العمل'!J7</f>
        <v>6</v>
      </c>
      <c r="B22" s="289"/>
      <c r="C22" s="290" t="str">
        <f>'ورقة العمل'!K7</f>
        <v>الوافي بن الوافي</v>
      </c>
      <c r="D22" s="290" t="str">
        <f>'ورقة العمل'!L7</f>
        <v>حارس</v>
      </c>
      <c r="E22" s="945">
        <f>'ورقة العمل'!N7</f>
        <v>5000</v>
      </c>
      <c r="F22" s="946">
        <f t="shared" si="0"/>
        <v>1</v>
      </c>
      <c r="G22" s="158" t="str">
        <f>IF(LOOKUP(A22,'VAC-TCMP'!A:A,'VAC-TCMP'!M:M)=0,"",LOOKUP(A22,'VAC-TCMP'!A:A,'VAC-TCMP'!M:M))</f>
        <v/>
      </c>
      <c r="H22" s="291"/>
      <c r="I22" s="307"/>
      <c r="J22" s="307"/>
      <c r="K22" s="307"/>
      <c r="L22" s="308"/>
      <c r="M22" s="307"/>
      <c r="N22" s="307"/>
      <c r="O22" s="307"/>
      <c r="AM22" s="272"/>
      <c r="AP22" s="273"/>
      <c r="BB22" s="1288"/>
      <c r="BD22" s="272"/>
      <c r="BS22" s="272"/>
    </row>
    <row r="23" spans="1:71" s="3" customFormat="1" ht="17.25" customHeight="1">
      <c r="A23" s="300">
        <f>'ورقة العمل'!J8</f>
        <v>7</v>
      </c>
      <c r="B23" s="289"/>
      <c r="C23" s="290" t="str">
        <f>'ورقة العمل'!K8</f>
        <v>مصطفى بن مصطفى</v>
      </c>
      <c r="D23" s="290" t="str">
        <f>'ورقة العمل'!L8</f>
        <v>حارس</v>
      </c>
      <c r="E23" s="945">
        <f>'ورقة العمل'!N8</f>
        <v>5000</v>
      </c>
      <c r="F23" s="946">
        <f t="shared" si="0"/>
        <v>1</v>
      </c>
      <c r="G23" s="158" t="str">
        <f>IF(LOOKUP(A23,'VAC-TCMP'!A:A,'VAC-TCMP'!M:M)=0,"",LOOKUP(A23,'VAC-TCMP'!A:A,'VAC-TCMP'!M:M))</f>
        <v/>
      </c>
      <c r="H23" s="291"/>
      <c r="I23" s="307"/>
      <c r="J23" s="307"/>
      <c r="K23" s="307"/>
      <c r="L23" s="308"/>
      <c r="M23" s="307"/>
      <c r="N23" s="307"/>
      <c r="O23" s="307"/>
      <c r="AM23" s="272"/>
      <c r="AP23" s="273"/>
      <c r="BB23" s="1288"/>
      <c r="BD23" s="272"/>
      <c r="BS23" s="272"/>
    </row>
    <row r="24" spans="1:71" s="3" customFormat="1" ht="17.25" customHeight="1">
      <c r="A24" s="300">
        <f>'ورقة العمل'!J9</f>
        <v>8</v>
      </c>
      <c r="B24" s="289"/>
      <c r="C24" s="290" t="str">
        <f>'ورقة العمل'!K9</f>
        <v>سليم بن سليم</v>
      </c>
      <c r="D24" s="290" t="str">
        <f>'ورقة العمل'!L9</f>
        <v>حارس</v>
      </c>
      <c r="E24" s="945">
        <f>'ورقة العمل'!N9</f>
        <v>0</v>
      </c>
      <c r="F24" s="946">
        <f t="shared" si="0"/>
        <v>0</v>
      </c>
      <c r="G24" s="158" t="str">
        <f>IF(LOOKUP(A24,'VAC-TCMP'!A:A,'VAC-TCMP'!M:M)=0,"",LOOKUP(A24,'VAC-TCMP'!A:A,'VAC-TCMP'!M:M))</f>
        <v/>
      </c>
      <c r="H24" s="291"/>
      <c r="I24" s="307"/>
      <c r="J24" s="307"/>
      <c r="K24" s="307"/>
      <c r="L24" s="308"/>
      <c r="M24" s="307"/>
      <c r="N24" s="307"/>
      <c r="O24" s="307"/>
      <c r="AM24" s="272"/>
      <c r="AP24" s="273"/>
      <c r="BB24" s="1288"/>
      <c r="BD24" s="272"/>
      <c r="BS24" s="272"/>
    </row>
    <row r="25" spans="1:71" s="3" customFormat="1" ht="17.25" customHeight="1">
      <c r="A25" s="300">
        <f>'ورقة العمل'!J10</f>
        <v>9</v>
      </c>
      <c r="B25" s="289"/>
      <c r="C25" s="290" t="str">
        <f>'ورقة العمل'!K10</f>
        <v>جميل بن جميل</v>
      </c>
      <c r="D25" s="290" t="str">
        <f>'ورقة العمل'!L10</f>
        <v>حارس</v>
      </c>
      <c r="E25" s="945">
        <f>'ورقة العمل'!N10</f>
        <v>5000</v>
      </c>
      <c r="F25" s="946">
        <f t="shared" si="0"/>
        <v>1</v>
      </c>
      <c r="G25" s="158" t="str">
        <f>IF(LOOKUP(A25,'VAC-TCMP'!A:A,'VAC-TCMP'!M:M)=0,"",LOOKUP(A25,'VAC-TCMP'!A:A,'VAC-TCMP'!M:M))</f>
        <v/>
      </c>
      <c r="H25" s="291"/>
      <c r="I25" s="307"/>
      <c r="J25" s="307"/>
      <c r="K25" s="307"/>
      <c r="L25" s="308"/>
      <c r="M25" s="307"/>
      <c r="N25" s="307"/>
      <c r="O25" s="307"/>
      <c r="AM25" s="272"/>
      <c r="AP25" s="273"/>
      <c r="BB25" s="1288"/>
      <c r="BD25" s="272"/>
      <c r="BS25" s="272"/>
    </row>
    <row r="26" spans="1:71" s="3" customFormat="1" ht="17.25" customHeight="1">
      <c r="A26" s="300">
        <f>'ورقة العمل'!J11</f>
        <v>10</v>
      </c>
      <c r="B26" s="289"/>
      <c r="C26" s="290" t="str">
        <f>'ورقة العمل'!K11</f>
        <v>مبيىاكمتنيبىامني</v>
      </c>
      <c r="D26" s="290" t="str">
        <f>'ورقة العمل'!L11</f>
        <v>حارس</v>
      </c>
      <c r="E26" s="945">
        <f>'ورقة العمل'!N11</f>
        <v>0</v>
      </c>
      <c r="F26" s="946">
        <f t="shared" si="0"/>
        <v>0</v>
      </c>
      <c r="G26" s="158" t="str">
        <f>IF(LOOKUP(A26,'VAC-TCMP'!A:A,'VAC-TCMP'!M:M)=0,"",LOOKUP(A26,'VAC-TCMP'!A:A,'VAC-TCMP'!M:M))</f>
        <v/>
      </c>
      <c r="H26" s="291"/>
      <c r="I26" s="307"/>
      <c r="J26" s="307"/>
      <c r="K26" s="307"/>
      <c r="L26" s="308"/>
      <c r="M26" s="307"/>
      <c r="N26" s="307"/>
      <c r="O26" s="307"/>
      <c r="AM26" s="272"/>
      <c r="AP26" s="273"/>
      <c r="BB26" s="1288"/>
      <c r="BD26" s="272"/>
      <c r="BS26" s="272"/>
    </row>
    <row r="27" spans="1:71" s="3" customFormat="1" ht="17.25" customHeight="1">
      <c r="A27" s="300">
        <f>'ورقة العمل'!J12</f>
        <v>11</v>
      </c>
      <c r="B27" s="289"/>
      <c r="C27" s="290" t="str">
        <f>'ورقة العمل'!K12</f>
        <v>يمنباسىكامنىلبا</v>
      </c>
      <c r="D27" s="290" t="str">
        <f>'ورقة العمل'!L12</f>
        <v>حارس</v>
      </c>
      <c r="E27" s="945">
        <f>'ورقة العمل'!N12</f>
        <v>0</v>
      </c>
      <c r="F27" s="946">
        <f t="shared" si="0"/>
        <v>0</v>
      </c>
      <c r="G27" s="158" t="str">
        <f>IF(LOOKUP(A27,'VAC-TCMP'!A:A,'VAC-TCMP'!M:M)=0,"",LOOKUP(A27,'VAC-TCMP'!A:A,'VAC-TCMP'!M:M))</f>
        <v/>
      </c>
      <c r="H27" s="291"/>
      <c r="I27" s="307"/>
      <c r="J27" s="307"/>
      <c r="K27" s="307"/>
      <c r="L27" s="308"/>
      <c r="M27" s="307"/>
      <c r="N27" s="307"/>
      <c r="O27" s="307"/>
      <c r="AM27" s="272"/>
      <c r="AP27" s="273"/>
      <c r="BB27" s="1288"/>
      <c r="BD27" s="272"/>
      <c r="BS27" s="272"/>
    </row>
    <row r="28" spans="1:71" s="3" customFormat="1" ht="17.25" customHeight="1">
      <c r="A28" s="300">
        <f>'ورقة العمل'!J13</f>
        <v>12</v>
      </c>
      <c r="B28" s="289"/>
      <c r="C28" s="290" t="str">
        <f>'ورقة العمل'!K13</f>
        <v>مىلاورؤةلارؤوةلا</v>
      </c>
      <c r="D28" s="290" t="str">
        <f>'ورقة العمل'!L13</f>
        <v>حارس</v>
      </c>
      <c r="E28" s="945">
        <f>'ورقة العمل'!N13</f>
        <v>0</v>
      </c>
      <c r="F28" s="946">
        <f t="shared" si="0"/>
        <v>0</v>
      </c>
      <c r="G28" s="158" t="str">
        <f>IF(LOOKUP(A28,'VAC-TCMP'!A:A,'VAC-TCMP'!M:M)=0,"",LOOKUP(A28,'VAC-TCMP'!A:A,'VAC-TCMP'!M:M))</f>
        <v/>
      </c>
      <c r="H28" s="291"/>
      <c r="I28" s="307"/>
      <c r="J28" s="307"/>
      <c r="K28" s="307"/>
      <c r="L28" s="308"/>
      <c r="M28" s="307"/>
      <c r="N28" s="307"/>
      <c r="O28" s="307"/>
      <c r="AM28" s="272"/>
      <c r="AP28" s="273"/>
      <c r="BB28" s="1288"/>
      <c r="BD28" s="272"/>
      <c r="BS28" s="272"/>
    </row>
    <row r="29" spans="1:71" s="3" customFormat="1" ht="17.25" customHeight="1">
      <c r="A29" s="300">
        <f>'ورقة العمل'!J14</f>
        <v>13</v>
      </c>
      <c r="B29" s="289"/>
      <c r="C29" s="290" t="str">
        <f>'ورقة العمل'!K14</f>
        <v>لالالالالالالا</v>
      </c>
      <c r="D29" s="290" t="str">
        <f>'ورقة العمل'!L14</f>
        <v>حارس</v>
      </c>
      <c r="E29" s="945">
        <f>'ورقة العمل'!N14</f>
        <v>5000</v>
      </c>
      <c r="F29" s="946">
        <f t="shared" si="0"/>
        <v>1</v>
      </c>
      <c r="G29" s="158" t="str">
        <f>IF(LOOKUP(A29,'VAC-TCMP'!A:A,'VAC-TCMP'!M:M)=0,"",LOOKUP(A29,'VAC-TCMP'!A:A,'VAC-TCMP'!M:M))</f>
        <v/>
      </c>
      <c r="H29" s="291"/>
      <c r="I29" s="307"/>
      <c r="J29" s="307"/>
      <c r="K29" s="307"/>
      <c r="L29" s="308"/>
      <c r="M29" s="307"/>
      <c r="N29" s="307"/>
      <c r="O29" s="307"/>
      <c r="AM29" s="272"/>
      <c r="AP29" s="273"/>
      <c r="BB29" s="1288"/>
      <c r="BD29" s="272"/>
      <c r="BS29" s="272"/>
    </row>
    <row r="30" spans="1:71" s="3" customFormat="1" ht="17.25" customHeight="1">
      <c r="A30" s="300">
        <f>'ورقة العمل'!J15</f>
        <v>14</v>
      </c>
      <c r="B30" s="289"/>
      <c r="C30" s="290" t="str">
        <f>'ورقة العمل'!K15</f>
        <v>لللللللللل</v>
      </c>
      <c r="D30" s="290" t="str">
        <f>'ورقة العمل'!L15</f>
        <v>حارس</v>
      </c>
      <c r="E30" s="945">
        <f>'ورقة العمل'!N15</f>
        <v>5000</v>
      </c>
      <c r="F30" s="946">
        <f t="shared" si="0"/>
        <v>1</v>
      </c>
      <c r="G30" s="158" t="str">
        <f>IF(LOOKUP(A30,'VAC-TCMP'!A:A,'VAC-TCMP'!M:M)=0,"",LOOKUP(A30,'VAC-TCMP'!A:A,'VAC-TCMP'!M:M))</f>
        <v/>
      </c>
      <c r="H30" s="291"/>
      <c r="I30" s="307"/>
      <c r="J30" s="307"/>
      <c r="K30" s="307"/>
      <c r="L30" s="308"/>
      <c r="M30" s="307"/>
      <c r="N30" s="307"/>
      <c r="O30" s="307"/>
      <c r="AM30" s="272"/>
      <c r="AP30" s="273"/>
      <c r="BB30" s="1288"/>
      <c r="BD30" s="272"/>
      <c r="BS30" s="272"/>
    </row>
    <row r="31" spans="1:71" s="3" customFormat="1" ht="17.25" customHeight="1">
      <c r="A31" s="300">
        <f>'ورقة العمل'!J16</f>
        <v>15</v>
      </c>
      <c r="B31" s="289"/>
      <c r="C31" s="290" t="str">
        <f>'ورقة العمل'!K16</f>
        <v>قثققققثثقققثققثقث</v>
      </c>
      <c r="D31" s="290" t="str">
        <f>'ورقة العمل'!L16</f>
        <v>حارس</v>
      </c>
      <c r="E31" s="945">
        <f>'ورقة العمل'!N16</f>
        <v>5000</v>
      </c>
      <c r="F31" s="946">
        <f t="shared" si="0"/>
        <v>1</v>
      </c>
      <c r="G31" s="158" t="str">
        <f>IF(LOOKUP(A31,'VAC-TCMP'!A:A,'VAC-TCMP'!M:M)=0,"",LOOKUP(A31,'VAC-TCMP'!A:A,'VAC-TCMP'!M:M))</f>
        <v/>
      </c>
      <c r="H31" s="291"/>
      <c r="I31" s="307"/>
      <c r="J31" s="307"/>
      <c r="K31" s="307"/>
      <c r="L31" s="308"/>
      <c r="M31" s="307"/>
      <c r="N31" s="307"/>
      <c r="O31" s="307"/>
      <c r="AM31" s="272"/>
      <c r="AP31" s="273"/>
      <c r="BB31" s="1288"/>
      <c r="BD31" s="272"/>
      <c r="BS31" s="272"/>
    </row>
    <row r="32" spans="1:71" s="3" customFormat="1" ht="17.25" customHeight="1">
      <c r="A32" s="300">
        <f>'ورقة العمل'!J17</f>
        <v>16</v>
      </c>
      <c r="B32" s="289"/>
      <c r="C32" s="290" t="str">
        <f>'ورقة العمل'!K17</f>
        <v>لبلبيليبلبيلبيلبي</v>
      </c>
      <c r="D32" s="290" t="str">
        <f>'ورقة العمل'!L17</f>
        <v>حارس</v>
      </c>
      <c r="E32" s="945">
        <f>'ورقة العمل'!N17</f>
        <v>5000</v>
      </c>
      <c r="F32" s="946">
        <f t="shared" si="0"/>
        <v>1</v>
      </c>
      <c r="G32" s="158" t="str">
        <f>IF(LOOKUP(A32,'VAC-TCMP'!A:A,'VAC-TCMP'!M:M)=0,"",LOOKUP(A32,'VAC-TCMP'!A:A,'VAC-TCMP'!M:M))</f>
        <v/>
      </c>
      <c r="H32" s="291"/>
      <c r="I32" s="307"/>
      <c r="J32" s="307"/>
      <c r="K32" s="307"/>
      <c r="L32" s="308"/>
      <c r="M32" s="307"/>
      <c r="N32" s="307"/>
      <c r="O32" s="307"/>
      <c r="AM32" s="272"/>
      <c r="AP32" s="273"/>
      <c r="BB32" s="1288"/>
      <c r="BD32" s="272"/>
      <c r="BS32" s="272"/>
    </row>
    <row r="33" spans="1:71" s="3" customFormat="1" ht="17.25" customHeight="1">
      <c r="A33" s="300">
        <f>'ورقة العمل'!J18</f>
        <v>17</v>
      </c>
      <c r="B33" s="289"/>
      <c r="C33" s="290" t="str">
        <f>'ورقة العمل'!K18</f>
        <v>ؤوةلاىرؤزولاى</v>
      </c>
      <c r="D33" s="290" t="str">
        <f>'ورقة العمل'!L18</f>
        <v>حارس</v>
      </c>
      <c r="E33" s="945">
        <f>'ورقة العمل'!N18</f>
        <v>0</v>
      </c>
      <c r="F33" s="946">
        <f t="shared" si="0"/>
        <v>0</v>
      </c>
      <c r="G33" s="158" t="str">
        <f>IF(LOOKUP(A33,'VAC-TCMP'!A:A,'VAC-TCMP'!M:M)=0,"",LOOKUP(A33,'VAC-TCMP'!A:A,'VAC-TCMP'!M:M))</f>
        <v/>
      </c>
      <c r="H33" s="291"/>
      <c r="I33" s="307"/>
      <c r="J33" s="307"/>
      <c r="K33" s="307"/>
      <c r="L33" s="308"/>
      <c r="M33" s="307"/>
      <c r="N33" s="307"/>
      <c r="O33" s="307"/>
      <c r="AM33" s="272"/>
      <c r="AP33" s="273"/>
      <c r="BB33" s="1288"/>
      <c r="BD33" s="272"/>
      <c r="BS33" s="272"/>
    </row>
    <row r="34" spans="1:71" s="3" customFormat="1" ht="17.25" customHeight="1">
      <c r="A34" s="300">
        <f>'ورقة العمل'!J19</f>
        <v>18</v>
      </c>
      <c r="B34" s="289"/>
      <c r="C34" s="290" t="str">
        <f>'ورقة العمل'!K19</f>
        <v>ةوزرؤىلاوةزىؤرء</v>
      </c>
      <c r="D34" s="290" t="str">
        <f>'ورقة العمل'!L19</f>
        <v>حارس</v>
      </c>
      <c r="E34" s="945">
        <f>'ورقة العمل'!N19</f>
        <v>0</v>
      </c>
      <c r="F34" s="946">
        <f t="shared" si="0"/>
        <v>0</v>
      </c>
      <c r="G34" s="158" t="str">
        <f>IF(LOOKUP(A34,'VAC-TCMP'!A:A,'VAC-TCMP'!M:M)=0,"",LOOKUP(A34,'VAC-TCMP'!A:A,'VAC-TCMP'!M:M))</f>
        <v/>
      </c>
      <c r="H34" s="291"/>
      <c r="I34" s="307"/>
      <c r="J34" s="307"/>
      <c r="K34" s="307"/>
      <c r="L34" s="308"/>
      <c r="M34" s="307"/>
      <c r="N34" s="307"/>
      <c r="O34" s="307"/>
      <c r="AM34" s="272"/>
      <c r="AP34" s="273"/>
      <c r="BB34" s="1288"/>
      <c r="BD34" s="272"/>
      <c r="BS34" s="272"/>
    </row>
    <row r="35" spans="1:71" s="3" customFormat="1" ht="17.25" customHeight="1">
      <c r="A35" s="300">
        <f>'ورقة العمل'!J20</f>
        <v>19</v>
      </c>
      <c r="B35" s="289"/>
      <c r="C35" s="290" t="str">
        <f>'ورقة العمل'!K20</f>
        <v>ظوزةلاؤءروةلارؤلا</v>
      </c>
      <c r="D35" s="290" t="str">
        <f>'ورقة العمل'!L20</f>
        <v>حارس</v>
      </c>
      <c r="E35" s="945">
        <f>'ورقة العمل'!N20</f>
        <v>5000</v>
      </c>
      <c r="F35" s="946">
        <f t="shared" si="0"/>
        <v>1</v>
      </c>
      <c r="G35" s="158" t="str">
        <f>IF(LOOKUP(A35,'VAC-TCMP'!A:A,'VAC-TCMP'!M:M)=0,"",LOOKUP(A35,'VAC-TCMP'!A:A,'VAC-TCMP'!M:M))</f>
        <v/>
      </c>
      <c r="H35" s="291"/>
      <c r="I35" s="307"/>
      <c r="J35" s="307"/>
      <c r="K35" s="307"/>
      <c r="L35" s="308"/>
      <c r="M35" s="307"/>
      <c r="N35" s="307"/>
      <c r="O35" s="307"/>
      <c r="AM35" s="272"/>
      <c r="AP35" s="273"/>
      <c r="BB35" s="1288"/>
      <c r="BD35" s="272"/>
      <c r="BS35" s="272"/>
    </row>
    <row r="36" spans="1:71" s="3" customFormat="1" ht="17.25" customHeight="1">
      <c r="A36" s="300">
        <f>'ورقة العمل'!J21</f>
        <v>20</v>
      </c>
      <c r="B36" s="289"/>
      <c r="C36" s="290" t="str">
        <f>'ورقة العمل'!K21</f>
        <v>ؤرزوءظةلانتكلمسنات</v>
      </c>
      <c r="D36" s="290" t="str">
        <f>'ورقة العمل'!L21</f>
        <v>حارس</v>
      </c>
      <c r="E36" s="945">
        <f>'ورقة العمل'!N21</f>
        <v>5000</v>
      </c>
      <c r="F36" s="946">
        <f t="shared" si="0"/>
        <v>1</v>
      </c>
      <c r="G36" s="158" t="str">
        <f>IF(LOOKUP(A36,'VAC-TCMP'!A:A,'VAC-TCMP'!M:M)=0,"",LOOKUP(A36,'VAC-TCMP'!A:A,'VAC-TCMP'!M:M))</f>
        <v/>
      </c>
      <c r="H36" s="291"/>
      <c r="I36" s="307"/>
      <c r="J36" s="307"/>
      <c r="K36" s="307"/>
      <c r="L36" s="308"/>
      <c r="M36" s="307"/>
      <c r="N36" s="307"/>
      <c r="O36" s="307"/>
      <c r="AM36" s="272"/>
      <c r="AP36" s="273"/>
      <c r="BB36" s="1288"/>
      <c r="BD36" s="272"/>
      <c r="BS36" s="272"/>
    </row>
    <row r="37" spans="1:71" s="3" customFormat="1" ht="17.25" customHeight="1">
      <c r="A37" s="300">
        <f>'ورقة العمل'!J22</f>
        <v>21</v>
      </c>
      <c r="B37" s="289"/>
      <c r="C37" s="290" t="str">
        <f>'ورقة العمل'!K22</f>
        <v>منؤرءىلارؤ نمؤلارنلا</v>
      </c>
      <c r="D37" s="290" t="str">
        <f>'ورقة العمل'!L22</f>
        <v>حارس</v>
      </c>
      <c r="E37" s="945">
        <f>'ورقة العمل'!N22</f>
        <v>5000</v>
      </c>
      <c r="F37" s="946">
        <f t="shared" si="0"/>
        <v>1</v>
      </c>
      <c r="G37" s="158" t="str">
        <f>IF(LOOKUP(A37,'VAC-TCMP'!A:A,'VAC-TCMP'!M:M)=0,"",LOOKUP(A37,'VAC-TCMP'!A:A,'VAC-TCMP'!M:M))</f>
        <v/>
      </c>
      <c r="H37" s="291"/>
      <c r="I37" s="309"/>
      <c r="J37" s="309"/>
      <c r="K37" s="309"/>
      <c r="L37" s="310"/>
      <c r="M37" s="307"/>
      <c r="N37" s="307"/>
      <c r="O37" s="307"/>
      <c r="AM37" s="272"/>
      <c r="AP37" s="273"/>
      <c r="BB37" s="1288"/>
      <c r="BD37" s="272"/>
      <c r="BS37" s="272"/>
    </row>
    <row r="38" spans="1:71" s="3" customFormat="1" ht="17.25" customHeight="1">
      <c r="A38" s="300">
        <f>'ورقة العمل'!J23</f>
        <v>22</v>
      </c>
      <c r="B38" s="289"/>
      <c r="C38" s="290" t="str">
        <f>'ورقة العمل'!K23</f>
        <v>ةوىلاؤةرءلاىزوؤةىروةى</v>
      </c>
      <c r="D38" s="290" t="str">
        <f>'ورقة العمل'!L23</f>
        <v>حارس</v>
      </c>
      <c r="E38" s="945">
        <f>'ورقة العمل'!N23</f>
        <v>0</v>
      </c>
      <c r="F38" s="946">
        <f t="shared" si="0"/>
        <v>0</v>
      </c>
      <c r="G38" s="158" t="str">
        <f>IF(LOOKUP(A38,'VAC-TCMP'!A:A,'VAC-TCMP'!M:M)=0,"",LOOKUP(A38,'VAC-TCMP'!A:A,'VAC-TCMP'!M:M))</f>
        <v/>
      </c>
      <c r="H38" s="291"/>
      <c r="I38" s="317"/>
      <c r="J38" s="309"/>
      <c r="K38" s="309"/>
      <c r="L38" s="310"/>
      <c r="M38" s="307"/>
      <c r="N38" s="307"/>
      <c r="O38" s="307"/>
      <c r="AM38" s="272"/>
      <c r="AP38" s="273"/>
      <c r="BB38" s="1288"/>
      <c r="BD38" s="272"/>
      <c r="BS38" s="272"/>
    </row>
    <row r="39" spans="1:71" s="3" customFormat="1" ht="17.25" customHeight="1">
      <c r="A39" s="300">
        <f>'ورقة العمل'!J24</f>
        <v>23</v>
      </c>
      <c r="B39" s="289"/>
      <c r="C39" s="290" t="str">
        <f>'ورقة العمل'!K24</f>
        <v>زنتؤءىلاورؤةىلازوةءؤرىلا</v>
      </c>
      <c r="D39" s="290" t="str">
        <f>'ورقة العمل'!L24</f>
        <v>عامل مهني من المستوى الأول</v>
      </c>
      <c r="E39" s="945">
        <f>'ورقة العمل'!N24</f>
        <v>0</v>
      </c>
      <c r="F39" s="946">
        <f t="shared" si="0"/>
        <v>0</v>
      </c>
      <c r="G39" s="158" t="str">
        <f>IF(LOOKUP(A39,'VAC-TCMP'!A:A,'VAC-TCMP'!M:M)=0,"",LOOKUP(A39,'VAC-TCMP'!A:A,'VAC-TCMP'!M:M))</f>
        <v>بنك الفلاحة و التنمية الريفية</v>
      </c>
      <c r="H39" s="291"/>
      <c r="I39" s="307"/>
      <c r="J39" s="307"/>
      <c r="K39" s="307"/>
      <c r="L39" s="308"/>
      <c r="M39" s="307"/>
      <c r="N39" s="307"/>
      <c r="O39" s="307"/>
      <c r="AM39" s="272"/>
      <c r="AP39" s="273"/>
      <c r="BB39" s="1288"/>
      <c r="BD39" s="272"/>
      <c r="BS39" s="272"/>
    </row>
    <row r="40" spans="1:71" s="3" customFormat="1" ht="17.25" customHeight="1">
      <c r="A40" s="300">
        <f>'ورقة العمل'!J25</f>
        <v>24</v>
      </c>
      <c r="B40" s="289"/>
      <c r="C40" s="290" t="str">
        <f>'ورقة العمل'!K25</f>
        <v>نتيمسلابىلاكؤرمتنىلا</v>
      </c>
      <c r="D40" s="290" t="str">
        <f>'ورقة العمل'!L25</f>
        <v>عامل مهني من المستوى الأول</v>
      </c>
      <c r="E40" s="945">
        <f>'ورقة العمل'!N25</f>
        <v>5000</v>
      </c>
      <c r="F40" s="946">
        <f t="shared" si="0"/>
        <v>1</v>
      </c>
      <c r="G40" s="158" t="str">
        <f>IF(LOOKUP(A40,'VAC-TCMP'!A:A,'VAC-TCMP'!M:M)=0,"",LOOKUP(A40,'VAC-TCMP'!A:A,'VAC-TCMP'!M:M))</f>
        <v>بنك التنمية المحلية</v>
      </c>
      <c r="H40" s="291"/>
      <c r="I40" s="307"/>
      <c r="J40" s="307"/>
      <c r="K40" s="307"/>
      <c r="L40" s="308"/>
      <c r="M40" s="307"/>
      <c r="N40" s="307"/>
      <c r="O40" s="307"/>
      <c r="AM40" s="272"/>
      <c r="AP40" s="273"/>
      <c r="BB40" s="1288"/>
      <c r="BD40" s="272"/>
      <c r="BS40" s="272"/>
    </row>
    <row r="41" spans="1:71" s="3" customFormat="1" ht="17.25" customHeight="1">
      <c r="A41" s="300">
        <f>'ورقة العمل'!J26</f>
        <v>25</v>
      </c>
      <c r="B41" s="289"/>
      <c r="C41" s="290" t="str">
        <f>'ورقة العمل'!K26</f>
        <v>ةىروؤزلاىؤرءزوةلا</v>
      </c>
      <c r="D41" s="290" t="str">
        <f>'ورقة العمل'!L26</f>
        <v>عامل مهني من المستوى الأول</v>
      </c>
      <c r="E41" s="945">
        <f>'ورقة العمل'!N26</f>
        <v>5000</v>
      </c>
      <c r="F41" s="946">
        <f t="shared" si="0"/>
        <v>1</v>
      </c>
      <c r="G41" s="158" t="str">
        <f>IF(LOOKUP(A41,'VAC-TCMP'!A:A,'VAC-TCMP'!M:M)=0,"",LOOKUP(A41,'VAC-TCMP'!A:A,'VAC-TCMP'!M:M))</f>
        <v>بنك التنمية المحلية</v>
      </c>
      <c r="H41" s="291"/>
      <c r="I41" s="307"/>
      <c r="J41" s="307"/>
      <c r="K41" s="307"/>
      <c r="L41" s="308"/>
      <c r="M41" s="307"/>
      <c r="N41" s="307"/>
      <c r="O41" s="307"/>
      <c r="AM41" s="272"/>
      <c r="AP41" s="273"/>
      <c r="BB41" s="1288"/>
      <c r="BD41" s="272"/>
      <c r="BS41" s="272"/>
    </row>
    <row r="42" spans="1:71" s="3" customFormat="1" ht="17.25" customHeight="1">
      <c r="A42" s="300">
        <f>'ورقة العمل'!J27</f>
        <v>26</v>
      </c>
      <c r="B42" s="289"/>
      <c r="C42" s="290" t="str">
        <f>'ورقة العمل'!K27</f>
        <v>منتكبالاسماتلطبات</v>
      </c>
      <c r="D42" s="290" t="str">
        <f>'ورقة العمل'!L27</f>
        <v>عامل مهني من المستوى الأول</v>
      </c>
      <c r="E42" s="945">
        <f>'ورقة العمل'!N27</f>
        <v>5000</v>
      </c>
      <c r="F42" s="946">
        <f t="shared" si="0"/>
        <v>1</v>
      </c>
      <c r="G42" s="158" t="str">
        <f>IF(LOOKUP(A42,'VAC-TCMP'!A:A,'VAC-TCMP'!M:M)=0,"",LOOKUP(A42,'VAC-TCMP'!A:A,'VAC-TCMP'!M:M))</f>
        <v>الحساب الجاري البريدي</v>
      </c>
      <c r="H42" s="291"/>
      <c r="I42" s="307"/>
      <c r="J42" s="307"/>
      <c r="K42" s="307"/>
      <c r="L42" s="308"/>
      <c r="M42" s="307"/>
      <c r="N42" s="307"/>
      <c r="O42" s="307"/>
      <c r="AM42" s="272"/>
      <c r="AP42" s="273"/>
      <c r="BB42" s="1288"/>
      <c r="BD42" s="272"/>
      <c r="BS42" s="272"/>
    </row>
    <row r="43" spans="1:71" s="3" customFormat="1" ht="17.25" customHeight="1">
      <c r="A43" s="300">
        <f>'ورقة العمل'!J28</f>
        <v>27</v>
      </c>
      <c r="B43" s="289"/>
      <c r="C43" s="290" t="str">
        <f>'ورقة العمل'!K28</f>
        <v>كسمنتيبسشكيمنلتميبسل</v>
      </c>
      <c r="D43" s="290" t="str">
        <f>'ورقة العمل'!L28</f>
        <v>عامل مهني من المستوى الأول</v>
      </c>
      <c r="E43" s="945">
        <f>'ورقة العمل'!N28</f>
        <v>5000</v>
      </c>
      <c r="F43" s="946">
        <f t="shared" si="0"/>
        <v>1</v>
      </c>
      <c r="G43" s="158" t="str">
        <f>IF(LOOKUP(A43,'VAC-TCMP'!A:A,'VAC-TCMP'!M:M)=0,"",LOOKUP(A43,'VAC-TCMP'!A:A,'VAC-TCMP'!M:M))</f>
        <v>الحساب الجاري البريدي</v>
      </c>
      <c r="H43" s="291"/>
      <c r="I43" s="307"/>
      <c r="J43" s="307"/>
      <c r="K43" s="307"/>
      <c r="L43" s="308"/>
      <c r="M43" s="307"/>
      <c r="N43" s="307"/>
      <c r="O43" s="307"/>
      <c r="AM43" s="272"/>
      <c r="AP43" s="273"/>
      <c r="BB43" s="1288"/>
      <c r="BD43" s="272"/>
      <c r="BS43" s="272"/>
    </row>
    <row r="44" spans="1:71" s="3" customFormat="1" ht="17.25" customHeight="1">
      <c r="A44" s="300">
        <f>'ورقة العمل'!J29</f>
        <v>28</v>
      </c>
      <c r="B44" s="289"/>
      <c r="C44" s="290" t="str">
        <f>'ورقة العمل'!K29</f>
        <v>نتبلشبنيمتلنمبيل</v>
      </c>
      <c r="D44" s="290" t="str">
        <f>'ورقة العمل'!L29</f>
        <v>عامل مهني من المستوى الأول</v>
      </c>
      <c r="E44" s="945">
        <f>'ورقة العمل'!N29</f>
        <v>0</v>
      </c>
      <c r="F44" s="946">
        <f t="shared" si="0"/>
        <v>0</v>
      </c>
      <c r="G44" s="158" t="str">
        <f>IF(LOOKUP(A44,'VAC-TCMP'!A:A,'VAC-TCMP'!M:M)=0,"",LOOKUP(A44,'VAC-TCMP'!A:A,'VAC-TCMP'!M:M))</f>
        <v>الحساب الجاري البريدي</v>
      </c>
      <c r="H44" s="291"/>
      <c r="I44" s="307"/>
      <c r="J44" s="307"/>
      <c r="K44" s="307"/>
      <c r="L44" s="308"/>
      <c r="M44" s="307"/>
      <c r="N44" s="307"/>
      <c r="O44" s="307"/>
      <c r="AM44" s="272"/>
      <c r="AP44" s="273"/>
      <c r="BB44" s="1288"/>
      <c r="BD44" s="272"/>
      <c r="BS44" s="272"/>
    </row>
    <row r="45" spans="1:71" s="3" customFormat="1" ht="17.25" customHeight="1" thickBot="1">
      <c r="A45" s="300">
        <f>'ورقة العمل'!J30</f>
        <v>29</v>
      </c>
      <c r="B45" s="289"/>
      <c r="C45" s="290" t="str">
        <f>'ورقة العمل'!K30</f>
        <v>منيبتطلنبيشتطتمنتل</v>
      </c>
      <c r="D45" s="290" t="str">
        <f>'ورقة العمل'!L30</f>
        <v>عامل مهني من المستوى الأول</v>
      </c>
      <c r="E45" s="945">
        <f>'ورقة العمل'!N30</f>
        <v>0</v>
      </c>
      <c r="F45" s="946">
        <f t="shared" si="0"/>
        <v>0</v>
      </c>
      <c r="G45" s="158" t="str">
        <f>IF(LOOKUP(A45,'VAC-TCMP'!A:A,'VAC-TCMP'!M:M)=0,"",LOOKUP(A45,'VAC-TCMP'!A:A,'VAC-TCMP'!M:M))</f>
        <v>الحساب الجاري البريدي</v>
      </c>
      <c r="H45" s="291"/>
      <c r="I45" s="307"/>
      <c r="J45" s="307"/>
      <c r="K45" s="307"/>
      <c r="L45" s="308"/>
      <c r="M45" s="307"/>
      <c r="N45" s="307"/>
      <c r="O45" s="307"/>
      <c r="AM45" s="272"/>
      <c r="AP45" s="273"/>
      <c r="BB45" s="1288"/>
      <c r="BD45" s="272"/>
      <c r="BS45" s="272"/>
    </row>
    <row r="46" spans="1:71" s="295" customFormat="1" ht="30" customHeight="1" thickBot="1">
      <c r="A46" s="301"/>
      <c r="B46" s="1459" t="s">
        <v>134</v>
      </c>
      <c r="C46" s="1459"/>
      <c r="D46" s="1459"/>
      <c r="E46" s="293">
        <f>SUMIF(G17:G45,G46,E17:E45)</f>
        <v>0</v>
      </c>
      <c r="F46" s="294">
        <v>1</v>
      </c>
      <c r="G46" s="1304" t="s">
        <v>550</v>
      </c>
      <c r="H46" s="1302">
        <f>VLOOKUP(C6,TABMAND,S2+12,FALSE)</f>
        <v>10000</v>
      </c>
      <c r="I46" s="311"/>
      <c r="J46" s="311"/>
      <c r="K46" s="311"/>
      <c r="L46" s="312"/>
      <c r="M46" s="311"/>
      <c r="N46" s="311"/>
      <c r="O46" s="531"/>
      <c r="AM46" s="296"/>
      <c r="AP46" s="297"/>
      <c r="BB46" s="298"/>
      <c r="BD46" s="296"/>
      <c r="BS46" s="296"/>
    </row>
    <row r="47" spans="1:71" s="295" customFormat="1" ht="30" customHeight="1" thickBot="1">
      <c r="A47" s="301"/>
      <c r="B47" s="318" t="s">
        <v>135</v>
      </c>
      <c r="C47" s="299" t="str">
        <f>[1]!Arreta(E46)</f>
        <v/>
      </c>
      <c r="E47" s="1347">
        <f>الرئيسية!$N$10</f>
        <v>43617</v>
      </c>
      <c r="F47" s="294">
        <v>1</v>
      </c>
      <c r="G47" s="1304" t="s">
        <v>550</v>
      </c>
      <c r="H47" s="1302">
        <f>E46-H46</f>
        <v>-10000</v>
      </c>
      <c r="I47" s="311"/>
      <c r="J47" s="311"/>
      <c r="K47" s="311"/>
      <c r="L47" s="312"/>
      <c r="M47" s="311"/>
      <c r="N47" s="311"/>
      <c r="O47" s="531"/>
      <c r="AM47" s="296"/>
      <c r="AP47" s="297"/>
      <c r="BB47" s="298"/>
      <c r="BD47" s="296"/>
      <c r="BS47" s="296"/>
    </row>
    <row r="48" spans="1:71" s="295" customFormat="1" ht="30" customHeight="1" thickBot="1">
      <c r="A48" s="301"/>
      <c r="B48" s="1459" t="s">
        <v>134</v>
      </c>
      <c r="C48" s="1459"/>
      <c r="D48" s="1459"/>
      <c r="E48" s="293">
        <f>SUMIF(G17:G45,G48,E17:E45)</f>
        <v>0</v>
      </c>
      <c r="F48" s="294">
        <v>1</v>
      </c>
      <c r="G48" s="1304" t="s">
        <v>549</v>
      </c>
      <c r="H48" s="1302">
        <f>VLOOKUP(C6,TABMAND,S2+12,FALSE)</f>
        <v>10000</v>
      </c>
      <c r="I48" s="311"/>
      <c r="J48" s="311"/>
      <c r="K48" s="311"/>
      <c r="L48" s="312"/>
      <c r="M48" s="311"/>
      <c r="N48" s="311"/>
      <c r="O48" s="311"/>
      <c r="AM48" s="296"/>
      <c r="AP48" s="297"/>
      <c r="BB48" s="298"/>
      <c r="BD48" s="296"/>
      <c r="BS48" s="296"/>
    </row>
    <row r="49" spans="1:71" s="295" customFormat="1" ht="30" customHeight="1" thickBot="1">
      <c r="A49" s="301"/>
      <c r="B49" s="318" t="s">
        <v>135</v>
      </c>
      <c r="C49" s="299" t="str">
        <f>[1]!Arreta(E48)</f>
        <v/>
      </c>
      <c r="E49" s="1347">
        <f>الرئيسية!$N$10</f>
        <v>43617</v>
      </c>
      <c r="F49" s="294">
        <v>1</v>
      </c>
      <c r="G49" s="1304" t="s">
        <v>549</v>
      </c>
      <c r="H49" s="1302">
        <f>E48-H48</f>
        <v>-10000</v>
      </c>
      <c r="I49" s="311"/>
      <c r="J49" s="311"/>
      <c r="K49" s="311"/>
      <c r="L49" s="312"/>
      <c r="M49" s="311"/>
      <c r="N49" s="311"/>
      <c r="O49" s="311"/>
      <c r="AM49" s="296"/>
      <c r="AP49" s="297"/>
      <c r="BB49" s="298"/>
      <c r="BD49" s="296"/>
      <c r="BS49" s="296"/>
    </row>
    <row r="50" spans="1:71" s="295" customFormat="1" ht="30" customHeight="1" thickBot="1">
      <c r="A50" s="301"/>
      <c r="B50" s="1459" t="s">
        <v>134</v>
      </c>
      <c r="C50" s="1459"/>
      <c r="D50" s="1459"/>
      <c r="E50" s="293">
        <f>SUMIF(G17:G45,G50,E17:E45)</f>
        <v>0</v>
      </c>
      <c r="F50" s="294">
        <v>1</v>
      </c>
      <c r="G50" s="1304" t="s">
        <v>548</v>
      </c>
      <c r="H50" s="1302">
        <f>VLOOKUP(C6,TABMAND,S2+12,FALSE)</f>
        <v>10000</v>
      </c>
      <c r="I50" s="311"/>
      <c r="J50" s="311"/>
      <c r="K50" s="311"/>
      <c r="L50" s="312"/>
      <c r="M50" s="311"/>
      <c r="N50" s="311"/>
      <c r="O50" s="311"/>
      <c r="AM50" s="296"/>
      <c r="AP50" s="297"/>
      <c r="BB50" s="298"/>
      <c r="BD50" s="296"/>
      <c r="BS50" s="296"/>
    </row>
    <row r="51" spans="1:71" s="295" customFormat="1" ht="30" customHeight="1" thickBot="1">
      <c r="A51" s="301"/>
      <c r="B51" s="318" t="s">
        <v>135</v>
      </c>
      <c r="C51" s="299" t="str">
        <f>[1]!Arreta(E50)</f>
        <v/>
      </c>
      <c r="E51" s="1347">
        <f>الرئيسية!$N$10</f>
        <v>43617</v>
      </c>
      <c r="F51" s="294">
        <v>1</v>
      </c>
      <c r="G51" s="1304" t="s">
        <v>548</v>
      </c>
      <c r="H51" s="1302">
        <f>E50-H50</f>
        <v>-10000</v>
      </c>
      <c r="I51" s="311"/>
      <c r="J51" s="311"/>
      <c r="K51" s="311"/>
      <c r="L51" s="312"/>
      <c r="M51" s="311"/>
      <c r="N51" s="311"/>
      <c r="O51" s="311"/>
      <c r="AM51" s="296"/>
      <c r="AP51" s="297"/>
      <c r="BB51" s="298"/>
      <c r="BD51" s="296"/>
      <c r="BS51" s="296"/>
    </row>
    <row r="52" spans="1:71" s="295" customFormat="1" ht="30" customHeight="1" thickBot="1">
      <c r="A52" s="301"/>
      <c r="B52" s="1459" t="s">
        <v>134</v>
      </c>
      <c r="C52" s="1459"/>
      <c r="D52" s="1459"/>
      <c r="E52" s="293">
        <f>SUMIF(G17:G45,G52,E17:E45)</f>
        <v>10000</v>
      </c>
      <c r="F52" s="294">
        <v>1</v>
      </c>
      <c r="G52" s="1304" t="s">
        <v>561</v>
      </c>
      <c r="H52" s="1302">
        <f>VLOOKUP(C6,TABMAND,S2+12,FALSE)</f>
        <v>10000</v>
      </c>
      <c r="I52" s="311"/>
      <c r="J52" s="311"/>
      <c r="K52" s="311"/>
      <c r="L52" s="312"/>
      <c r="M52" s="311"/>
      <c r="N52" s="311"/>
      <c r="O52" s="311"/>
      <c r="AM52" s="296"/>
      <c r="AP52" s="297"/>
      <c r="BB52" s="298"/>
      <c r="BD52" s="296"/>
      <c r="BS52" s="296"/>
    </row>
    <row r="53" spans="1:71" s="295" customFormat="1" ht="30" customHeight="1" thickBot="1">
      <c r="A53" s="301"/>
      <c r="B53" s="318" t="s">
        <v>135</v>
      </c>
      <c r="C53" s="299" t="str">
        <f>[1]!Arreta(E52)</f>
        <v xml:space="preserve">عشر آلاف دينار جزائري </v>
      </c>
      <c r="E53" s="1347">
        <f>الرئيسية!$N$10</f>
        <v>43617</v>
      </c>
      <c r="F53" s="294">
        <v>1</v>
      </c>
      <c r="G53" s="1304" t="s">
        <v>561</v>
      </c>
      <c r="H53" s="1302">
        <f>E52-H52</f>
        <v>0</v>
      </c>
      <c r="I53" s="311"/>
      <c r="J53" s="311"/>
      <c r="K53" s="311"/>
      <c r="L53" s="312"/>
      <c r="M53" s="311"/>
      <c r="N53" s="311"/>
      <c r="O53" s="311"/>
      <c r="AM53" s="296"/>
      <c r="AP53" s="297"/>
      <c r="BB53" s="298"/>
      <c r="BD53" s="296"/>
      <c r="BS53" s="296"/>
    </row>
    <row r="54" spans="1:71" s="295" customFormat="1" ht="30" customHeight="1" thickBot="1">
      <c r="A54" s="301"/>
      <c r="B54" s="1459" t="s">
        <v>134</v>
      </c>
      <c r="C54" s="1459"/>
      <c r="D54" s="1459"/>
      <c r="E54" s="293">
        <f>SUMIF(G17:G45,G52,E17:E45)</f>
        <v>10000</v>
      </c>
      <c r="F54" s="294">
        <v>1</v>
      </c>
      <c r="G54" s="1304" t="s">
        <v>562</v>
      </c>
      <c r="H54" s="1302">
        <f>VLOOKUP(C6,TABMAND,S2+12,FALSE)</f>
        <v>10000</v>
      </c>
      <c r="I54" s="311"/>
      <c r="J54" s="311"/>
      <c r="K54" s="311"/>
      <c r="L54" s="312"/>
      <c r="M54" s="311"/>
      <c r="N54" s="311"/>
      <c r="O54" s="311"/>
      <c r="AM54" s="296"/>
      <c r="AP54" s="297"/>
      <c r="BB54" s="298"/>
      <c r="BD54" s="296"/>
      <c r="BS54" s="296"/>
    </row>
    <row r="55" spans="1:71" s="295" customFormat="1" ht="30" customHeight="1" thickBot="1">
      <c r="A55" s="301"/>
      <c r="B55" s="318" t="s">
        <v>135</v>
      </c>
      <c r="C55" s="299" t="str">
        <f>[1]!Arreta(E54)</f>
        <v xml:space="preserve">عشر آلاف دينار جزائري </v>
      </c>
      <c r="E55" s="1347">
        <f>الرئيسية!$N$10</f>
        <v>43617</v>
      </c>
      <c r="F55" s="294">
        <v>1</v>
      </c>
      <c r="G55" s="1304" t="s">
        <v>562</v>
      </c>
      <c r="H55" s="1302">
        <f>E54-H54</f>
        <v>0</v>
      </c>
      <c r="I55" s="311"/>
      <c r="J55" s="311"/>
      <c r="K55" s="311"/>
      <c r="L55" s="312"/>
      <c r="M55" s="311"/>
      <c r="N55" s="311"/>
      <c r="O55" s="311"/>
      <c r="AM55" s="296"/>
      <c r="AP55" s="297"/>
      <c r="BB55" s="298"/>
      <c r="BD55" s="296"/>
      <c r="BS55" s="296"/>
    </row>
  </sheetData>
  <autoFilter ref="F16:G55"/>
  <mergeCells count="10">
    <mergeCell ref="BX11:BX12"/>
    <mergeCell ref="BZ12:CB12"/>
    <mergeCell ref="BX13:CC13"/>
    <mergeCell ref="BX15:CC15"/>
    <mergeCell ref="B46:D46"/>
    <mergeCell ref="B48:D48"/>
    <mergeCell ref="B50:D50"/>
    <mergeCell ref="B52:D52"/>
    <mergeCell ref="B54:D54"/>
    <mergeCell ref="B1:E1"/>
  </mergeCells>
  <dataValidations count="1">
    <dataValidation type="list" allowBlank="1" showInputMessage="1" showErrorMessage="1" sqref="C6">
      <formula1>'ورقة العمل'!Y10:Y12</formula1>
    </dataValidation>
  </dataValidations>
  <printOptions horizontalCentered="1"/>
  <pageMargins left="0.19685039370078741" right="0.19685039370078741" top="0.39370078740157483" bottom="0.39370078740157483" header="0" footer="0"/>
  <pageSetup paperSize="134" scale="95" orientation="portrait" horizontalDpi="180" verticalDpi="18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sheetPr>
    <tabColor rgb="FFFF0000"/>
  </sheetPr>
  <dimension ref="A1:M26"/>
  <sheetViews>
    <sheetView rightToLeft="1" view="pageBreakPreview" topLeftCell="A7" workbookViewId="0">
      <selection activeCell="D16" sqref="D16"/>
    </sheetView>
  </sheetViews>
  <sheetFormatPr baseColWidth="10" defaultRowHeight="15.75"/>
  <cols>
    <col min="1" max="1" width="8.140625" customWidth="1"/>
    <col min="2" max="2" width="6.5703125" customWidth="1"/>
    <col min="3" max="3" width="31.42578125" customWidth="1"/>
    <col min="4" max="4" width="28.42578125" customWidth="1"/>
    <col min="5" max="5" width="29" customWidth="1"/>
    <col min="6" max="6" width="6.42578125" hidden="1" customWidth="1"/>
    <col min="7" max="7" width="18" hidden="1" customWidth="1"/>
    <col min="8" max="8" width="21.140625" style="444" customWidth="1"/>
    <col min="9" max="9" width="19.42578125" customWidth="1"/>
    <col min="12" max="12" width="11.5703125" customWidth="1"/>
  </cols>
  <sheetData>
    <row r="1" spans="1:13" ht="26.25">
      <c r="B1" s="1637" t="s">
        <v>1</v>
      </c>
      <c r="C1" s="1637"/>
      <c r="D1" s="1637"/>
      <c r="E1" s="1637"/>
      <c r="I1" s="182"/>
      <c r="J1" s="305"/>
      <c r="K1" s="305"/>
      <c r="L1" s="305"/>
      <c r="M1" s="527"/>
    </row>
    <row r="2" spans="1:13" ht="23.25">
      <c r="B2" s="455"/>
      <c r="C2" s="1374" t="s">
        <v>788</v>
      </c>
      <c r="D2" s="275"/>
      <c r="E2" s="275"/>
      <c r="I2" s="182"/>
      <c r="J2" s="305"/>
      <c r="K2" s="305"/>
      <c r="L2" s="305"/>
      <c r="M2" s="527"/>
    </row>
    <row r="3" spans="1:13" ht="23.25">
      <c r="B3" s="455"/>
      <c r="C3" s="1375" t="s">
        <v>787</v>
      </c>
      <c r="D3" s="275"/>
      <c r="E3" s="275"/>
      <c r="J3" s="305"/>
      <c r="K3" s="305"/>
      <c r="L3" s="305"/>
      <c r="M3" s="527"/>
    </row>
    <row r="4" spans="1:13" ht="23.25">
      <c r="B4" s="455"/>
      <c r="C4" s="456" t="s">
        <v>259</v>
      </c>
      <c r="D4" s="1327">
        <v>78</v>
      </c>
      <c r="E4" s="275"/>
      <c r="I4" s="304"/>
      <c r="J4" s="305"/>
      <c r="K4" s="305"/>
      <c r="L4" s="305"/>
      <c r="M4" s="527"/>
    </row>
    <row r="5" spans="1:13" ht="26.25">
      <c r="B5" s="455"/>
      <c r="C5" s="457" t="s">
        <v>260</v>
      </c>
      <c r="D5" s="458" t="str">
        <f>LOOKUP(D4,'ورقة العمل'!Y2:Y12,'ورقة العمل'!X2:X12)</f>
        <v>بنك الفلاحة والتنمية الريفية</v>
      </c>
      <c r="I5" s="307"/>
      <c r="J5" s="305"/>
      <c r="K5" s="305"/>
      <c r="L5" s="305"/>
      <c r="M5" s="527"/>
    </row>
    <row r="6" spans="1:13">
      <c r="B6" s="455"/>
      <c r="C6" s="161"/>
      <c r="D6" s="161"/>
      <c r="E6" s="161"/>
    </row>
    <row r="7" spans="1:13" ht="30">
      <c r="B7" s="455"/>
      <c r="C7" s="1737" t="str">
        <f ca="1">'MAND-PAY-VCTHEUR'!E7</f>
        <v>تسييــــر :  2019 فصل  : 222222</v>
      </c>
      <c r="D7" s="1738"/>
      <c r="E7" s="459" t="str">
        <f ca="1">'ETAT-PAY-VACT (2)'!E10</f>
        <v>أجـــرة شهـــر جوان 2019</v>
      </c>
      <c r="H7" s="961"/>
      <c r="I7" s="303"/>
    </row>
    <row r="8" spans="1:13" ht="20.25">
      <c r="B8" s="461"/>
      <c r="C8" s="460" t="s">
        <v>21</v>
      </c>
      <c r="D8" s="460" t="s">
        <v>327</v>
      </c>
      <c r="E8" s="460" t="s">
        <v>261</v>
      </c>
    </row>
    <row r="9" spans="1:13" ht="18">
      <c r="B9" s="462" t="s">
        <v>19</v>
      </c>
      <c r="C9" s="462" t="s">
        <v>262</v>
      </c>
      <c r="D9" s="462" t="s">
        <v>263</v>
      </c>
      <c r="E9" s="462" t="s">
        <v>264</v>
      </c>
      <c r="H9" s="1308" t="str">
        <f>D5</f>
        <v>بنك الفلاحة والتنمية الريفية</v>
      </c>
    </row>
    <row r="10" spans="1:13">
      <c r="A10" s="526">
        <f>'ETAT-PAY-VACT (2)'!A15</f>
        <v>23</v>
      </c>
      <c r="B10" s="966">
        <f>'ETAT-PAY-VACT (2)'!B15</f>
        <v>1</v>
      </c>
      <c r="C10" s="962" t="str">
        <f>'ETAT-PAY-VACT (2)'!C15</f>
        <v>زنتؤءىلاورؤةىلازوةءؤرىلا</v>
      </c>
      <c r="D10" s="962">
        <f>'ETAT-PAY-VACT (2)'!D15</f>
        <v>768766876</v>
      </c>
      <c r="E10" s="963">
        <f>'ETAT-PAY-VACT (2)'!H15</f>
        <v>14276.68</v>
      </c>
      <c r="H10" s="1326" t="str">
        <f>'ETAT-PAY-VACT (2)'!Y15</f>
        <v>بنك الفلاحة و التنمية الريفية</v>
      </c>
    </row>
    <row r="11" spans="1:13">
      <c r="A11" s="526">
        <f>'ETAT-PAY-VACT (2)'!A16</f>
        <v>24</v>
      </c>
      <c r="B11" s="966">
        <f>'ETAT-PAY-VACT (2)'!B16</f>
        <v>1</v>
      </c>
      <c r="C11" s="962" t="str">
        <f>'ETAT-PAY-VACT (2)'!C16</f>
        <v>نتيمسلابىلاكؤرمتنىلا</v>
      </c>
      <c r="D11" s="962">
        <f>'ETAT-PAY-VACT (2)'!D16</f>
        <v>5777888888</v>
      </c>
      <c r="E11" s="963">
        <f>'ETAT-PAY-VACT (2)'!H16</f>
        <v>8510.02</v>
      </c>
      <c r="H11" s="1326" t="str">
        <f>'ETAT-PAY-VACT (2)'!Y16</f>
        <v>بنك التنمية المحلية</v>
      </c>
    </row>
    <row r="12" spans="1:13">
      <c r="A12" s="526">
        <f>'ETAT-PAY-VACT (2)'!A17</f>
        <v>25</v>
      </c>
      <c r="B12" s="966">
        <f>'ETAT-PAY-VACT (2)'!B17</f>
        <v>2</v>
      </c>
      <c r="C12" s="962" t="str">
        <f>'ETAT-PAY-VACT (2)'!C17</f>
        <v>ةىروؤزلاىؤرءزوةلا</v>
      </c>
      <c r="D12" s="962">
        <f>'ETAT-PAY-VACT (2)'!D17</f>
        <v>4355435373</v>
      </c>
      <c r="E12" s="963">
        <f>'ETAT-PAY-VACT (2)'!H17</f>
        <v>8291.68</v>
      </c>
      <c r="H12" s="1326" t="str">
        <f>'ETAT-PAY-VACT (2)'!Y17</f>
        <v>بنك التنمية المحلية</v>
      </c>
    </row>
    <row r="13" spans="1:13">
      <c r="A13" s="526">
        <f>'ETAT-PAY-VACT (2)'!A18</f>
        <v>26</v>
      </c>
      <c r="B13" s="966">
        <f>'ETAT-PAY-VACT (2)'!B18</f>
        <v>1</v>
      </c>
      <c r="C13" s="962" t="str">
        <f>'ETAT-PAY-VACT (2)'!C18</f>
        <v>منتكبالاسماتلطبات</v>
      </c>
      <c r="D13" s="962">
        <f>'ETAT-PAY-VACT (2)'!D18</f>
        <v>4355435373</v>
      </c>
      <c r="E13" s="963">
        <f>'ETAT-PAY-VACT (2)'!H18</f>
        <v>7364.8</v>
      </c>
      <c r="H13" s="1326" t="str">
        <f>'ETAT-PAY-VACT (2)'!Y18</f>
        <v>الحساب الجاري البريدي</v>
      </c>
    </row>
    <row r="14" spans="1:13">
      <c r="A14" s="526">
        <f>'ETAT-PAY-VACT (2)'!A19</f>
        <v>27</v>
      </c>
      <c r="B14" s="966">
        <f>'ETAT-PAY-VACT (2)'!B19</f>
        <v>2</v>
      </c>
      <c r="C14" s="962" t="str">
        <f>'ETAT-PAY-VACT (2)'!C19</f>
        <v>كسمنتيبسشكيمنلتميبسل</v>
      </c>
      <c r="D14" s="962">
        <f>'ETAT-PAY-VACT (2)'!D19</f>
        <v>4355435373</v>
      </c>
      <c r="E14" s="963">
        <f>'ETAT-PAY-VACT (2)'!H19</f>
        <v>6540.48</v>
      </c>
      <c r="H14" s="1326" t="str">
        <f>'ETAT-PAY-VACT (2)'!Y19</f>
        <v>الحساب الجاري البريدي</v>
      </c>
    </row>
    <row r="15" spans="1:13">
      <c r="A15" s="526">
        <f>'ETAT-PAY-VACT (2)'!A20</f>
        <v>28</v>
      </c>
      <c r="B15" s="966">
        <f>'ETAT-PAY-VACT (2)'!B20</f>
        <v>3</v>
      </c>
      <c r="C15" s="962" t="str">
        <f>'ETAT-PAY-VACT (2)'!C20</f>
        <v>نتبلشبنيمتلنمبيل</v>
      </c>
      <c r="D15" s="962">
        <f>'ETAT-PAY-VACT (2)'!D20</f>
        <v>4355435373</v>
      </c>
      <c r="E15" s="963">
        <f>'ETAT-PAY-VACT (2)'!H20</f>
        <v>12256.68</v>
      </c>
      <c r="H15" s="1326" t="str">
        <f>'ETAT-PAY-VACT (2)'!Y20</f>
        <v>الحساب الجاري البريدي</v>
      </c>
    </row>
    <row r="16" spans="1:13">
      <c r="A16" s="526">
        <f>'ETAT-PAY-VACT (2)'!A21</f>
        <v>29</v>
      </c>
      <c r="B16" s="966">
        <f>'ETAT-PAY-VACT (2)'!B21</f>
        <v>4</v>
      </c>
      <c r="C16" s="962" t="str">
        <f>'ETAT-PAY-VACT (2)'!C21</f>
        <v>منيبتطلنبيشتطتمنتل</v>
      </c>
      <c r="D16" s="962">
        <f>'ETAT-PAY-VACT (2)'!D21</f>
        <v>4355435373</v>
      </c>
      <c r="E16" s="963">
        <f>'ETAT-PAY-VACT (2)'!H21</f>
        <v>12256.68</v>
      </c>
      <c r="H16" s="1326" t="str">
        <f>'ETAT-PAY-VACT (2)'!Y21</f>
        <v>الحساب الجاري البريدي</v>
      </c>
    </row>
    <row r="17" spans="2:8" ht="34.5" customHeight="1">
      <c r="B17" s="1634" t="s">
        <v>265</v>
      </c>
      <c r="C17" s="1634"/>
      <c r="D17" s="1634"/>
      <c r="E17" s="525">
        <f>SUMIF(H10:H16,H17,E10:E16)</f>
        <v>0</v>
      </c>
      <c r="G17" s="464">
        <f>'ETAT-PAY-PERM'!F94</f>
        <v>770058.66</v>
      </c>
      <c r="H17" s="1326" t="s">
        <v>550</v>
      </c>
    </row>
    <row r="18" spans="2:8" ht="30">
      <c r="B18" s="465"/>
      <c r="C18" s="1346">
        <f>الرئيسية!$N$10</f>
        <v>43617</v>
      </c>
      <c r="D18" s="275"/>
      <c r="E18" s="466" t="s">
        <v>65</v>
      </c>
      <c r="G18" s="464">
        <f>E17-G17</f>
        <v>-770058.66</v>
      </c>
      <c r="H18" s="1326" t="s">
        <v>550</v>
      </c>
    </row>
    <row r="19" spans="2:8" ht="34.5" customHeight="1">
      <c r="B19" s="1634" t="s">
        <v>265</v>
      </c>
      <c r="C19" s="1634"/>
      <c r="D19" s="1634"/>
      <c r="E19" s="463">
        <f>SUMIF(H10:H16,H19,E10:E16)</f>
        <v>14276.68</v>
      </c>
      <c r="G19" s="464">
        <f>'ETAT-PAY-PERM'!F99</f>
        <v>295958.37</v>
      </c>
      <c r="H19" s="1326" t="s">
        <v>549</v>
      </c>
    </row>
    <row r="20" spans="2:8" ht="30">
      <c r="B20" s="465"/>
      <c r="C20" s="1346">
        <f>الرئيسية!$N$10</f>
        <v>43617</v>
      </c>
      <c r="D20" s="275"/>
      <c r="E20" s="466" t="s">
        <v>65</v>
      </c>
      <c r="G20" s="464">
        <f>E19-G19</f>
        <v>-281681.69</v>
      </c>
      <c r="H20" s="1326" t="s">
        <v>549</v>
      </c>
    </row>
    <row r="21" spans="2:8" ht="34.5" customHeight="1">
      <c r="B21" s="1634" t="s">
        <v>265</v>
      </c>
      <c r="C21" s="1634"/>
      <c r="D21" s="1634"/>
      <c r="E21" s="463">
        <f>SUMIF(H10:H16,H21,E10:E16)</f>
        <v>0</v>
      </c>
      <c r="G21" s="464">
        <f>'ETAT-PAY-PERM'!F105</f>
        <v>178566.28</v>
      </c>
      <c r="H21" s="1326" t="s">
        <v>548</v>
      </c>
    </row>
    <row r="22" spans="2:8" ht="30">
      <c r="B22" s="465"/>
      <c r="C22" s="1346">
        <f>الرئيسية!$N$10</f>
        <v>43617</v>
      </c>
      <c r="D22" s="275"/>
      <c r="E22" s="466" t="s">
        <v>65</v>
      </c>
      <c r="G22" s="464">
        <f>E21-G21</f>
        <v>-178566.28</v>
      </c>
      <c r="H22" s="1326" t="s">
        <v>548</v>
      </c>
    </row>
    <row r="23" spans="2:8" ht="34.5" customHeight="1">
      <c r="B23" s="1634" t="s">
        <v>265</v>
      </c>
      <c r="C23" s="1634"/>
      <c r="D23" s="1634"/>
      <c r="E23" s="463">
        <f>SUMIF(H10:H16,H23,E10:E16)</f>
        <v>16801.7</v>
      </c>
      <c r="G23" s="464">
        <f>'ETAT-PAY-PERM'!F110</f>
        <v>238512.25</v>
      </c>
      <c r="H23" s="1326" t="s">
        <v>561</v>
      </c>
    </row>
    <row r="24" spans="2:8" ht="30">
      <c r="B24" s="465"/>
      <c r="C24" s="1346">
        <f>الرئيسية!$N$10</f>
        <v>43617</v>
      </c>
      <c r="D24" s="275"/>
      <c r="E24" s="466" t="s">
        <v>65</v>
      </c>
      <c r="G24" s="464">
        <f>E23-G23</f>
        <v>-221710.55</v>
      </c>
      <c r="H24" s="1326" t="s">
        <v>561</v>
      </c>
    </row>
    <row r="25" spans="2:8" ht="34.5" customHeight="1">
      <c r="B25" s="1634" t="s">
        <v>265</v>
      </c>
      <c r="C25" s="1634"/>
      <c r="D25" s="1634"/>
      <c r="E25" s="463">
        <f>SUMIF(H10:H16,H25,E10:E16)</f>
        <v>38418.639999999999</v>
      </c>
      <c r="G25" s="464">
        <f>'ETAT-PAY-PERM'!F115</f>
        <v>1432551.89</v>
      </c>
      <c r="H25" s="1326" t="s">
        <v>562</v>
      </c>
    </row>
    <row r="26" spans="2:8" ht="30">
      <c r="B26" s="465"/>
      <c r="C26" s="1346">
        <f>الرئيسية!$N$10</f>
        <v>43617</v>
      </c>
      <c r="D26" s="275"/>
      <c r="E26" s="466" t="s">
        <v>65</v>
      </c>
      <c r="G26" s="464">
        <f>E25-G25</f>
        <v>-1394133.25</v>
      </c>
      <c r="H26" s="1326" t="s">
        <v>562</v>
      </c>
    </row>
  </sheetData>
  <autoFilter ref="H9:H26"/>
  <mergeCells count="7">
    <mergeCell ref="B25:D25"/>
    <mergeCell ref="B1:E1"/>
    <mergeCell ref="C7:D7"/>
    <mergeCell ref="B17:D17"/>
    <mergeCell ref="B19:D19"/>
    <mergeCell ref="B21:D21"/>
    <mergeCell ref="B23:D23"/>
  </mergeCells>
  <dataValidations count="1">
    <dataValidation type="list" allowBlank="1" showInputMessage="1" showErrorMessage="1" sqref="D4">
      <formula1>'ورقة العمل'!Y10:Y11</formula1>
    </dataValidation>
  </dataValidations>
  <printOptions horizontalCentered="1"/>
  <pageMargins left="0.19685039370078741" right="0.19685039370078741" top="0.39370078740157483" bottom="0.59055118110236227" header="0" footer="0"/>
  <pageSetup paperSize="134" scale="95" orientation="portrait" horizontalDpi="180" verticalDpi="18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tabColor theme="9" tint="-0.249977111117893"/>
  </sheetPr>
  <dimension ref="A1:O47"/>
  <sheetViews>
    <sheetView rightToLeft="1" workbookViewId="0"/>
  </sheetViews>
  <sheetFormatPr baseColWidth="10" defaultColWidth="0" defaultRowHeight="12.75" zeroHeight="1"/>
  <cols>
    <col min="1" max="15" width="11.42578125" style="988" customWidth="1"/>
    <col min="16" max="16384" width="11.42578125" style="988" hidden="1"/>
  </cols>
  <sheetData>
    <row r="1"/>
    <row r="2"/>
    <row r="3"/>
    <row r="4"/>
    <row r="5"/>
    <row r="6"/>
    <row r="7"/>
    <row r="8"/>
    <row r="9"/>
    <row r="10"/>
    <row r="11"/>
    <row r="12"/>
    <row r="13"/>
    <row r="14"/>
    <row r="15"/>
    <row r="16"/>
    <row r="17"/>
    <row r="18" s="985" customFormat="1"/>
    <row r="19" s="985" customFormat="1"/>
    <row r="20" s="985" customFormat="1"/>
    <row r="21" s="985" customFormat="1"/>
    <row r="22" s="985" customFormat="1"/>
    <row r="23" s="985" customFormat="1"/>
    <row r="24" s="985" customFormat="1"/>
    <row r="25" s="985" customFormat="1"/>
    <row r="26" s="985" customFormat="1"/>
    <row r="27" s="985" customFormat="1"/>
    <row r="28" s="985" customFormat="1"/>
    <row r="29" s="985" customFormat="1"/>
    <row r="30" s="985" customFormat="1"/>
    <row r="31" s="985" customFormat="1"/>
    <row r="32" s="985" customFormat="1"/>
    <row r="33" s="985" customFormat="1"/>
    <row r="34" s="985" customFormat="1"/>
    <row r="35" s="985" customFormat="1"/>
    <row r="36" s="985" customFormat="1"/>
    <row r="37" s="985" customFormat="1"/>
    <row r="38" s="985" customFormat="1"/>
    <row r="39" s="985" customFormat="1"/>
    <row r="40" s="985" customFormat="1"/>
    <row r="41" s="985" customFormat="1"/>
    <row r="42" s="985" customFormat="1" hidden="1"/>
    <row r="43" s="985" customFormat="1" hidden="1"/>
    <row r="44" s="985" customFormat="1" hidden="1"/>
    <row r="45" s="985" customFormat="1" hidden="1"/>
    <row r="46" s="985" customFormat="1" hidden="1"/>
    <row r="47" s="985" customFormat="1" hidden="1"/>
  </sheetData>
  <pageMargins left="0.7" right="0.7" top="0.75" bottom="0.75" header="0.3" footer="0.3"/>
  <pageSetup paperSize="9" orientation="portrait" horizontalDpi="180" verticalDpi="180" r:id="rId1"/>
  <drawing r:id="rId2"/>
</worksheet>
</file>

<file path=xl/worksheets/sheet30.xml><?xml version="1.0" encoding="utf-8"?>
<worksheet xmlns="http://schemas.openxmlformats.org/spreadsheetml/2006/main" xmlns:r="http://schemas.openxmlformats.org/officeDocument/2006/relationships">
  <sheetPr filterMode="1">
    <tabColor rgb="FFFF0000"/>
  </sheetPr>
  <dimension ref="B2:O73"/>
  <sheetViews>
    <sheetView rightToLeft="1" view="pageBreakPreview" zoomScale="85" zoomScaleSheetLayoutView="85" workbookViewId="0">
      <selection activeCell="H78" sqref="H78"/>
    </sheetView>
  </sheetViews>
  <sheetFormatPr baseColWidth="10" defaultRowHeight="12.75"/>
  <cols>
    <col min="2" max="2" width="19.85546875" customWidth="1"/>
    <col min="3" max="3" width="16.5703125" customWidth="1"/>
    <col min="4" max="4" width="21.7109375" customWidth="1"/>
    <col min="5" max="5" width="35.28515625" customWidth="1"/>
    <col min="6" max="6" width="17.5703125" customWidth="1"/>
    <col min="7" max="7" width="0" hidden="1" customWidth="1"/>
    <col min="8" max="8" width="24.5703125" customWidth="1"/>
    <col min="9" max="11" width="8.140625" customWidth="1"/>
    <col min="12" max="12" width="15.140625" customWidth="1"/>
    <col min="13" max="13" width="21.85546875" bestFit="1" customWidth="1"/>
    <col min="14" max="14" width="18" bestFit="1" customWidth="1"/>
  </cols>
  <sheetData>
    <row r="2" spans="2:12" ht="23.25">
      <c r="B2" s="1638" t="s">
        <v>266</v>
      </c>
      <c r="C2" s="1638"/>
      <c r="D2" s="1638"/>
      <c r="E2" s="1638"/>
      <c r="F2" s="467" t="s">
        <v>267</v>
      </c>
      <c r="I2" s="532"/>
      <c r="J2" s="532"/>
      <c r="K2" s="532"/>
      <c r="L2" s="532"/>
    </row>
    <row r="3" spans="2:12" ht="18">
      <c r="C3" s="468" t="s">
        <v>268</v>
      </c>
      <c r="I3" s="532"/>
      <c r="J3" s="532"/>
      <c r="K3" s="532"/>
      <c r="L3" s="532"/>
    </row>
    <row r="4" spans="2:12" ht="26.25">
      <c r="C4" s="469" t="s">
        <v>269</v>
      </c>
      <c r="E4" s="1328">
        <v>80</v>
      </c>
      <c r="F4" s="467" t="s">
        <v>270</v>
      </c>
      <c r="I4" s="532"/>
      <c r="J4" s="532"/>
      <c r="K4" s="532"/>
      <c r="L4" s="532"/>
    </row>
    <row r="5" spans="2:12" ht="18">
      <c r="C5" s="468"/>
      <c r="I5" s="532"/>
      <c r="J5" s="532"/>
      <c r="K5" s="532"/>
      <c r="L5" s="532"/>
    </row>
    <row r="6" spans="2:12" ht="23.25">
      <c r="B6" s="1639" t="s">
        <v>271</v>
      </c>
      <c r="C6" s="1639"/>
      <c r="D6" s="1639"/>
      <c r="E6" s="1639"/>
      <c r="F6" s="1639"/>
      <c r="H6" s="1"/>
      <c r="I6" s="307"/>
      <c r="J6" s="532"/>
      <c r="K6" s="532"/>
      <c r="L6" s="532"/>
    </row>
    <row r="8" spans="2:12" ht="33.75">
      <c r="H8" s="302"/>
      <c r="I8" s="303"/>
    </row>
    <row r="10" spans="2:12" ht="18">
      <c r="F10" s="470" t="s">
        <v>272</v>
      </c>
    </row>
    <row r="11" spans="2:12" ht="18">
      <c r="F11" s="470" t="s">
        <v>273</v>
      </c>
    </row>
    <row r="13" spans="2:12" ht="38.25" customHeight="1">
      <c r="B13" s="471" t="s">
        <v>274</v>
      </c>
      <c r="C13" s="472" t="s">
        <v>275</v>
      </c>
      <c r="D13" s="472" t="s">
        <v>276</v>
      </c>
      <c r="E13" s="472" t="s">
        <v>277</v>
      </c>
      <c r="F13" s="472" t="s">
        <v>278</v>
      </c>
      <c r="H13" s="1308" t="s">
        <v>562</v>
      </c>
    </row>
    <row r="14" spans="2:12" ht="25.5" hidden="1" customHeight="1">
      <c r="B14" s="535">
        <f>'ETAT-PAY-VACT (2)'!H15</f>
        <v>14276.68</v>
      </c>
      <c r="C14" s="534" t="s">
        <v>659</v>
      </c>
      <c r="D14" s="965">
        <f>'ETAT-PAY-VACT (2)'!D15</f>
        <v>768766876</v>
      </c>
      <c r="E14" s="965" t="str">
        <f>'ETAT-PAY-VACT (2)'!C15</f>
        <v>زنتؤءىلاورؤةىلازوةءؤرىلا</v>
      </c>
      <c r="F14" s="1329">
        <f>'ETAT-PAY-VACT (2)'!B15</f>
        <v>1</v>
      </c>
      <c r="H14" s="1" t="str">
        <f>'ETAT-PAY-VACT (2)'!Y15</f>
        <v>بنك الفلاحة و التنمية الريفية</v>
      </c>
    </row>
    <row r="15" spans="2:12" ht="25.5" hidden="1" customHeight="1">
      <c r="B15" s="535">
        <f>'ETAT-PAY-VACT (2)'!H16</f>
        <v>8510.02</v>
      </c>
      <c r="C15" s="534" t="s">
        <v>659</v>
      </c>
      <c r="D15" s="965">
        <f>'ETAT-PAY-VACT (2)'!D16</f>
        <v>5777888888</v>
      </c>
      <c r="E15" s="965" t="str">
        <f>'ETAT-PAY-VACT (2)'!C16</f>
        <v>نتيمسلابىلاكؤرمتنىلا</v>
      </c>
      <c r="F15" s="1329">
        <f>'ETAT-PAY-VACT (2)'!B16</f>
        <v>1</v>
      </c>
      <c r="H15" s="1" t="str">
        <f>'ETAT-PAY-VACT (2)'!Y16</f>
        <v>بنك التنمية المحلية</v>
      </c>
    </row>
    <row r="16" spans="2:12" ht="25.5" hidden="1" customHeight="1">
      <c r="B16" s="535">
        <f>'ETAT-PAY-VACT (2)'!H17</f>
        <v>8291.68</v>
      </c>
      <c r="C16" s="534" t="s">
        <v>659</v>
      </c>
      <c r="D16" s="965">
        <f>'ETAT-PAY-VACT (2)'!D17</f>
        <v>4355435373</v>
      </c>
      <c r="E16" s="965" t="str">
        <f>'ETAT-PAY-VACT (2)'!C17</f>
        <v>ةىروؤزلاىؤرءزوةلا</v>
      </c>
      <c r="F16" s="1329">
        <f>'ETAT-PAY-VACT (2)'!B17</f>
        <v>2</v>
      </c>
      <c r="H16" s="1" t="str">
        <f>'ETAT-PAY-VACT (2)'!Y17</f>
        <v>بنك التنمية المحلية</v>
      </c>
    </row>
    <row r="17" spans="2:8" ht="25.5" customHeight="1">
      <c r="B17" s="535">
        <f>'ETAT-PAY-VACT (2)'!H18</f>
        <v>7364.8</v>
      </c>
      <c r="C17" s="534" t="s">
        <v>659</v>
      </c>
      <c r="D17" s="965">
        <f>'ETAT-PAY-VACT (2)'!D18</f>
        <v>4355435373</v>
      </c>
      <c r="E17" s="965" t="str">
        <f>'ETAT-PAY-VACT (2)'!C18</f>
        <v>منتكبالاسماتلطبات</v>
      </c>
      <c r="F17" s="1329">
        <f>'ETAT-PAY-VACT (2)'!B18</f>
        <v>1</v>
      </c>
      <c r="H17" s="1330" t="str">
        <f>'ETAT-PAY-VACT (2)'!Y18</f>
        <v>الحساب الجاري البريدي</v>
      </c>
    </row>
    <row r="18" spans="2:8" ht="25.5" customHeight="1">
      <c r="B18" s="535">
        <f>'ETAT-PAY-VACT (2)'!H19</f>
        <v>6540.48</v>
      </c>
      <c r="C18" s="534" t="s">
        <v>659</v>
      </c>
      <c r="D18" s="965">
        <f>'ETAT-PAY-VACT (2)'!D19</f>
        <v>4355435373</v>
      </c>
      <c r="E18" s="965" t="str">
        <f>'ETAT-PAY-VACT (2)'!C19</f>
        <v>كسمنتيبسشكيمنلتميبسل</v>
      </c>
      <c r="F18" s="1329">
        <f>'ETAT-PAY-VACT (2)'!B19</f>
        <v>2</v>
      </c>
      <c r="H18" s="1330" t="str">
        <f>'ETAT-PAY-VACT (2)'!Y19</f>
        <v>الحساب الجاري البريدي</v>
      </c>
    </row>
    <row r="19" spans="2:8" ht="25.5" customHeight="1">
      <c r="B19" s="535">
        <f>'ETAT-PAY-VACT (2)'!H20</f>
        <v>12256.68</v>
      </c>
      <c r="C19" s="534" t="s">
        <v>659</v>
      </c>
      <c r="D19" s="965">
        <f>'ETAT-PAY-VACT (2)'!D20</f>
        <v>4355435373</v>
      </c>
      <c r="E19" s="965" t="str">
        <f>'ETAT-PAY-VACT (2)'!C20</f>
        <v>نتبلشبنيمتلنمبيل</v>
      </c>
      <c r="F19" s="1329">
        <f>'ETAT-PAY-VACT (2)'!B20</f>
        <v>3</v>
      </c>
      <c r="H19" s="1330" t="str">
        <f>'ETAT-PAY-VACT (2)'!Y20</f>
        <v>الحساب الجاري البريدي</v>
      </c>
    </row>
    <row r="20" spans="2:8" ht="25.5" customHeight="1">
      <c r="B20" s="535">
        <f>'ETAT-PAY-VACT (2)'!H21</f>
        <v>12256.68</v>
      </c>
      <c r="C20" s="534" t="s">
        <v>659</v>
      </c>
      <c r="D20" s="965">
        <f>'ETAT-PAY-VACT (2)'!D21</f>
        <v>4355435373</v>
      </c>
      <c r="E20" s="965" t="str">
        <f>'ETAT-PAY-VACT (2)'!C21</f>
        <v>منيبتطلنبيشتطتمنتل</v>
      </c>
      <c r="F20" s="1329">
        <f>'ETAT-PAY-VACT (2)'!B21</f>
        <v>4</v>
      </c>
      <c r="H20" s="1330" t="str">
        <f>'ETAT-PAY-VACT (2)'!Y21</f>
        <v>الحساب الجاري البريدي</v>
      </c>
    </row>
    <row r="21" spans="2:8" ht="25.5" hidden="1" customHeight="1">
      <c r="B21" s="535"/>
      <c r="C21" s="534"/>
      <c r="D21" s="965"/>
      <c r="E21" s="965"/>
      <c r="F21" s="534"/>
      <c r="H21" s="1"/>
    </row>
    <row r="22" spans="2:8" s="536" customFormat="1" ht="21" hidden="1" customHeight="1">
      <c r="B22" s="535"/>
      <c r="C22" s="534"/>
      <c r="D22" s="965"/>
      <c r="E22" s="965"/>
      <c r="F22" s="534"/>
      <c r="G22"/>
      <c r="H22" s="1"/>
    </row>
    <row r="23" spans="2:8" ht="25.5" hidden="1" customHeight="1">
      <c r="B23" s="535"/>
      <c r="C23" s="534"/>
      <c r="D23" s="965"/>
      <c r="E23" s="965"/>
      <c r="F23" s="534"/>
      <c r="H23" s="1"/>
    </row>
    <row r="24" spans="2:8" ht="25.5" hidden="1" customHeight="1">
      <c r="B24" s="535"/>
      <c r="C24" s="534"/>
      <c r="D24" s="965"/>
      <c r="E24" s="965"/>
      <c r="F24" s="534"/>
      <c r="H24" s="1"/>
    </row>
    <row r="25" spans="2:8" s="536" customFormat="1" ht="21" hidden="1" customHeight="1">
      <c r="B25" s="535"/>
      <c r="C25" s="534"/>
      <c r="D25" s="965"/>
      <c r="E25" s="965"/>
      <c r="F25" s="534"/>
      <c r="G25"/>
      <c r="H25" s="1"/>
    </row>
    <row r="26" spans="2:8" s="536" customFormat="1" ht="21" hidden="1" customHeight="1">
      <c r="B26" s="535"/>
      <c r="C26" s="534"/>
      <c r="D26" s="965"/>
      <c r="E26" s="965"/>
      <c r="F26" s="534"/>
      <c r="G26"/>
      <c r="H26" s="1"/>
    </row>
    <row r="27" spans="2:8" s="536" customFormat="1" ht="21" hidden="1" customHeight="1">
      <c r="B27" s="535"/>
      <c r="C27" s="534"/>
      <c r="D27" s="965"/>
      <c r="E27" s="965"/>
      <c r="F27" s="534"/>
      <c r="G27"/>
      <c r="H27" s="1"/>
    </row>
    <row r="28" spans="2:8" ht="25.5" hidden="1" customHeight="1">
      <c r="B28" s="535"/>
      <c r="C28" s="534"/>
      <c r="D28" s="965"/>
      <c r="E28" s="965"/>
      <c r="F28" s="534"/>
      <c r="H28" s="1"/>
    </row>
    <row r="29" spans="2:8" ht="25.5" hidden="1" customHeight="1">
      <c r="B29" s="535"/>
      <c r="C29" s="534"/>
      <c r="D29" s="965"/>
      <c r="E29" s="965"/>
      <c r="F29" s="534"/>
      <c r="H29" s="1"/>
    </row>
    <row r="30" spans="2:8" s="536" customFormat="1" ht="21" hidden="1" customHeight="1">
      <c r="B30" s="535"/>
      <c r="C30" s="534"/>
      <c r="D30" s="965"/>
      <c r="E30" s="965"/>
      <c r="F30" s="534"/>
      <c r="G30"/>
      <c r="H30" s="1"/>
    </row>
    <row r="31" spans="2:8" s="536" customFormat="1" ht="21" hidden="1" customHeight="1">
      <c r="B31" s="535"/>
      <c r="C31" s="534"/>
      <c r="D31" s="965"/>
      <c r="E31" s="965"/>
      <c r="F31" s="534"/>
      <c r="G31"/>
      <c r="H31" s="1"/>
    </row>
    <row r="32" spans="2:8" s="536" customFormat="1" ht="21" hidden="1" customHeight="1">
      <c r="B32" s="535"/>
      <c r="C32" s="534"/>
      <c r="D32" s="965"/>
      <c r="E32" s="965"/>
      <c r="F32" s="534"/>
      <c r="G32"/>
      <c r="H32" s="1"/>
    </row>
    <row r="33" spans="2:8" s="536" customFormat="1" ht="21" hidden="1" customHeight="1">
      <c r="B33" s="535"/>
      <c r="C33" s="534"/>
      <c r="D33" s="965"/>
      <c r="E33" s="965"/>
      <c r="F33" s="534"/>
      <c r="G33"/>
      <c r="H33" s="1"/>
    </row>
    <row r="34" spans="2:8" s="536" customFormat="1" ht="21" hidden="1" customHeight="1">
      <c r="B34" s="535"/>
      <c r="C34" s="534"/>
      <c r="D34" s="965"/>
      <c r="E34" s="965"/>
      <c r="F34" s="534"/>
      <c r="G34"/>
      <c r="H34" s="1"/>
    </row>
    <row r="35" spans="2:8" ht="25.5" hidden="1" customHeight="1">
      <c r="B35" s="535"/>
      <c r="C35" s="534"/>
      <c r="D35" s="965"/>
      <c r="E35" s="965"/>
      <c r="F35" s="534"/>
      <c r="H35" s="1"/>
    </row>
    <row r="36" spans="2:8" s="536" customFormat="1" ht="21" hidden="1" customHeight="1">
      <c r="B36" s="535"/>
      <c r="C36" s="534"/>
      <c r="D36" s="965"/>
      <c r="E36" s="965"/>
      <c r="F36" s="534"/>
      <c r="G36"/>
      <c r="H36" s="1"/>
    </row>
    <row r="37" spans="2:8" ht="25.5" hidden="1" customHeight="1">
      <c r="B37" s="535"/>
      <c r="C37" s="534"/>
      <c r="D37" s="965"/>
      <c r="E37" s="965"/>
      <c r="F37" s="534"/>
      <c r="H37" s="1"/>
    </row>
    <row r="38" spans="2:8" ht="25.5" hidden="1" customHeight="1">
      <c r="B38" s="535"/>
      <c r="C38" s="534"/>
      <c r="D38" s="965"/>
      <c r="E38" s="965"/>
      <c r="F38" s="534"/>
      <c r="H38" s="1"/>
    </row>
    <row r="39" spans="2:8" ht="25.5" hidden="1" customHeight="1">
      <c r="B39" s="535"/>
      <c r="C39" s="534"/>
      <c r="D39" s="965"/>
      <c r="E39" s="965"/>
      <c r="F39" s="534"/>
      <c r="H39" s="1"/>
    </row>
    <row r="40" spans="2:8" ht="25.5" hidden="1" customHeight="1">
      <c r="B40" s="535"/>
      <c r="C40" s="534"/>
      <c r="D40" s="965"/>
      <c r="E40" s="965"/>
      <c r="F40" s="534"/>
      <c r="H40" s="1"/>
    </row>
    <row r="41" spans="2:8" ht="25.5" hidden="1" customHeight="1">
      <c r="B41" s="535"/>
      <c r="C41" s="534"/>
      <c r="D41" s="965"/>
      <c r="E41" s="965"/>
      <c r="F41" s="534"/>
      <c r="H41" s="1"/>
    </row>
    <row r="42" spans="2:8" s="536" customFormat="1" ht="21" hidden="1" customHeight="1">
      <c r="B42" s="535"/>
      <c r="C42" s="534"/>
      <c r="D42" s="965"/>
      <c r="E42" s="965"/>
      <c r="F42" s="534"/>
      <c r="G42"/>
      <c r="H42" s="1"/>
    </row>
    <row r="43" spans="2:8" ht="25.5" hidden="1" customHeight="1">
      <c r="B43" s="535"/>
      <c r="C43" s="534"/>
      <c r="D43" s="965"/>
      <c r="E43" s="965"/>
      <c r="F43" s="534"/>
      <c r="H43" s="1"/>
    </row>
    <row r="44" spans="2:8" ht="25.5" hidden="1" customHeight="1">
      <c r="B44" s="535"/>
      <c r="C44" s="534"/>
      <c r="D44" s="965"/>
      <c r="E44" s="965"/>
      <c r="F44" s="534"/>
      <c r="H44" s="1"/>
    </row>
    <row r="45" spans="2:8" ht="25.5" hidden="1" customHeight="1">
      <c r="B45" s="535"/>
      <c r="C45" s="534"/>
      <c r="D45" s="965"/>
      <c r="E45" s="965"/>
      <c r="F45" s="534"/>
      <c r="H45" s="1"/>
    </row>
    <row r="46" spans="2:8" ht="25.5" hidden="1" customHeight="1">
      <c r="B46" s="535"/>
      <c r="C46" s="534"/>
      <c r="D46" s="965"/>
      <c r="E46" s="965"/>
      <c r="F46" s="534"/>
      <c r="H46" s="1"/>
    </row>
    <row r="47" spans="2:8" s="536" customFormat="1" ht="21" hidden="1" customHeight="1">
      <c r="B47" s="535"/>
      <c r="C47" s="534"/>
      <c r="D47" s="965"/>
      <c r="E47" s="965"/>
      <c r="F47" s="534"/>
      <c r="G47"/>
      <c r="H47" s="1"/>
    </row>
    <row r="48" spans="2:8" ht="25.5" hidden="1" customHeight="1">
      <c r="B48" s="535"/>
      <c r="C48" s="534"/>
      <c r="D48" s="965"/>
      <c r="E48" s="965"/>
      <c r="F48" s="534"/>
      <c r="H48" s="1"/>
    </row>
    <row r="49" spans="2:8" s="536" customFormat="1" ht="21" hidden="1" customHeight="1">
      <c r="B49" s="535"/>
      <c r="C49" s="534"/>
      <c r="D49" s="965"/>
      <c r="E49" s="965"/>
      <c r="F49" s="534"/>
      <c r="G49"/>
      <c r="H49" s="1"/>
    </row>
    <row r="50" spans="2:8" s="536" customFormat="1" ht="21" hidden="1" customHeight="1">
      <c r="B50" s="535"/>
      <c r="C50" s="534"/>
      <c r="D50" s="965"/>
      <c r="E50" s="965"/>
      <c r="F50" s="534"/>
      <c r="G50"/>
      <c r="H50" s="1"/>
    </row>
    <row r="51" spans="2:8" ht="25.5" hidden="1" customHeight="1">
      <c r="B51" s="535"/>
      <c r="C51" s="534"/>
      <c r="D51" s="965"/>
      <c r="E51" s="965"/>
      <c r="F51" s="534"/>
      <c r="H51" s="1"/>
    </row>
    <row r="52" spans="2:8" ht="25.5" hidden="1" customHeight="1">
      <c r="B52" s="535"/>
      <c r="C52" s="534"/>
      <c r="D52" s="965"/>
      <c r="E52" s="965"/>
      <c r="F52" s="534"/>
      <c r="H52" s="1"/>
    </row>
    <row r="53" spans="2:8" s="536" customFormat="1" ht="21" hidden="1" customHeight="1">
      <c r="B53" s="535"/>
      <c r="C53" s="534"/>
      <c r="D53" s="965"/>
      <c r="E53" s="965"/>
      <c r="F53" s="534"/>
      <c r="G53"/>
      <c r="H53" s="1"/>
    </row>
    <row r="54" spans="2:8" s="536" customFormat="1" ht="21" hidden="1" customHeight="1">
      <c r="B54" s="535"/>
      <c r="C54" s="534"/>
      <c r="D54" s="965"/>
      <c r="E54" s="965"/>
      <c r="F54" s="534"/>
      <c r="G54"/>
      <c r="H54" s="1"/>
    </row>
    <row r="55" spans="2:8" ht="25.5" hidden="1" customHeight="1">
      <c r="B55" s="535"/>
      <c r="C55" s="534"/>
      <c r="D55" s="965"/>
      <c r="E55" s="965"/>
      <c r="F55" s="534"/>
      <c r="H55" s="1"/>
    </row>
    <row r="56" spans="2:8" ht="25.5" hidden="1" customHeight="1">
      <c r="B56" s="535"/>
      <c r="C56" s="534"/>
      <c r="D56" s="965"/>
      <c r="E56" s="965"/>
      <c r="F56" s="534"/>
      <c r="H56" s="1"/>
    </row>
    <row r="57" spans="2:8" s="536" customFormat="1" ht="21" hidden="1" customHeight="1">
      <c r="B57" s="535"/>
      <c r="C57" s="534"/>
      <c r="D57" s="965"/>
      <c r="E57" s="965"/>
      <c r="F57" s="534"/>
      <c r="G57"/>
      <c r="H57" s="1"/>
    </row>
    <row r="58" spans="2:8" s="536" customFormat="1" ht="21" hidden="1" customHeight="1">
      <c r="B58" s="535"/>
      <c r="C58" s="534"/>
      <c r="D58" s="965"/>
      <c r="E58" s="965"/>
      <c r="F58" s="534"/>
      <c r="G58"/>
      <c r="H58" s="1"/>
    </row>
    <row r="59" spans="2:8" s="536" customFormat="1" ht="21" hidden="1" customHeight="1">
      <c r="B59" s="535"/>
      <c r="C59" s="534"/>
      <c r="D59" s="965"/>
      <c r="E59" s="965"/>
      <c r="F59" s="534"/>
      <c r="G59"/>
      <c r="H59" s="1"/>
    </row>
    <row r="60" spans="2:8" ht="25.5" hidden="1" customHeight="1">
      <c r="B60" s="535"/>
      <c r="C60" s="534"/>
      <c r="D60" s="965"/>
      <c r="E60" s="965"/>
      <c r="F60" s="534"/>
      <c r="H60" s="1"/>
    </row>
    <row r="61" spans="2:8" ht="25.5" hidden="1" customHeight="1">
      <c r="B61" s="535"/>
      <c r="C61" s="534"/>
      <c r="D61" s="965"/>
      <c r="E61" s="965"/>
      <c r="F61" s="534"/>
      <c r="H61" s="1"/>
    </row>
    <row r="62" spans="2:8" s="536" customFormat="1" ht="21" hidden="1" customHeight="1">
      <c r="B62" s="535"/>
      <c r="C62" s="534"/>
      <c r="D62" s="965"/>
      <c r="E62" s="965"/>
      <c r="F62" s="534"/>
      <c r="G62"/>
      <c r="H62" s="1"/>
    </row>
    <row r="63" spans="2:8" s="431" customFormat="1" ht="25.5" hidden="1" customHeight="1">
      <c r="B63" s="535"/>
      <c r="C63" s="534"/>
      <c r="D63" s="965"/>
      <c r="E63" s="965"/>
      <c r="F63" s="534"/>
      <c r="G63"/>
      <c r="H63" s="1"/>
    </row>
    <row r="64" spans="2:8" s="537" customFormat="1" ht="21" hidden="1" customHeight="1">
      <c r="B64" s="535"/>
      <c r="C64" s="534"/>
      <c r="D64" s="965"/>
      <c r="E64" s="965"/>
      <c r="F64" s="534"/>
      <c r="G64"/>
      <c r="H64" s="1"/>
    </row>
    <row r="65" spans="2:15" s="537" customFormat="1" ht="21" hidden="1" customHeight="1">
      <c r="B65" s="535"/>
      <c r="C65" s="534"/>
      <c r="D65" s="965"/>
      <c r="E65" s="965"/>
      <c r="F65" s="534"/>
      <c r="G65"/>
      <c r="H65" s="1"/>
    </row>
    <row r="66" spans="2:15" s="431" customFormat="1" ht="25.5" hidden="1" customHeight="1">
      <c r="B66" s="535"/>
      <c r="C66" s="534"/>
      <c r="D66" s="965"/>
      <c r="E66" s="965"/>
      <c r="F66" s="534"/>
      <c r="G66"/>
      <c r="H66" s="1"/>
    </row>
    <row r="67" spans="2:15" s="431" customFormat="1" ht="25.5" hidden="1" customHeight="1">
      <c r="B67" s="535"/>
      <c r="C67" s="534"/>
      <c r="D67" s="965"/>
      <c r="E67" s="965"/>
      <c r="F67" s="534"/>
      <c r="G67"/>
      <c r="H67" s="1"/>
    </row>
    <row r="68" spans="2:15" s="431" customFormat="1" ht="25.5" hidden="1" customHeight="1">
      <c r="B68" s="535"/>
      <c r="C68" s="534"/>
      <c r="D68" s="965"/>
      <c r="E68" s="965"/>
      <c r="F68" s="534"/>
      <c r="G68"/>
      <c r="H68" s="1"/>
    </row>
    <row r="69" spans="2:15" s="431" customFormat="1" ht="25.5" hidden="1" customHeight="1">
      <c r="B69" s="535"/>
      <c r="C69" s="534"/>
      <c r="D69" s="965"/>
      <c r="E69" s="965"/>
      <c r="F69" s="534"/>
      <c r="G69"/>
      <c r="H69" s="1"/>
    </row>
    <row r="70" spans="2:15" s="536" customFormat="1" ht="21" customHeight="1">
      <c r="B70" s="535">
        <f>SUMIF(H14:H67,H70,B14:B69)</f>
        <v>38418.639999999999</v>
      </c>
      <c r="C70" s="1640" t="s">
        <v>186</v>
      </c>
      <c r="D70" s="1641"/>
      <c r="E70" s="1641"/>
      <c r="F70" s="1642"/>
      <c r="H70" s="1331" t="s">
        <v>562</v>
      </c>
    </row>
    <row r="71" spans="2:15" ht="32.25" customHeight="1">
      <c r="B71" s="1643" t="str">
        <f>CONCATENATE("أوقف المبلغ عند :"," ",[1]!Arreta(B70))</f>
        <v>أوقف المبلغ عند : ثمانية وثلاثون ألف وأربعمائة وثمانية عشر دينار جزائري وأربعة وستون سنتيما</v>
      </c>
      <c r="C71" s="1643"/>
      <c r="D71" s="1643"/>
      <c r="E71" s="1643"/>
      <c r="F71" s="1643"/>
      <c r="H71" s="1330" t="s">
        <v>562</v>
      </c>
    </row>
    <row r="72" spans="2:15" ht="18.75" customHeight="1">
      <c r="D72" s="1347">
        <f>الرئيسية!$N$10</f>
        <v>43617</v>
      </c>
    </row>
    <row r="73" spans="2:15">
      <c r="G73" s="1741"/>
      <c r="H73" s="1741"/>
      <c r="I73" s="1741"/>
      <c r="J73" s="1741"/>
      <c r="K73" s="1741"/>
      <c r="L73" s="1741"/>
      <c r="M73" s="1741"/>
      <c r="N73" s="1741"/>
      <c r="O73" s="1741"/>
    </row>
  </sheetData>
  <autoFilter ref="H13:H71">
    <filterColumn colId="0">
      <filters>
        <filter val="الحساب الجاري البريدي"/>
      </filters>
    </filterColumn>
  </autoFilter>
  <mergeCells count="5">
    <mergeCell ref="B2:E2"/>
    <mergeCell ref="B6:F6"/>
    <mergeCell ref="C70:F70"/>
    <mergeCell ref="B71:F71"/>
    <mergeCell ref="G73:O73"/>
  </mergeCells>
  <dataValidations count="1">
    <dataValidation type="list" allowBlank="1" showInputMessage="1" showErrorMessage="1" sqref="E4">
      <formula1>'ورقة العمل'!Y12:Y12</formula1>
    </dataValidation>
  </dataValidations>
  <printOptions horizontalCentered="1"/>
  <pageMargins left="0.19685039370078741" right="0.19685039370078741" top="0.39370078740157483" bottom="0.39370078740157483" header="0" footer="0"/>
  <pageSetup paperSize="134" scale="68" orientation="portrait" horizontalDpi="180" verticalDpi="180"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sheetPr>
    <tabColor rgb="FFFF0000"/>
  </sheetPr>
  <dimension ref="A1:H26"/>
  <sheetViews>
    <sheetView rightToLeft="1" view="pageBreakPreview" zoomScale="115" zoomScaleNormal="70" workbookViewId="0">
      <selection activeCell="B5" sqref="B5:E5"/>
    </sheetView>
  </sheetViews>
  <sheetFormatPr baseColWidth="10" defaultRowHeight="15"/>
  <cols>
    <col min="2" max="2" width="11.7109375" customWidth="1"/>
    <col min="3" max="3" width="24.28515625" customWidth="1"/>
    <col min="4" max="4" width="21" customWidth="1"/>
    <col min="5" max="5" width="31.140625" customWidth="1"/>
    <col min="6" max="6" width="6.5703125" style="952" customWidth="1"/>
    <col min="7" max="7" width="6.5703125" style="953" customWidth="1"/>
  </cols>
  <sheetData>
    <row r="1" spans="1:8" ht="27">
      <c r="B1" s="1461" t="s">
        <v>1</v>
      </c>
      <c r="C1" s="1461"/>
      <c r="D1" s="1461"/>
      <c r="E1" s="1461"/>
    </row>
    <row r="2" spans="1:8" ht="20.25">
      <c r="B2" s="453"/>
      <c r="C2" s="298"/>
      <c r="D2" s="298"/>
      <c r="E2" s="298"/>
    </row>
    <row r="3" spans="1:8" ht="20.25">
      <c r="B3" s="1359" t="s">
        <v>2</v>
      </c>
      <c r="C3" s="546"/>
      <c r="D3" s="298"/>
      <c r="E3" s="298"/>
      <c r="H3" s="182"/>
    </row>
    <row r="4" spans="1:8" ht="20.25">
      <c r="B4" s="1359" t="s">
        <v>775</v>
      </c>
      <c r="C4" s="546"/>
      <c r="E4" s="1361" t="s">
        <v>772</v>
      </c>
    </row>
    <row r="5" spans="1:8" ht="45.75" customHeight="1">
      <c r="B5" s="1465" t="s">
        <v>331</v>
      </c>
      <c r="C5" s="1465"/>
      <c r="D5" s="1465"/>
      <c r="E5" s="1465"/>
    </row>
    <row r="6" spans="1:8" ht="32.25" customHeight="1">
      <c r="B6" s="1462" t="s">
        <v>330</v>
      </c>
      <c r="C6" s="1462"/>
      <c r="D6" s="1462"/>
      <c r="E6" s="1462"/>
    </row>
    <row r="7" spans="1:8" ht="23.25">
      <c r="B7" s="1466" t="s">
        <v>774</v>
      </c>
      <c r="C7" s="1466"/>
      <c r="D7" s="1466"/>
      <c r="E7" s="1466"/>
      <c r="G7" s="954"/>
    </row>
    <row r="8" spans="1:8" ht="18">
      <c r="B8" s="547" t="s">
        <v>252</v>
      </c>
      <c r="C8" s="1322" t="str">
        <f>الرئيسية!N8</f>
        <v>جوان</v>
      </c>
      <c r="D8" s="547" t="s">
        <v>253</v>
      </c>
      <c r="E8" s="1323">
        <f ca="1">YEAR(TODAY())</f>
        <v>2019</v>
      </c>
      <c r="G8" s="955"/>
    </row>
    <row r="9" spans="1:8">
      <c r="B9" s="298"/>
      <c r="C9" s="298"/>
      <c r="D9" s="298"/>
      <c r="E9" s="298"/>
    </row>
    <row r="10" spans="1:8" ht="30" customHeight="1">
      <c r="B10" s="1460" t="s">
        <v>254</v>
      </c>
      <c r="C10" s="1460"/>
      <c r="D10" s="1463" t="s">
        <v>255</v>
      </c>
      <c r="E10" s="553" t="s">
        <v>329</v>
      </c>
    </row>
    <row r="11" spans="1:8" ht="30" customHeight="1">
      <c r="B11" s="555" t="s">
        <v>328</v>
      </c>
      <c r="C11" s="554"/>
      <c r="D11" s="1464"/>
      <c r="E11" s="1360">
        <f>الرئيسية!N10</f>
        <v>43617</v>
      </c>
      <c r="F11" s="956"/>
    </row>
    <row r="12" spans="1:8" ht="33" customHeight="1">
      <c r="B12" s="1739" t="str">
        <f>CONCATENATE(," ",C8)</f>
        <v xml:space="preserve"> جوان</v>
      </c>
      <c r="C12" s="1740"/>
      <c r="D12" s="1324">
        <f>VLOOKUP(E12,TABMAND,T2+8,FALSE)</f>
        <v>0</v>
      </c>
      <c r="E12" s="1325">
        <v>78</v>
      </c>
      <c r="F12" s="957"/>
    </row>
    <row r="13" spans="1:8">
      <c r="B13" s="298"/>
      <c r="C13" s="298"/>
      <c r="D13" s="298"/>
      <c r="E13" s="298"/>
    </row>
    <row r="14" spans="1:8" ht="31.5" customHeight="1">
      <c r="B14" s="548" t="s">
        <v>256</v>
      </c>
      <c r="C14" s="549"/>
      <c r="D14" s="551" t="s">
        <v>257</v>
      </c>
      <c r="E14" s="552" t="s">
        <v>258</v>
      </c>
      <c r="F14" s="1308">
        <v>1</v>
      </c>
      <c r="G14" s="1308" t="str">
        <f>LOOKUP(E12,'ورقة العمل'!Y2:Y12,'ورقة العمل'!X2:X12)</f>
        <v>بنك الفلاحة والتنمية الريفية</v>
      </c>
    </row>
    <row r="15" spans="1:8" ht="15.75">
      <c r="A15">
        <f>'ETAT-PAY-VACT (2)'!A15</f>
        <v>23</v>
      </c>
      <c r="B15" s="958">
        <f>'ETAT-PAY-VACT (2)'!B15</f>
        <v>1</v>
      </c>
      <c r="C15" s="959" t="str">
        <f>LOOKUP(A15,'VAC-TCMP'!A:A,'VAC-TCMP'!B:B)</f>
        <v>زنتؤءىلاورؤةىلازوةءؤرىلا</v>
      </c>
      <c r="D15" s="552">
        <f>LOOKUP(B15,'VAC-TCMP'!A:A,'VAC-TCMP'!K:K)</f>
        <v>0</v>
      </c>
      <c r="E15" s="960">
        <f>LOOKUP(A15,'VAC-TCMP'!A:A,'VAC-TCMP'!AM:AM)</f>
        <v>0</v>
      </c>
      <c r="F15" s="1320">
        <f>IF(E15&gt;0,1,0)</f>
        <v>0</v>
      </c>
      <c r="G15" s="1318" t="str">
        <f>LOOKUP(A15,'VAC-TCMP'!A:A,'VAC-TCMP'!M:M)</f>
        <v>بنك الفلاحة و التنمية الريفية</v>
      </c>
    </row>
    <row r="16" spans="1:8" ht="12.75" customHeight="1">
      <c r="A16">
        <f>'ETAT-PAY-VACT (2)'!A16</f>
        <v>24</v>
      </c>
      <c r="B16" s="958">
        <f>'ETAT-PAY-VACT (2)'!B16</f>
        <v>1</v>
      </c>
      <c r="C16" s="959" t="str">
        <f>LOOKUP(A16,'VAC-TCMP'!A:A,'VAC-TCMP'!B:B)</f>
        <v>نتيمسلابىلاكؤرمتنىلا</v>
      </c>
      <c r="D16" s="552">
        <f>LOOKUP(B16,'VAC-TCMP'!A:A,'VAC-TCMP'!K:K)</f>
        <v>0</v>
      </c>
      <c r="E16" s="960">
        <f>LOOKUP(A16,'VAC-TCMP'!A:A,'VAC-TCMP'!AM:AM)</f>
        <v>0</v>
      </c>
      <c r="F16" s="1320">
        <f t="shared" ref="F16:F21" si="0">IF(E16&gt;0,1,0)</f>
        <v>0</v>
      </c>
      <c r="G16" s="1318" t="str">
        <f>LOOKUP(A16,'VAC-TCMP'!A:A,'VAC-TCMP'!M:M)</f>
        <v>بنك التنمية المحلية</v>
      </c>
    </row>
    <row r="17" spans="1:7" ht="12.75" customHeight="1">
      <c r="A17">
        <f>'ETAT-PAY-VACT (2)'!A17</f>
        <v>25</v>
      </c>
      <c r="B17" s="958">
        <f>'ETAT-PAY-VACT (2)'!B17</f>
        <v>2</v>
      </c>
      <c r="C17" s="959" t="str">
        <f>LOOKUP(A17,'VAC-TCMP'!A:A,'VAC-TCMP'!B:B)</f>
        <v>ةىروؤزلاىؤرءزوةلا</v>
      </c>
      <c r="D17" s="552">
        <f>LOOKUP(B17,'VAC-TCMP'!A:A,'VAC-TCMP'!K:K)</f>
        <v>0</v>
      </c>
      <c r="E17" s="960">
        <f>LOOKUP(A17,'VAC-TCMP'!A:A,'VAC-TCMP'!AM:AM)</f>
        <v>0</v>
      </c>
      <c r="F17" s="1320">
        <f t="shared" si="0"/>
        <v>0</v>
      </c>
      <c r="G17" s="1318" t="str">
        <f>LOOKUP(A17,'VAC-TCMP'!A:A,'VAC-TCMP'!M:M)</f>
        <v>بنك التنمية المحلية</v>
      </c>
    </row>
    <row r="18" spans="1:7" ht="15.75">
      <c r="A18">
        <f>'ETAT-PAY-VACT (2)'!A18</f>
        <v>26</v>
      </c>
      <c r="B18" s="958">
        <f>'ETAT-PAY-VACT (2)'!B18</f>
        <v>1</v>
      </c>
      <c r="C18" s="959" t="str">
        <f>LOOKUP(A18,'VAC-TCMP'!A:A,'VAC-TCMP'!B:B)</f>
        <v>منتكبالاسماتلطبات</v>
      </c>
      <c r="D18" s="552">
        <f>LOOKUP(B18,'VAC-TCMP'!A:A,'VAC-TCMP'!K:K)</f>
        <v>0</v>
      </c>
      <c r="E18" s="960">
        <f>LOOKUP(A18,'VAC-TCMP'!A:A,'VAC-TCMP'!AM:AM)</f>
        <v>0</v>
      </c>
      <c r="F18" s="1320">
        <f t="shared" si="0"/>
        <v>0</v>
      </c>
      <c r="G18" s="1318" t="str">
        <f>LOOKUP(A18,'VAC-TCMP'!A:A,'VAC-TCMP'!M:M)</f>
        <v>الحساب الجاري البريدي</v>
      </c>
    </row>
    <row r="19" spans="1:7" ht="15.75">
      <c r="A19">
        <f>'ETAT-PAY-VACT (2)'!A19</f>
        <v>27</v>
      </c>
      <c r="B19" s="958">
        <f>'ETAT-PAY-VACT (2)'!B19</f>
        <v>2</v>
      </c>
      <c r="C19" s="959" t="str">
        <f>LOOKUP(A19,'VAC-TCMP'!A:A,'VAC-TCMP'!B:B)</f>
        <v>كسمنتيبسشكيمنلتميبسل</v>
      </c>
      <c r="D19" s="552">
        <f>LOOKUP(B19,'VAC-TCMP'!A:A,'VAC-TCMP'!K:K)</f>
        <v>0</v>
      </c>
      <c r="E19" s="960">
        <f>LOOKUP(A19,'VAC-TCMP'!A:A,'VAC-TCMP'!AM:AM)</f>
        <v>0</v>
      </c>
      <c r="F19" s="1320">
        <f t="shared" si="0"/>
        <v>0</v>
      </c>
      <c r="G19" s="1318" t="str">
        <f>LOOKUP(A19,'VAC-TCMP'!A:A,'VAC-TCMP'!M:M)</f>
        <v>الحساب الجاري البريدي</v>
      </c>
    </row>
    <row r="20" spans="1:7" ht="15.75">
      <c r="A20">
        <f>'ETAT-PAY-VACT (2)'!A20</f>
        <v>28</v>
      </c>
      <c r="B20" s="958">
        <f>'ETAT-PAY-VACT (2)'!B20</f>
        <v>3</v>
      </c>
      <c r="C20" s="959" t="str">
        <f>LOOKUP(A20,'VAC-TCMP'!A:A,'VAC-TCMP'!B:B)</f>
        <v>نتبلشبنيمتلنمبيل</v>
      </c>
      <c r="D20" s="552">
        <f>LOOKUP(B20,'VAC-TCMP'!A:A,'VAC-TCMP'!K:K)</f>
        <v>0</v>
      </c>
      <c r="E20" s="960">
        <f>LOOKUP(A20,'VAC-TCMP'!A:A,'VAC-TCMP'!AM:AM)</f>
        <v>0</v>
      </c>
      <c r="F20" s="1320">
        <f t="shared" si="0"/>
        <v>0</v>
      </c>
      <c r="G20" s="1318" t="str">
        <f>LOOKUP(A20,'VAC-TCMP'!A:A,'VAC-TCMP'!M:M)</f>
        <v>الحساب الجاري البريدي</v>
      </c>
    </row>
    <row r="21" spans="1:7" ht="15.75">
      <c r="A21">
        <f>'ETAT-PAY-VACT (2)'!A21</f>
        <v>29</v>
      </c>
      <c r="B21" s="958">
        <f>'ETAT-PAY-VACT (2)'!B21</f>
        <v>4</v>
      </c>
      <c r="C21" s="959" t="str">
        <f>LOOKUP(A21,'VAC-TCMP'!A:A,'VAC-TCMP'!B:B)</f>
        <v>منيبتطلنبيشتطتمنتل</v>
      </c>
      <c r="D21" s="552">
        <f>LOOKUP(B21,'VAC-TCMP'!A:A,'VAC-TCMP'!K:K)</f>
        <v>0</v>
      </c>
      <c r="E21" s="960">
        <f>LOOKUP(A21,'VAC-TCMP'!A:A,'VAC-TCMP'!AM:AM)</f>
        <v>0</v>
      </c>
      <c r="F21" s="1320">
        <f t="shared" si="0"/>
        <v>0</v>
      </c>
      <c r="G21" s="1318" t="str">
        <f>LOOKUP(A21,'VAC-TCMP'!A:A,'VAC-TCMP'!M:M)</f>
        <v>الحساب الجاري البريدي</v>
      </c>
    </row>
    <row r="22" spans="1:7" ht="36.75" customHeight="1">
      <c r="B22" s="1467" t="str">
        <f>CONCATENATE("أوقف هذا الكشف بمبلغ :"," ",[1]!Arreta(E22))</f>
        <v xml:space="preserve">أوقف هذا الكشف بمبلغ : </v>
      </c>
      <c r="C22" s="1468"/>
      <c r="D22" s="1469"/>
      <c r="E22" s="550">
        <f>SUMIF(G15:G21,G22,E15:E21)</f>
        <v>0</v>
      </c>
      <c r="F22" s="1321">
        <v>1</v>
      </c>
      <c r="G22" s="1319" t="s">
        <v>550</v>
      </c>
    </row>
    <row r="23" spans="1:7" ht="36.75" customHeight="1">
      <c r="B23" s="1467" t="str">
        <f>CONCATENATE("أوقف هذا الكشف بمبلغ :"," ",[1]!Arreta(E23))</f>
        <v xml:space="preserve">أوقف هذا الكشف بمبلغ : </v>
      </c>
      <c r="C23" s="1468"/>
      <c r="D23" s="1469"/>
      <c r="E23" s="550">
        <f>SUMIF(G15:G21,G23,E15:E21)</f>
        <v>0</v>
      </c>
      <c r="F23" s="1321">
        <v>1</v>
      </c>
      <c r="G23" s="1319" t="s">
        <v>549</v>
      </c>
    </row>
    <row r="24" spans="1:7" ht="36.75" customHeight="1">
      <c r="B24" s="1467" t="str">
        <f>CONCATENATE("أوقف هذا الكشف بمبلغ :"," ",[1]!Arreta(E24))</f>
        <v xml:space="preserve">أوقف هذا الكشف بمبلغ : </v>
      </c>
      <c r="C24" s="1468"/>
      <c r="D24" s="1469"/>
      <c r="E24" s="550">
        <f>SUMIF(G15:G21,G24,E15:E21)</f>
        <v>0</v>
      </c>
      <c r="F24" s="1321">
        <v>1</v>
      </c>
      <c r="G24" s="1319" t="s">
        <v>548</v>
      </c>
    </row>
    <row r="25" spans="1:7" ht="36.75" customHeight="1">
      <c r="B25" s="1467" t="str">
        <f>CONCATENATE("أوقف هذا الكشف بمبلغ :"," ",[1]!Arreta(E25))</f>
        <v xml:space="preserve">أوقف هذا الكشف بمبلغ : </v>
      </c>
      <c r="C25" s="1468"/>
      <c r="D25" s="1469"/>
      <c r="E25" s="550">
        <f>SUMIF(G15:G21,G25,E15:E21)</f>
        <v>0</v>
      </c>
      <c r="F25" s="1321">
        <v>1</v>
      </c>
      <c r="G25" s="1319" t="s">
        <v>561</v>
      </c>
    </row>
    <row r="26" spans="1:7" ht="36.75" customHeight="1">
      <c r="B26" s="1467" t="str">
        <f>CONCATENATE("أوقف هذا الكشف بمبلغ :"," ",[1]!Arreta(E26))</f>
        <v xml:space="preserve">أوقف هذا الكشف بمبلغ : </v>
      </c>
      <c r="C26" s="1468"/>
      <c r="D26" s="1469"/>
      <c r="E26" s="550">
        <f>SUMIF(G15:G21,G26,E15:E21)</f>
        <v>0</v>
      </c>
      <c r="F26" s="1321">
        <v>1</v>
      </c>
      <c r="G26" s="1319" t="s">
        <v>562</v>
      </c>
    </row>
  </sheetData>
  <autoFilter ref="F14:G26">
    <filterColumn colId="0"/>
    <filterColumn colId="1"/>
  </autoFilter>
  <mergeCells count="12">
    <mergeCell ref="B26:D26"/>
    <mergeCell ref="B1:E1"/>
    <mergeCell ref="B5:E5"/>
    <mergeCell ref="B6:E6"/>
    <mergeCell ref="B7:E7"/>
    <mergeCell ref="B10:C10"/>
    <mergeCell ref="D10:D11"/>
    <mergeCell ref="B12:C12"/>
    <mergeCell ref="B22:D22"/>
    <mergeCell ref="B23:D23"/>
    <mergeCell ref="B24:D24"/>
    <mergeCell ref="B25:D25"/>
  </mergeCells>
  <dataValidations count="1">
    <dataValidation type="list" allowBlank="1" showInputMessage="1" showErrorMessage="1" sqref="E12">
      <formula1>'ورقة العمل'!Y10:Y12</formula1>
    </dataValidation>
  </dataValidations>
  <printOptions horizontalCentered="1"/>
  <pageMargins left="0.19685039370078741" right="0.19685039370078741" top="0.39370078740157483" bottom="0.59055118110236227" header="0" footer="0"/>
  <pageSetup paperSize="134" orientation="portrait" horizontalDpi="180" verticalDpi="18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dimension ref="B1:WXE60"/>
  <sheetViews>
    <sheetView rightToLeft="1" view="pageLayout" topLeftCell="A13" zoomScale="50" zoomScaleNormal="55" zoomScalePageLayoutView="50" workbookViewId="0">
      <selection activeCell="B21" sqref="B21:P21"/>
    </sheetView>
  </sheetViews>
  <sheetFormatPr baseColWidth="10" defaultColWidth="0" defaultRowHeight="0" customHeight="1" zeroHeight="1"/>
  <cols>
    <col min="1" max="1" width="3.140625" customWidth="1"/>
    <col min="2" max="2" width="24.140625" customWidth="1"/>
    <col min="3" max="5" width="16.7109375" customWidth="1"/>
    <col min="6" max="6" width="17.140625" customWidth="1"/>
    <col min="7" max="11" width="11.42578125" customWidth="1"/>
    <col min="12" max="12" width="30.7109375" customWidth="1"/>
    <col min="13" max="13" width="9.140625" customWidth="1"/>
    <col min="14" max="14" width="20.85546875" customWidth="1"/>
    <col min="15" max="15" width="9.140625" customWidth="1"/>
    <col min="16" max="16" width="8.5703125" customWidth="1"/>
    <col min="17" max="17" width="7.85546875" customWidth="1"/>
    <col min="18" max="18" width="4.140625" style="3" customWidth="1"/>
    <col min="19" max="19" width="24.140625" customWidth="1"/>
    <col min="20" max="22" width="16.7109375" customWidth="1"/>
    <col min="23" max="23" width="17.140625" customWidth="1"/>
    <col min="24" max="28" width="11.42578125" customWidth="1"/>
    <col min="29" max="29" width="24.7109375" customWidth="1"/>
    <col min="30" max="31" width="11.42578125" customWidth="1"/>
    <col min="32" max="32" width="7.28515625" customWidth="1"/>
    <col min="33" max="33" width="10.42578125" customWidth="1"/>
    <col min="34" max="34" width="3.85546875" style="3" customWidth="1"/>
    <col min="35" max="35" width="3.85546875" style="3" hidden="1" customWidth="1"/>
    <col min="36" max="36" width="24.140625" hidden="1" customWidth="1"/>
    <col min="37" max="39" width="16.7109375" hidden="1" customWidth="1"/>
    <col min="40" max="40" width="16.5703125" hidden="1" customWidth="1"/>
    <col min="41" max="41" width="17.140625" hidden="1" customWidth="1"/>
    <col min="42" max="46" width="11.42578125" hidden="1" customWidth="1"/>
    <col min="47" max="47" width="24.7109375" hidden="1" customWidth="1"/>
    <col min="48" max="49" width="11.42578125" hidden="1" customWidth="1"/>
    <col min="50" max="51" width="9.5703125" hidden="1" customWidth="1"/>
    <col min="52" max="52" width="4" hidden="1" customWidth="1"/>
    <col min="53" max="291" width="11.42578125" hidden="1"/>
    <col min="292" max="292" width="24.140625" hidden="1"/>
    <col min="293" max="295" width="16.7109375" hidden="1"/>
    <col min="296" max="296" width="16.5703125" hidden="1"/>
    <col min="297" max="297" width="17.140625" hidden="1"/>
    <col min="298" max="302" width="11.42578125" hidden="1"/>
    <col min="303" max="303" width="24.7109375" hidden="1"/>
    <col min="304" max="547" width="11.42578125" hidden="1"/>
    <col min="548" max="548" width="24.140625" hidden="1"/>
    <col min="549" max="551" width="16.7109375" hidden="1"/>
    <col min="552" max="552" width="16.5703125" hidden="1"/>
    <col min="553" max="553" width="17.140625" hidden="1"/>
    <col min="554" max="558" width="11.42578125" hidden="1"/>
    <col min="559" max="559" width="24.7109375" hidden="1"/>
    <col min="560" max="803" width="11.42578125" hidden="1"/>
    <col min="804" max="804" width="24.140625" hidden="1"/>
    <col min="805" max="807" width="16.7109375" hidden="1"/>
    <col min="808" max="808" width="16.5703125" hidden="1"/>
    <col min="809" max="809" width="17.140625" hidden="1"/>
    <col min="810" max="814" width="11.42578125" hidden="1"/>
    <col min="815" max="815" width="24.7109375" hidden="1"/>
    <col min="816" max="1059" width="11.42578125" hidden="1"/>
    <col min="1060" max="1060" width="24.140625" hidden="1"/>
    <col min="1061" max="1063" width="16.7109375" hidden="1"/>
    <col min="1064" max="1064" width="16.5703125" hidden="1"/>
    <col min="1065" max="1065" width="17.140625" hidden="1"/>
    <col min="1066" max="1070" width="11.42578125" hidden="1"/>
    <col min="1071" max="1071" width="24.7109375" hidden="1"/>
    <col min="1072" max="1315" width="11.42578125" hidden="1"/>
    <col min="1316" max="1316" width="24.140625" hidden="1"/>
    <col min="1317" max="1319" width="16.7109375" hidden="1"/>
    <col min="1320" max="1320" width="16.5703125" hidden="1"/>
    <col min="1321" max="1321" width="17.140625" hidden="1"/>
    <col min="1322" max="1326" width="11.42578125" hidden="1"/>
    <col min="1327" max="1327" width="24.7109375" hidden="1"/>
    <col min="1328" max="1571" width="11.42578125" hidden="1"/>
    <col min="1572" max="1572" width="24.140625" hidden="1"/>
    <col min="1573" max="1575" width="16.7109375" hidden="1"/>
    <col min="1576" max="1576" width="16.5703125" hidden="1"/>
    <col min="1577" max="1577" width="17.140625" hidden="1"/>
    <col min="1578" max="1582" width="11.42578125" hidden="1"/>
    <col min="1583" max="1583" width="24.7109375" hidden="1"/>
    <col min="1584" max="1827" width="11.42578125" hidden="1"/>
    <col min="1828" max="1828" width="24.140625" hidden="1"/>
    <col min="1829" max="1831" width="16.7109375" hidden="1"/>
    <col min="1832" max="1832" width="16.5703125" hidden="1"/>
    <col min="1833" max="1833" width="17.140625" hidden="1"/>
    <col min="1834" max="1838" width="11.42578125" hidden="1"/>
    <col min="1839" max="1839" width="24.7109375" hidden="1"/>
    <col min="1840" max="2083" width="11.42578125" hidden="1"/>
    <col min="2084" max="2084" width="24.140625" hidden="1"/>
    <col min="2085" max="2087" width="16.7109375" hidden="1"/>
    <col min="2088" max="2088" width="16.5703125" hidden="1"/>
    <col min="2089" max="2089" width="17.140625" hidden="1"/>
    <col min="2090" max="2094" width="11.42578125" hidden="1"/>
    <col min="2095" max="2095" width="24.7109375" hidden="1"/>
    <col min="2096" max="2339" width="11.42578125" hidden="1"/>
    <col min="2340" max="2340" width="24.140625" hidden="1"/>
    <col min="2341" max="2343" width="16.7109375" hidden="1"/>
    <col min="2344" max="2344" width="16.5703125" hidden="1"/>
    <col min="2345" max="2345" width="17.140625" hidden="1"/>
    <col min="2346" max="2350" width="11.42578125" hidden="1"/>
    <col min="2351" max="2351" width="24.7109375" hidden="1"/>
    <col min="2352" max="2595" width="11.42578125" hidden="1"/>
    <col min="2596" max="2596" width="24.140625" hidden="1"/>
    <col min="2597" max="2599" width="16.7109375" hidden="1"/>
    <col min="2600" max="2600" width="16.5703125" hidden="1"/>
    <col min="2601" max="2601" width="17.140625" hidden="1"/>
    <col min="2602" max="2606" width="11.42578125" hidden="1"/>
    <col min="2607" max="2607" width="24.7109375" hidden="1"/>
    <col min="2608" max="2851" width="11.42578125" hidden="1"/>
    <col min="2852" max="2852" width="24.140625" hidden="1"/>
    <col min="2853" max="2855" width="16.7109375" hidden="1"/>
    <col min="2856" max="2856" width="16.5703125" hidden="1"/>
    <col min="2857" max="2857" width="17.140625" hidden="1"/>
    <col min="2858" max="2862" width="11.42578125" hidden="1"/>
    <col min="2863" max="2863" width="24.7109375" hidden="1"/>
    <col min="2864" max="3107" width="11.42578125" hidden="1"/>
    <col min="3108" max="3108" width="24.140625" hidden="1"/>
    <col min="3109" max="3111" width="16.7109375" hidden="1"/>
    <col min="3112" max="3112" width="16.5703125" hidden="1"/>
    <col min="3113" max="3113" width="17.140625" hidden="1"/>
    <col min="3114" max="3118" width="11.42578125" hidden="1"/>
    <col min="3119" max="3119" width="24.7109375" hidden="1"/>
    <col min="3120" max="3363" width="11.42578125" hidden="1"/>
    <col min="3364" max="3364" width="24.140625" hidden="1"/>
    <col min="3365" max="3367" width="16.7109375" hidden="1"/>
    <col min="3368" max="3368" width="16.5703125" hidden="1"/>
    <col min="3369" max="3369" width="17.140625" hidden="1"/>
    <col min="3370" max="3374" width="11.42578125" hidden="1"/>
    <col min="3375" max="3375" width="24.7109375" hidden="1"/>
    <col min="3376" max="3619" width="11.42578125" hidden="1"/>
    <col min="3620" max="3620" width="24.140625" hidden="1"/>
    <col min="3621" max="3623" width="16.7109375" hidden="1"/>
    <col min="3624" max="3624" width="16.5703125" hidden="1"/>
    <col min="3625" max="3625" width="17.140625" hidden="1"/>
    <col min="3626" max="3630" width="11.42578125" hidden="1"/>
    <col min="3631" max="3631" width="24.7109375" hidden="1"/>
    <col min="3632" max="3875" width="11.42578125" hidden="1"/>
    <col min="3876" max="3876" width="24.140625" hidden="1"/>
    <col min="3877" max="3879" width="16.7109375" hidden="1"/>
    <col min="3880" max="3880" width="16.5703125" hidden="1"/>
    <col min="3881" max="3881" width="17.140625" hidden="1"/>
    <col min="3882" max="3886" width="11.42578125" hidden="1"/>
    <col min="3887" max="3887" width="24.7109375" hidden="1"/>
    <col min="3888" max="4131" width="11.42578125" hidden="1"/>
    <col min="4132" max="4132" width="24.140625" hidden="1"/>
    <col min="4133" max="4135" width="16.7109375" hidden="1"/>
    <col min="4136" max="4136" width="16.5703125" hidden="1"/>
    <col min="4137" max="4137" width="17.140625" hidden="1"/>
    <col min="4138" max="4142" width="11.42578125" hidden="1"/>
    <col min="4143" max="4143" width="24.7109375" hidden="1"/>
    <col min="4144" max="4387" width="11.42578125" hidden="1"/>
    <col min="4388" max="4388" width="24.140625" hidden="1"/>
    <col min="4389" max="4391" width="16.7109375" hidden="1"/>
    <col min="4392" max="4392" width="16.5703125" hidden="1"/>
    <col min="4393" max="4393" width="17.140625" hidden="1"/>
    <col min="4394" max="4398" width="11.42578125" hidden="1"/>
    <col min="4399" max="4399" width="24.7109375" hidden="1"/>
    <col min="4400" max="4643" width="11.42578125" hidden="1"/>
    <col min="4644" max="4644" width="24.140625" hidden="1"/>
    <col min="4645" max="4647" width="16.7109375" hidden="1"/>
    <col min="4648" max="4648" width="16.5703125" hidden="1"/>
    <col min="4649" max="4649" width="17.140625" hidden="1"/>
    <col min="4650" max="4654" width="11.42578125" hidden="1"/>
    <col min="4655" max="4655" width="24.7109375" hidden="1"/>
    <col min="4656" max="4899" width="11.42578125" hidden="1"/>
    <col min="4900" max="4900" width="24.140625" hidden="1"/>
    <col min="4901" max="4903" width="16.7109375" hidden="1"/>
    <col min="4904" max="4904" width="16.5703125" hidden="1"/>
    <col min="4905" max="4905" width="17.140625" hidden="1"/>
    <col min="4906" max="4910" width="11.42578125" hidden="1"/>
    <col min="4911" max="4911" width="24.7109375" hidden="1"/>
    <col min="4912" max="5155" width="11.42578125" hidden="1"/>
    <col min="5156" max="5156" width="24.140625" hidden="1"/>
    <col min="5157" max="5159" width="16.7109375" hidden="1"/>
    <col min="5160" max="5160" width="16.5703125" hidden="1"/>
    <col min="5161" max="5161" width="17.140625" hidden="1"/>
    <col min="5162" max="5166" width="11.42578125" hidden="1"/>
    <col min="5167" max="5167" width="24.7109375" hidden="1"/>
    <col min="5168" max="5411" width="11.42578125" hidden="1"/>
    <col min="5412" max="5412" width="24.140625" hidden="1"/>
    <col min="5413" max="5415" width="16.7109375" hidden="1"/>
    <col min="5416" max="5416" width="16.5703125" hidden="1"/>
    <col min="5417" max="5417" width="17.140625" hidden="1"/>
    <col min="5418" max="5422" width="11.42578125" hidden="1"/>
    <col min="5423" max="5423" width="24.7109375" hidden="1"/>
    <col min="5424" max="5667" width="11.42578125" hidden="1"/>
    <col min="5668" max="5668" width="24.140625" hidden="1"/>
    <col min="5669" max="5671" width="16.7109375" hidden="1"/>
    <col min="5672" max="5672" width="16.5703125" hidden="1"/>
    <col min="5673" max="5673" width="17.140625" hidden="1"/>
    <col min="5674" max="5678" width="11.42578125" hidden="1"/>
    <col min="5679" max="5679" width="24.7109375" hidden="1"/>
    <col min="5680" max="5923" width="11.42578125" hidden="1"/>
    <col min="5924" max="5924" width="24.140625" hidden="1"/>
    <col min="5925" max="5927" width="16.7109375" hidden="1"/>
    <col min="5928" max="5928" width="16.5703125" hidden="1"/>
    <col min="5929" max="5929" width="17.140625" hidden="1"/>
    <col min="5930" max="5934" width="11.42578125" hidden="1"/>
    <col min="5935" max="5935" width="24.7109375" hidden="1"/>
    <col min="5936" max="6179" width="11.42578125" hidden="1"/>
    <col min="6180" max="6180" width="24.140625" hidden="1"/>
    <col min="6181" max="6183" width="16.7109375" hidden="1"/>
    <col min="6184" max="6184" width="16.5703125" hidden="1"/>
    <col min="6185" max="6185" width="17.140625" hidden="1"/>
    <col min="6186" max="6190" width="11.42578125" hidden="1"/>
    <col min="6191" max="6191" width="24.7109375" hidden="1"/>
    <col min="6192" max="6435" width="11.42578125" hidden="1"/>
    <col min="6436" max="6436" width="24.140625" hidden="1"/>
    <col min="6437" max="6439" width="16.7109375" hidden="1"/>
    <col min="6440" max="6440" width="16.5703125" hidden="1"/>
    <col min="6441" max="6441" width="17.140625" hidden="1"/>
    <col min="6442" max="6446" width="11.42578125" hidden="1"/>
    <col min="6447" max="6447" width="24.7109375" hidden="1"/>
    <col min="6448" max="6691" width="11.42578125" hidden="1"/>
    <col min="6692" max="6692" width="24.140625" hidden="1"/>
    <col min="6693" max="6695" width="16.7109375" hidden="1"/>
    <col min="6696" max="6696" width="16.5703125" hidden="1"/>
    <col min="6697" max="6697" width="17.140625" hidden="1"/>
    <col min="6698" max="6702" width="11.42578125" hidden="1"/>
    <col min="6703" max="6703" width="24.7109375" hidden="1"/>
    <col min="6704" max="6947" width="11.42578125" hidden="1"/>
    <col min="6948" max="6948" width="24.140625" hidden="1"/>
    <col min="6949" max="6951" width="16.7109375" hidden="1"/>
    <col min="6952" max="6952" width="16.5703125" hidden="1"/>
    <col min="6953" max="6953" width="17.140625" hidden="1"/>
    <col min="6954" max="6958" width="11.42578125" hidden="1"/>
    <col min="6959" max="6959" width="24.7109375" hidden="1"/>
    <col min="6960" max="7203" width="11.42578125" hidden="1"/>
    <col min="7204" max="7204" width="24.140625" hidden="1"/>
    <col min="7205" max="7207" width="16.7109375" hidden="1"/>
    <col min="7208" max="7208" width="16.5703125" hidden="1"/>
    <col min="7209" max="7209" width="17.140625" hidden="1"/>
    <col min="7210" max="7214" width="11.42578125" hidden="1"/>
    <col min="7215" max="7215" width="24.7109375" hidden="1"/>
    <col min="7216" max="7459" width="11.42578125" hidden="1"/>
    <col min="7460" max="7460" width="24.140625" hidden="1"/>
    <col min="7461" max="7463" width="16.7109375" hidden="1"/>
    <col min="7464" max="7464" width="16.5703125" hidden="1"/>
    <col min="7465" max="7465" width="17.140625" hidden="1"/>
    <col min="7466" max="7470" width="11.42578125" hidden="1"/>
    <col min="7471" max="7471" width="24.7109375" hidden="1"/>
    <col min="7472" max="7715" width="11.42578125" hidden="1"/>
    <col min="7716" max="7716" width="24.140625" hidden="1"/>
    <col min="7717" max="7719" width="16.7109375" hidden="1"/>
    <col min="7720" max="7720" width="16.5703125" hidden="1"/>
    <col min="7721" max="7721" width="17.140625" hidden="1"/>
    <col min="7722" max="7726" width="11.42578125" hidden="1"/>
    <col min="7727" max="7727" width="24.7109375" hidden="1"/>
    <col min="7728" max="7971" width="11.42578125" hidden="1"/>
    <col min="7972" max="7972" width="24.140625" hidden="1"/>
    <col min="7973" max="7975" width="16.7109375" hidden="1"/>
    <col min="7976" max="7976" width="16.5703125" hidden="1"/>
    <col min="7977" max="7977" width="17.140625" hidden="1"/>
    <col min="7978" max="7982" width="11.42578125" hidden="1"/>
    <col min="7983" max="7983" width="24.7109375" hidden="1"/>
    <col min="7984" max="8227" width="11.42578125" hidden="1"/>
    <col min="8228" max="8228" width="24.140625" hidden="1"/>
    <col min="8229" max="8231" width="16.7109375" hidden="1"/>
    <col min="8232" max="8232" width="16.5703125" hidden="1"/>
    <col min="8233" max="8233" width="17.140625" hidden="1"/>
    <col min="8234" max="8238" width="11.42578125" hidden="1"/>
    <col min="8239" max="8239" width="24.7109375" hidden="1"/>
    <col min="8240" max="8483" width="11.42578125" hidden="1"/>
    <col min="8484" max="8484" width="24.140625" hidden="1"/>
    <col min="8485" max="8487" width="16.7109375" hidden="1"/>
    <col min="8488" max="8488" width="16.5703125" hidden="1"/>
    <col min="8489" max="8489" width="17.140625" hidden="1"/>
    <col min="8490" max="8494" width="11.42578125" hidden="1"/>
    <col min="8495" max="8495" width="24.7109375" hidden="1"/>
    <col min="8496" max="8739" width="11.42578125" hidden="1"/>
    <col min="8740" max="8740" width="24.140625" hidden="1"/>
    <col min="8741" max="8743" width="16.7109375" hidden="1"/>
    <col min="8744" max="8744" width="16.5703125" hidden="1"/>
    <col min="8745" max="8745" width="17.140625" hidden="1"/>
    <col min="8746" max="8750" width="11.42578125" hidden="1"/>
    <col min="8751" max="8751" width="24.7109375" hidden="1"/>
    <col min="8752" max="8995" width="11.42578125" hidden="1"/>
    <col min="8996" max="8996" width="24.140625" hidden="1"/>
    <col min="8997" max="8999" width="16.7109375" hidden="1"/>
    <col min="9000" max="9000" width="16.5703125" hidden="1"/>
    <col min="9001" max="9001" width="17.140625" hidden="1"/>
    <col min="9002" max="9006" width="11.42578125" hidden="1"/>
    <col min="9007" max="9007" width="24.7109375" hidden="1"/>
    <col min="9008" max="9251" width="11.42578125" hidden="1"/>
    <col min="9252" max="9252" width="24.140625" hidden="1"/>
    <col min="9253" max="9255" width="16.7109375" hidden="1"/>
    <col min="9256" max="9256" width="16.5703125" hidden="1"/>
    <col min="9257" max="9257" width="17.140625" hidden="1"/>
    <col min="9258" max="9262" width="11.42578125" hidden="1"/>
    <col min="9263" max="9263" width="24.7109375" hidden="1"/>
    <col min="9264" max="9507" width="11.42578125" hidden="1"/>
    <col min="9508" max="9508" width="24.140625" hidden="1"/>
    <col min="9509" max="9511" width="16.7109375" hidden="1"/>
    <col min="9512" max="9512" width="16.5703125" hidden="1"/>
    <col min="9513" max="9513" width="17.140625" hidden="1"/>
    <col min="9514" max="9518" width="11.42578125" hidden="1"/>
    <col min="9519" max="9519" width="24.7109375" hidden="1"/>
    <col min="9520" max="9763" width="11.42578125" hidden="1"/>
    <col min="9764" max="9764" width="24.140625" hidden="1"/>
    <col min="9765" max="9767" width="16.7109375" hidden="1"/>
    <col min="9768" max="9768" width="16.5703125" hidden="1"/>
    <col min="9769" max="9769" width="17.140625" hidden="1"/>
    <col min="9770" max="9774" width="11.42578125" hidden="1"/>
    <col min="9775" max="9775" width="24.7109375" hidden="1"/>
    <col min="9776" max="10019" width="11.42578125" hidden="1"/>
    <col min="10020" max="10020" width="24.140625" hidden="1"/>
    <col min="10021" max="10023" width="16.7109375" hidden="1"/>
    <col min="10024" max="10024" width="16.5703125" hidden="1"/>
    <col min="10025" max="10025" width="17.140625" hidden="1"/>
    <col min="10026" max="10030" width="11.42578125" hidden="1"/>
    <col min="10031" max="10031" width="24.7109375" hidden="1"/>
    <col min="10032" max="10275" width="11.42578125" hidden="1"/>
    <col min="10276" max="10276" width="24.140625" hidden="1"/>
    <col min="10277" max="10279" width="16.7109375" hidden="1"/>
    <col min="10280" max="10280" width="16.5703125" hidden="1"/>
    <col min="10281" max="10281" width="17.140625" hidden="1"/>
    <col min="10282" max="10286" width="11.42578125" hidden="1"/>
    <col min="10287" max="10287" width="24.7109375" hidden="1"/>
    <col min="10288" max="10531" width="11.42578125" hidden="1"/>
    <col min="10532" max="10532" width="24.140625" hidden="1"/>
    <col min="10533" max="10535" width="16.7109375" hidden="1"/>
    <col min="10536" max="10536" width="16.5703125" hidden="1"/>
    <col min="10537" max="10537" width="17.140625" hidden="1"/>
    <col min="10538" max="10542" width="11.42578125" hidden="1"/>
    <col min="10543" max="10543" width="24.7109375" hidden="1"/>
    <col min="10544" max="10787" width="11.42578125" hidden="1"/>
    <col min="10788" max="10788" width="24.140625" hidden="1"/>
    <col min="10789" max="10791" width="16.7109375" hidden="1"/>
    <col min="10792" max="10792" width="16.5703125" hidden="1"/>
    <col min="10793" max="10793" width="17.140625" hidden="1"/>
    <col min="10794" max="10798" width="11.42578125" hidden="1"/>
    <col min="10799" max="10799" width="24.7109375" hidden="1"/>
    <col min="10800" max="11043" width="11.42578125" hidden="1"/>
    <col min="11044" max="11044" width="24.140625" hidden="1"/>
    <col min="11045" max="11047" width="16.7109375" hidden="1"/>
    <col min="11048" max="11048" width="16.5703125" hidden="1"/>
    <col min="11049" max="11049" width="17.140625" hidden="1"/>
    <col min="11050" max="11054" width="11.42578125" hidden="1"/>
    <col min="11055" max="11055" width="24.7109375" hidden="1"/>
    <col min="11056" max="11299" width="11.42578125" hidden="1"/>
    <col min="11300" max="11300" width="24.140625" hidden="1"/>
    <col min="11301" max="11303" width="16.7109375" hidden="1"/>
    <col min="11304" max="11304" width="16.5703125" hidden="1"/>
    <col min="11305" max="11305" width="17.140625" hidden="1"/>
    <col min="11306" max="11310" width="11.42578125" hidden="1"/>
    <col min="11311" max="11311" width="24.7109375" hidden="1"/>
    <col min="11312" max="11555" width="11.42578125" hidden="1"/>
    <col min="11556" max="11556" width="24.140625" hidden="1"/>
    <col min="11557" max="11559" width="16.7109375" hidden="1"/>
    <col min="11560" max="11560" width="16.5703125" hidden="1"/>
    <col min="11561" max="11561" width="17.140625" hidden="1"/>
    <col min="11562" max="11566" width="11.42578125" hidden="1"/>
    <col min="11567" max="11567" width="24.7109375" hidden="1"/>
    <col min="11568" max="11811" width="11.42578125" hidden="1"/>
    <col min="11812" max="11812" width="24.140625" hidden="1"/>
    <col min="11813" max="11815" width="16.7109375" hidden="1"/>
    <col min="11816" max="11816" width="16.5703125" hidden="1"/>
    <col min="11817" max="11817" width="17.140625" hidden="1"/>
    <col min="11818" max="11822" width="11.42578125" hidden="1"/>
    <col min="11823" max="11823" width="24.7109375" hidden="1"/>
    <col min="11824" max="12067" width="11.42578125" hidden="1"/>
    <col min="12068" max="12068" width="24.140625" hidden="1"/>
    <col min="12069" max="12071" width="16.7109375" hidden="1"/>
    <col min="12072" max="12072" width="16.5703125" hidden="1"/>
    <col min="12073" max="12073" width="17.140625" hidden="1"/>
    <col min="12074" max="12078" width="11.42578125" hidden="1"/>
    <col min="12079" max="12079" width="24.7109375" hidden="1"/>
    <col min="12080" max="12323" width="11.42578125" hidden="1"/>
    <col min="12324" max="12324" width="24.140625" hidden="1"/>
    <col min="12325" max="12327" width="16.7109375" hidden="1"/>
    <col min="12328" max="12328" width="16.5703125" hidden="1"/>
    <col min="12329" max="12329" width="17.140625" hidden="1"/>
    <col min="12330" max="12334" width="11.42578125" hidden="1"/>
    <col min="12335" max="12335" width="24.7109375" hidden="1"/>
    <col min="12336" max="12579" width="11.42578125" hidden="1"/>
    <col min="12580" max="12580" width="24.140625" hidden="1"/>
    <col min="12581" max="12583" width="16.7109375" hidden="1"/>
    <col min="12584" max="12584" width="16.5703125" hidden="1"/>
    <col min="12585" max="12585" width="17.140625" hidden="1"/>
    <col min="12586" max="12590" width="11.42578125" hidden="1"/>
    <col min="12591" max="12591" width="24.7109375" hidden="1"/>
    <col min="12592" max="12835" width="11.42578125" hidden="1"/>
    <col min="12836" max="12836" width="24.140625" hidden="1"/>
    <col min="12837" max="12839" width="16.7109375" hidden="1"/>
    <col min="12840" max="12840" width="16.5703125" hidden="1"/>
    <col min="12841" max="12841" width="17.140625" hidden="1"/>
    <col min="12842" max="12846" width="11.42578125" hidden="1"/>
    <col min="12847" max="12847" width="24.7109375" hidden="1"/>
    <col min="12848" max="13091" width="11.42578125" hidden="1"/>
    <col min="13092" max="13092" width="24.140625" hidden="1"/>
    <col min="13093" max="13095" width="16.7109375" hidden="1"/>
    <col min="13096" max="13096" width="16.5703125" hidden="1"/>
    <col min="13097" max="13097" width="17.140625" hidden="1"/>
    <col min="13098" max="13102" width="11.42578125" hidden="1"/>
    <col min="13103" max="13103" width="24.7109375" hidden="1"/>
    <col min="13104" max="13347" width="11.42578125" hidden="1"/>
    <col min="13348" max="13348" width="24.140625" hidden="1"/>
    <col min="13349" max="13351" width="16.7109375" hidden="1"/>
    <col min="13352" max="13352" width="16.5703125" hidden="1"/>
    <col min="13353" max="13353" width="17.140625" hidden="1"/>
    <col min="13354" max="13358" width="11.42578125" hidden="1"/>
    <col min="13359" max="13359" width="24.7109375" hidden="1"/>
    <col min="13360" max="13603" width="11.42578125" hidden="1"/>
    <col min="13604" max="13604" width="24.140625" hidden="1"/>
    <col min="13605" max="13607" width="16.7109375" hidden="1"/>
    <col min="13608" max="13608" width="16.5703125" hidden="1"/>
    <col min="13609" max="13609" width="17.140625" hidden="1"/>
    <col min="13610" max="13614" width="11.42578125" hidden="1"/>
    <col min="13615" max="13615" width="24.7109375" hidden="1"/>
    <col min="13616" max="13859" width="11.42578125" hidden="1"/>
    <col min="13860" max="13860" width="24.140625" hidden="1"/>
    <col min="13861" max="13863" width="16.7109375" hidden="1"/>
    <col min="13864" max="13864" width="16.5703125" hidden="1"/>
    <col min="13865" max="13865" width="17.140625" hidden="1"/>
    <col min="13866" max="13870" width="11.42578125" hidden="1"/>
    <col min="13871" max="13871" width="24.7109375" hidden="1"/>
    <col min="13872" max="14115" width="11.42578125" hidden="1"/>
    <col min="14116" max="14116" width="24.140625" hidden="1"/>
    <col min="14117" max="14119" width="16.7109375" hidden="1"/>
    <col min="14120" max="14120" width="16.5703125" hidden="1"/>
    <col min="14121" max="14121" width="17.140625" hidden="1"/>
    <col min="14122" max="14126" width="11.42578125" hidden="1"/>
    <col min="14127" max="14127" width="24.7109375" hidden="1"/>
    <col min="14128" max="14371" width="11.42578125" hidden="1"/>
    <col min="14372" max="14372" width="24.140625" hidden="1"/>
    <col min="14373" max="14375" width="16.7109375" hidden="1"/>
    <col min="14376" max="14376" width="16.5703125" hidden="1"/>
    <col min="14377" max="14377" width="17.140625" hidden="1"/>
    <col min="14378" max="14382" width="11.42578125" hidden="1"/>
    <col min="14383" max="14383" width="24.7109375" hidden="1"/>
    <col min="14384" max="14627" width="11.42578125" hidden="1"/>
    <col min="14628" max="14628" width="24.140625" hidden="1"/>
    <col min="14629" max="14631" width="16.7109375" hidden="1"/>
    <col min="14632" max="14632" width="16.5703125" hidden="1"/>
    <col min="14633" max="14633" width="17.140625" hidden="1"/>
    <col min="14634" max="14638" width="11.42578125" hidden="1"/>
    <col min="14639" max="14639" width="24.7109375" hidden="1"/>
    <col min="14640" max="14883" width="11.42578125" hidden="1"/>
    <col min="14884" max="14884" width="24.140625" hidden="1"/>
    <col min="14885" max="14887" width="16.7109375" hidden="1"/>
    <col min="14888" max="14888" width="16.5703125" hidden="1"/>
    <col min="14889" max="14889" width="17.140625" hidden="1"/>
    <col min="14890" max="14894" width="11.42578125" hidden="1"/>
    <col min="14895" max="14895" width="24.7109375" hidden="1"/>
    <col min="14896" max="15139" width="11.42578125" hidden="1"/>
    <col min="15140" max="15140" width="24.140625" hidden="1"/>
    <col min="15141" max="15143" width="16.7109375" hidden="1"/>
    <col min="15144" max="15144" width="16.5703125" hidden="1"/>
    <col min="15145" max="15145" width="17.140625" hidden="1"/>
    <col min="15146" max="15150" width="11.42578125" hidden="1"/>
    <col min="15151" max="15151" width="24.7109375" hidden="1"/>
    <col min="15152" max="15395" width="11.42578125" hidden="1"/>
    <col min="15396" max="15396" width="24.140625" hidden="1"/>
    <col min="15397" max="15399" width="16.7109375" hidden="1"/>
    <col min="15400" max="15400" width="16.5703125" hidden="1"/>
    <col min="15401" max="15401" width="17.140625" hidden="1"/>
    <col min="15402" max="15406" width="11.42578125" hidden="1"/>
    <col min="15407" max="15407" width="24.7109375" hidden="1"/>
    <col min="15408" max="15651" width="11.42578125" hidden="1"/>
    <col min="15652" max="15652" width="24.140625" hidden="1"/>
    <col min="15653" max="15655" width="16.7109375" hidden="1"/>
    <col min="15656" max="15656" width="16.5703125" hidden="1"/>
    <col min="15657" max="15657" width="17.140625" hidden="1"/>
    <col min="15658" max="15662" width="11.42578125" hidden="1"/>
    <col min="15663" max="15663" width="24.7109375" hidden="1"/>
    <col min="15664" max="15907" width="11.42578125" hidden="1"/>
    <col min="15908" max="15908" width="24.140625" hidden="1"/>
    <col min="15909" max="15911" width="16.7109375" hidden="1"/>
    <col min="15912" max="15912" width="16.5703125" hidden="1"/>
    <col min="15913" max="15913" width="17.140625" hidden="1"/>
    <col min="15914" max="15918" width="11.42578125" hidden="1"/>
    <col min="15919" max="15919" width="24.7109375" hidden="1"/>
    <col min="15920" max="16163" width="11.42578125" hidden="1"/>
    <col min="16164" max="16164" width="24.140625" hidden="1"/>
    <col min="16165" max="16167" width="16.7109375" hidden="1"/>
    <col min="16168" max="16168" width="16.5703125" hidden="1"/>
    <col min="16169" max="16169" width="17.140625" hidden="1"/>
    <col min="16170" max="16174" width="11.42578125" hidden="1"/>
    <col min="16175" max="16177" width="24.7109375" hidden="1"/>
  </cols>
  <sheetData>
    <row r="1" spans="2:53" ht="42.75" customHeight="1">
      <c r="B1" s="1672" t="s">
        <v>306</v>
      </c>
      <c r="C1" s="1672"/>
      <c r="D1" s="1672"/>
      <c r="E1" s="1672"/>
      <c r="F1" s="1672"/>
      <c r="G1" s="1672"/>
      <c r="H1" s="1672"/>
      <c r="I1" s="1672"/>
      <c r="J1" s="1672"/>
      <c r="K1" s="1672"/>
      <c r="L1" s="1672"/>
      <c r="M1" s="1672"/>
      <c r="N1" s="1672"/>
      <c r="O1" s="1672"/>
      <c r="P1" s="1672"/>
      <c r="Q1" s="1076"/>
      <c r="R1" s="1076"/>
      <c r="S1" s="1672" t="s">
        <v>306</v>
      </c>
      <c r="T1" s="1672"/>
      <c r="U1" s="1672"/>
      <c r="V1" s="1672"/>
      <c r="W1" s="1672"/>
      <c r="X1" s="1672"/>
      <c r="Y1" s="1672"/>
      <c r="Z1" s="1672"/>
      <c r="AA1" s="1672"/>
      <c r="AB1" s="1672"/>
      <c r="AC1" s="1672"/>
      <c r="AD1" s="1672"/>
      <c r="AE1" s="1672"/>
      <c r="AF1" s="1672"/>
      <c r="AG1" s="1672"/>
      <c r="AH1" s="1076"/>
      <c r="AI1" s="1076"/>
      <c r="AJ1" s="1672" t="s">
        <v>306</v>
      </c>
      <c r="AK1" s="1672"/>
      <c r="AL1" s="1672"/>
      <c r="AM1" s="1672"/>
      <c r="AN1" s="1672"/>
      <c r="AO1" s="1672"/>
      <c r="AP1" s="1672"/>
      <c r="AQ1" s="1672"/>
      <c r="AR1" s="1672"/>
      <c r="AS1" s="1672"/>
      <c r="AT1" s="1672"/>
      <c r="AU1" s="1672"/>
      <c r="AV1" s="1672"/>
      <c r="AW1" s="1672"/>
      <c r="AX1" s="1672"/>
      <c r="AY1" s="1672"/>
    </row>
    <row r="2" spans="2:53" ht="30" customHeight="1" thickBot="1">
      <c r="B2" s="505" t="s">
        <v>307</v>
      </c>
      <c r="C2" s="506"/>
      <c r="D2" s="507"/>
      <c r="E2" s="508"/>
      <c r="F2" s="509" t="s">
        <v>308</v>
      </c>
      <c r="G2" s="506"/>
      <c r="H2" s="510"/>
      <c r="I2" s="507"/>
      <c r="J2" s="564"/>
      <c r="K2" s="565"/>
      <c r="L2" s="507"/>
      <c r="M2" s="511"/>
      <c r="P2" s="504"/>
      <c r="Q2" s="504"/>
      <c r="R2" s="1108"/>
      <c r="S2" s="505" t="s">
        <v>307</v>
      </c>
      <c r="T2" s="506"/>
      <c r="U2" s="507"/>
      <c r="V2" s="508"/>
      <c r="W2" s="509" t="s">
        <v>308</v>
      </c>
      <c r="X2" s="506"/>
      <c r="Y2" s="510"/>
      <c r="Z2" s="507"/>
      <c r="AA2" s="564"/>
      <c r="AB2" s="565"/>
      <c r="AC2" s="507"/>
      <c r="AD2" s="511"/>
      <c r="AG2" s="504"/>
      <c r="AH2" s="1108"/>
      <c r="AI2" s="1108"/>
      <c r="AJ2" s="505" t="s">
        <v>307</v>
      </c>
      <c r="AK2" s="506"/>
      <c r="AL2" s="507"/>
      <c r="AM2" s="508"/>
      <c r="AN2" s="508"/>
      <c r="AO2" s="509" t="s">
        <v>308</v>
      </c>
      <c r="AP2" s="506"/>
      <c r="AQ2" s="510"/>
      <c r="AR2" s="507"/>
      <c r="AS2" s="564"/>
      <c r="AT2" s="565"/>
      <c r="AU2" s="507"/>
      <c r="AV2" s="511"/>
      <c r="AY2" s="504"/>
    </row>
    <row r="3" spans="2:53" ht="29.25" customHeight="1" thickBot="1">
      <c r="B3" s="505" t="s">
        <v>773</v>
      </c>
      <c r="C3" s="511"/>
      <c r="D3" s="507"/>
      <c r="E3" s="508"/>
      <c r="F3" s="511" t="s">
        <v>309</v>
      </c>
      <c r="G3" s="511"/>
      <c r="H3" s="510"/>
      <c r="I3" s="566"/>
      <c r="K3" s="561" t="s">
        <v>310</v>
      </c>
      <c r="L3" s="563"/>
      <c r="M3" s="570"/>
      <c r="P3" s="504"/>
      <c r="Q3" s="504"/>
      <c r="R3" s="1108"/>
      <c r="S3" s="505" t="s">
        <v>773</v>
      </c>
      <c r="T3" s="511"/>
      <c r="U3" s="507"/>
      <c r="V3" s="508"/>
      <c r="W3" s="511" t="s">
        <v>309</v>
      </c>
      <c r="X3" s="511"/>
      <c r="Y3" s="510"/>
      <c r="Z3" s="566"/>
      <c r="AB3" s="561" t="s">
        <v>310</v>
      </c>
      <c r="AC3" s="563"/>
      <c r="AD3" s="570"/>
      <c r="AG3" s="504"/>
      <c r="AH3" s="1108"/>
      <c r="AI3" s="1108"/>
      <c r="AJ3" s="505" t="s">
        <v>773</v>
      </c>
      <c r="AK3" s="511"/>
      <c r="AL3" s="507"/>
      <c r="AM3" s="508"/>
      <c r="AN3" s="508"/>
      <c r="AO3" s="511" t="s">
        <v>309</v>
      </c>
      <c r="AP3" s="511"/>
      <c r="AQ3" s="510"/>
      <c r="AR3" s="566"/>
      <c r="AT3" s="561" t="s">
        <v>310</v>
      </c>
      <c r="AU3" s="563"/>
      <c r="AV3" s="570"/>
      <c r="AY3" s="504"/>
    </row>
    <row r="4" spans="2:53" ht="32.25" customHeight="1" thickBot="1">
      <c r="B4" s="507"/>
      <c r="C4" s="507"/>
      <c r="D4" s="507"/>
      <c r="E4" s="512" t="s">
        <v>311</v>
      </c>
      <c r="F4" s="513" t="s">
        <v>247</v>
      </c>
      <c r="G4" s="507"/>
      <c r="H4" s="514" t="s">
        <v>312</v>
      </c>
      <c r="I4" s="507"/>
      <c r="K4" s="561" t="s">
        <v>313</v>
      </c>
      <c r="M4" s="1679" t="s">
        <v>314</v>
      </c>
      <c r="N4" s="1680"/>
      <c r="O4" s="1680"/>
      <c r="P4" s="1681"/>
      <c r="Q4" s="1105"/>
      <c r="R4" s="1105"/>
      <c r="S4" s="507"/>
      <c r="T4" s="507"/>
      <c r="U4" s="507"/>
      <c r="V4" s="512" t="s">
        <v>311</v>
      </c>
      <c r="W4" s="513" t="s">
        <v>247</v>
      </c>
      <c r="X4" s="507"/>
      <c r="Y4" s="514" t="s">
        <v>312</v>
      </c>
      <c r="Z4" s="507"/>
      <c r="AB4" s="561" t="s">
        <v>313</v>
      </c>
      <c r="AD4" s="1673" t="s">
        <v>314</v>
      </c>
      <c r="AE4" s="1674"/>
      <c r="AF4" s="1674"/>
      <c r="AG4" s="1675"/>
      <c r="AH4" s="1105"/>
      <c r="AI4" s="1105"/>
      <c r="AJ4" s="507"/>
      <c r="AK4" s="507"/>
      <c r="AL4" s="507"/>
      <c r="AN4" s="512" t="s">
        <v>311</v>
      </c>
      <c r="AO4" s="513" t="s">
        <v>247</v>
      </c>
      <c r="AP4" s="507"/>
      <c r="AQ4" s="514" t="s">
        <v>312</v>
      </c>
      <c r="AR4" s="507"/>
      <c r="AT4" s="561" t="s">
        <v>313</v>
      </c>
      <c r="AV4" s="1679" t="s">
        <v>314</v>
      </c>
      <c r="AW4" s="1680"/>
      <c r="AX4" s="1680"/>
      <c r="AY4" s="1680"/>
      <c r="AZ4" s="571"/>
    </row>
    <row r="5" spans="2:53" ht="30" customHeight="1" thickBot="1">
      <c r="B5" s="556" t="str">
        <f ca="1">'ETAT-PAY-VACT'!E10</f>
        <v>أجـــرة شهـــر جوان 2019</v>
      </c>
      <c r="C5" s="557"/>
      <c r="D5" s="557"/>
      <c r="E5" s="515"/>
      <c r="F5" s="516">
        <f>'ورقة العمل'!Y7</f>
        <v>75</v>
      </c>
      <c r="G5" s="507"/>
      <c r="H5" s="517" t="s">
        <v>107</v>
      </c>
      <c r="I5" s="562"/>
      <c r="K5" s="568" t="s">
        <v>315</v>
      </c>
      <c r="M5" s="1676" t="s">
        <v>561</v>
      </c>
      <c r="N5" s="1677"/>
      <c r="O5" s="1677"/>
      <c r="P5" s="1678"/>
      <c r="Q5" s="1106"/>
      <c r="R5" s="1106"/>
      <c r="S5" s="556" t="str">
        <f ca="1">B5</f>
        <v>أجـــرة شهـــر جوان 2019</v>
      </c>
      <c r="T5" s="557"/>
      <c r="U5" s="557"/>
      <c r="V5" s="515"/>
      <c r="W5" s="516">
        <f>'ورقة العمل'!Y10</f>
        <v>78</v>
      </c>
      <c r="X5" s="507"/>
      <c r="Y5" s="517" t="s">
        <v>107</v>
      </c>
      <c r="Z5" s="562"/>
      <c r="AB5" s="568" t="s">
        <v>315</v>
      </c>
      <c r="AD5" s="1676" t="s">
        <v>648</v>
      </c>
      <c r="AE5" s="1677"/>
      <c r="AF5" s="1677"/>
      <c r="AG5" s="1678"/>
      <c r="AH5" s="1106"/>
      <c r="AI5" s="1106"/>
      <c r="AJ5" s="556"/>
      <c r="AK5" s="557"/>
      <c r="AL5" s="557"/>
      <c r="AM5" s="515"/>
      <c r="AN5" s="515"/>
      <c r="AO5" s="516"/>
      <c r="AP5" s="507"/>
      <c r="AQ5" s="517" t="s">
        <v>107</v>
      </c>
      <c r="AR5" s="562"/>
      <c r="AT5" s="568" t="s">
        <v>315</v>
      </c>
      <c r="AV5" s="1676" t="s">
        <v>548</v>
      </c>
      <c r="AW5" s="1677"/>
      <c r="AX5" s="1677"/>
      <c r="AY5" s="1677"/>
      <c r="AZ5" s="571"/>
    </row>
    <row r="6" spans="2:53" ht="10.5" customHeight="1" thickBot="1">
      <c r="B6" s="503"/>
      <c r="C6" s="518"/>
      <c r="D6" s="503"/>
      <c r="E6" s="503"/>
      <c r="F6" s="503"/>
      <c r="G6" s="503"/>
      <c r="H6" s="503"/>
      <c r="I6" s="503"/>
      <c r="J6" s="567"/>
      <c r="K6" s="503"/>
      <c r="L6" s="569"/>
      <c r="M6" s="503"/>
      <c r="N6" s="503"/>
      <c r="O6" s="503"/>
      <c r="P6" s="504"/>
      <c r="Q6" s="504"/>
      <c r="R6" s="1108"/>
      <c r="S6" s="1115"/>
      <c r="T6" s="1114"/>
      <c r="U6" s="503"/>
      <c r="V6" s="503"/>
      <c r="W6" s="503"/>
      <c r="X6" s="503"/>
      <c r="Y6" s="503"/>
      <c r="Z6" s="503"/>
      <c r="AA6" s="567"/>
      <c r="AB6" s="503"/>
      <c r="AC6" s="569"/>
      <c r="AD6" s="503"/>
      <c r="AE6" s="503"/>
      <c r="AF6" s="503"/>
      <c r="AG6" s="504"/>
      <c r="AH6" s="1108"/>
      <c r="AI6" s="1108"/>
      <c r="AJ6" s="503"/>
      <c r="AK6" s="518"/>
      <c r="AL6" s="503"/>
      <c r="AM6" s="503"/>
      <c r="AN6" s="503"/>
      <c r="AO6" s="503"/>
      <c r="AP6" s="503"/>
      <c r="AQ6" s="503"/>
      <c r="AR6" s="503"/>
      <c r="AS6" s="567"/>
      <c r="AT6" s="503"/>
      <c r="AU6" s="569"/>
      <c r="AV6" s="503"/>
      <c r="AW6" s="503"/>
      <c r="AX6" s="503"/>
      <c r="AY6" s="504"/>
    </row>
    <row r="7" spans="2:53" ht="20.25" customHeight="1" thickBot="1">
      <c r="B7" s="1644" t="s">
        <v>7</v>
      </c>
      <c r="C7" s="1653" t="s">
        <v>316</v>
      </c>
      <c r="D7" s="1655" t="s">
        <v>317</v>
      </c>
      <c r="E7" s="1656"/>
      <c r="F7" s="1656"/>
      <c r="G7" s="1656"/>
      <c r="H7" s="1656"/>
      <c r="I7" s="1657" t="s">
        <v>318</v>
      </c>
      <c r="J7" s="1658"/>
      <c r="K7" s="1659"/>
      <c r="L7" s="1663" t="s">
        <v>319</v>
      </c>
      <c r="M7" s="1665" t="s">
        <v>320</v>
      </c>
      <c r="N7" s="1666"/>
      <c r="O7" s="1667"/>
      <c r="P7" s="1644" t="s">
        <v>19</v>
      </c>
      <c r="Q7" s="1107"/>
      <c r="R7" s="1107"/>
      <c r="S7" s="1644" t="s">
        <v>7</v>
      </c>
      <c r="T7" s="1659" t="s">
        <v>316</v>
      </c>
      <c r="U7" s="1655" t="s">
        <v>317</v>
      </c>
      <c r="V7" s="1656"/>
      <c r="W7" s="1656"/>
      <c r="X7" s="1656"/>
      <c r="Y7" s="1656"/>
      <c r="Z7" s="1657" t="s">
        <v>318</v>
      </c>
      <c r="AA7" s="1658"/>
      <c r="AB7" s="1659"/>
      <c r="AC7" s="1663" t="s">
        <v>319</v>
      </c>
      <c r="AD7" s="1665" t="s">
        <v>320</v>
      </c>
      <c r="AE7" s="1666"/>
      <c r="AF7" s="1667"/>
      <c r="AG7" s="1665" t="s">
        <v>19</v>
      </c>
      <c r="AH7" s="1111"/>
      <c r="AI7" s="1107"/>
      <c r="AJ7" s="1644" t="s">
        <v>7</v>
      </c>
      <c r="AK7" s="1653" t="s">
        <v>316</v>
      </c>
      <c r="AL7" s="1655" t="s">
        <v>317</v>
      </c>
      <c r="AM7" s="1656"/>
      <c r="AN7" s="1656"/>
      <c r="AO7" s="1656"/>
      <c r="AP7" s="1656"/>
      <c r="AQ7" s="1656"/>
      <c r="AR7" s="1657" t="s">
        <v>318</v>
      </c>
      <c r="AS7" s="1658"/>
      <c r="AT7" s="1659"/>
      <c r="AU7" s="1663" t="s">
        <v>319</v>
      </c>
      <c r="AV7" s="1665" t="s">
        <v>320</v>
      </c>
      <c r="AW7" s="1666"/>
      <c r="AX7" s="1667"/>
      <c r="AY7" s="1644" t="s">
        <v>19</v>
      </c>
    </row>
    <row r="8" spans="2:53" ht="20.25" customHeight="1" thickBot="1">
      <c r="B8" s="1645"/>
      <c r="C8" s="1654"/>
      <c r="D8" s="1075" t="s">
        <v>26</v>
      </c>
      <c r="E8" s="1075" t="s">
        <v>321</v>
      </c>
      <c r="F8" s="519" t="s">
        <v>323</v>
      </c>
      <c r="G8" s="520" t="s">
        <v>24</v>
      </c>
      <c r="H8" s="521"/>
      <c r="I8" s="1660"/>
      <c r="J8" s="1661"/>
      <c r="K8" s="1662"/>
      <c r="L8" s="1664"/>
      <c r="M8" s="1668"/>
      <c r="N8" s="1669"/>
      <c r="O8" s="1670"/>
      <c r="P8" s="1645"/>
      <c r="Q8" s="1107"/>
      <c r="R8" s="1107"/>
      <c r="S8" s="1645"/>
      <c r="T8" s="1662"/>
      <c r="U8" s="1075" t="s">
        <v>26</v>
      </c>
      <c r="V8" s="1075" t="s">
        <v>321</v>
      </c>
      <c r="W8" s="519" t="s">
        <v>323</v>
      </c>
      <c r="X8" s="520" t="s">
        <v>24</v>
      </c>
      <c r="Y8" s="521"/>
      <c r="Z8" s="1660"/>
      <c r="AA8" s="1661"/>
      <c r="AB8" s="1662"/>
      <c r="AC8" s="1664"/>
      <c r="AD8" s="1668"/>
      <c r="AE8" s="1669"/>
      <c r="AF8" s="1670"/>
      <c r="AG8" s="1668"/>
      <c r="AH8" s="1111"/>
      <c r="AI8" s="1107"/>
      <c r="AJ8" s="1645"/>
      <c r="AK8" s="1654"/>
      <c r="AL8" s="1075" t="s">
        <v>26</v>
      </c>
      <c r="AM8" s="1075" t="s">
        <v>321</v>
      </c>
      <c r="AN8" s="519" t="s">
        <v>322</v>
      </c>
      <c r="AO8" s="519" t="s">
        <v>323</v>
      </c>
      <c r="AP8" s="520" t="s">
        <v>24</v>
      </c>
      <c r="AQ8" s="521"/>
      <c r="AR8" s="1660"/>
      <c r="AS8" s="1661"/>
      <c r="AT8" s="1662"/>
      <c r="AU8" s="1664"/>
      <c r="AV8" s="1668"/>
      <c r="AW8" s="1669"/>
      <c r="AX8" s="1670"/>
      <c r="AY8" s="1645"/>
    </row>
    <row r="9" spans="2:53" s="1098" customFormat="1" ht="98.25" customHeight="1" thickBot="1">
      <c r="B9" s="1126">
        <f>LOOKUP(P9,'ETAT-PAY-VACT'!AH:AH,'ETAT-PAY-VACT'!N:N)</f>
        <v>34568.14</v>
      </c>
      <c r="C9" s="1126">
        <f>LOOKUP(P9,'ETAT-PAY-VACT'!AH:AH,'ETAT-PAY-VACT'!I:I)</f>
        <v>5000</v>
      </c>
      <c r="D9" s="1127">
        <f>LOOKUP(P9,'ETAT-PAY-VACT'!AH:AH,'ETAT-PAY-VACT'!J:J)</f>
        <v>1830.73</v>
      </c>
      <c r="E9" s="1127">
        <f>LOOKUP(P9,'ETAT-PAY-VACT'!AH:AH,'ETAT-PAY-VACT'!L:L)</f>
        <v>1239</v>
      </c>
      <c r="F9" s="1129">
        <f>LOOKUP(P9,'ETAT-PAY-VACT'!AH:AH,'ETAT-PAY-VACT'!M:M)</f>
        <v>506.52</v>
      </c>
      <c r="G9" s="1646">
        <f>LOOKUP(P9,'ETAT-PAY-VACT'!AH:AH,'ETAT-PAY-VACT'!K:K)</f>
        <v>3039.13</v>
      </c>
      <c r="H9" s="1647"/>
      <c r="I9" s="1646">
        <f>LOOKUP(P9,'ETAT-PAY-VACT'!AH:AH,'ETAT-PAY-VACT'!H:H)</f>
        <v>22952.76</v>
      </c>
      <c r="J9" s="1648"/>
      <c r="K9" s="1649"/>
      <c r="L9" s="1130">
        <f>LOOKUP(P9,'ETAT-PAY-VACT'!AH:AH,'ETAT-PAY-VACT'!D:D)</f>
        <v>253532</v>
      </c>
      <c r="M9" s="1650" t="str">
        <f>LOOKUP(P9,'ETAT-PAY-VACT'!AH:AH,'ETAT-PAY-VACT'!C:C)</f>
        <v>علي علي</v>
      </c>
      <c r="N9" s="1651"/>
      <c r="O9" s="1652"/>
      <c r="P9" s="1118">
        <v>1</v>
      </c>
      <c r="Q9" s="1109"/>
      <c r="R9" s="1109"/>
      <c r="S9" s="1126">
        <f>LOOKUP(AG9,'ETAT-PAY-VACT (2)'!AI:AI,'ETAT-PAY-VACT (2)'!N:N)</f>
        <v>16217.86</v>
      </c>
      <c r="T9" s="1126">
        <f>LOOKUP(AG9,'ETAT-PAY-VACT (2)'!AI:AI,'ETAT-PAY-VACT (2)'!I:I)</f>
        <v>0</v>
      </c>
      <c r="U9" s="1127">
        <f>LOOKUP(AG9,'ETAT-PAY-VACT (2)'!AI:AI,'ETAT-PAY-VACT (2)'!J:J)</f>
        <v>481.57</v>
      </c>
      <c r="V9" s="1127">
        <f>LOOKUP(AG9,'ETAT-PAY-VACT (2)'!AI:AI,'ETAT-PAY-VACT (2)'!L:L)</f>
        <v>0</v>
      </c>
      <c r="W9" s="1129">
        <f>LOOKUP(AG9,'ETAT-PAY-VACT (2)'!AI:AI,'ETAT-PAY-VACT (2)'!M:M)</f>
        <v>0</v>
      </c>
      <c r="X9" s="1646">
        <f>LOOKUP(AG9,'ETAT-PAY-VACT (2)'!AI:AI,'ETAT-PAY-VACT (2)'!K:K)</f>
        <v>1459.61</v>
      </c>
      <c r="Y9" s="1647"/>
      <c r="Z9" s="1646">
        <f>LOOKUP(AG9,'ETAT-PAY-VACT (2)'!AI:AI,'ETAT-PAY-VACT (2)'!H:H)</f>
        <v>14276.68</v>
      </c>
      <c r="AA9" s="1648"/>
      <c r="AB9" s="1649"/>
      <c r="AC9" s="1130">
        <f>LOOKUP(AG9,'ETAT-PAY-VACT (2)'!AI:AI,'ETAT-PAY-VACT (2)'!D:D)</f>
        <v>768766876</v>
      </c>
      <c r="AD9" s="1650" t="str">
        <f>LOOKUP(AG9,'ETAT-PAY-VACT (2)'!AI:AI,'ETAT-PAY-VACT (2)'!C:C)</f>
        <v>زنتؤءىلاورؤةىلازوةءؤرىلا</v>
      </c>
      <c r="AE9" s="1651"/>
      <c r="AF9" s="1652"/>
      <c r="AG9" s="1118">
        <v>1</v>
      </c>
      <c r="AH9" s="1109"/>
      <c r="AI9" s="1109"/>
      <c r="AJ9" s="1126"/>
      <c r="AK9" s="1126"/>
      <c r="AL9" s="1127"/>
      <c r="AM9" s="1127"/>
      <c r="AN9" s="1128"/>
      <c r="AO9" s="1129"/>
      <c r="AP9" s="1646"/>
      <c r="AQ9" s="1647"/>
      <c r="AR9" s="1646"/>
      <c r="AS9" s="1648"/>
      <c r="AT9" s="1649"/>
      <c r="AU9" s="1130"/>
      <c r="AV9" s="1650"/>
      <c r="AW9" s="1651"/>
      <c r="AX9" s="1652"/>
      <c r="AY9" s="1118">
        <v>1</v>
      </c>
    </row>
    <row r="10" spans="2:53" s="1103" customFormat="1" ht="21.75" customHeight="1">
      <c r="B10" s="1099"/>
      <c r="C10" s="1100"/>
      <c r="D10" s="1099"/>
      <c r="E10" s="1099"/>
      <c r="F10" s="1101"/>
      <c r="G10" s="1099"/>
      <c r="H10" s="1099"/>
      <c r="I10" s="1099"/>
      <c r="J10" s="1102"/>
      <c r="K10" s="1102"/>
      <c r="L10" s="558"/>
      <c r="M10" s="559"/>
      <c r="N10" s="559"/>
      <c r="O10" s="559"/>
      <c r="P10" s="560"/>
      <c r="Q10" s="1104"/>
      <c r="R10" s="1104"/>
      <c r="S10" s="1099"/>
      <c r="T10" s="1100"/>
      <c r="U10" s="1099"/>
      <c r="V10" s="1099"/>
      <c r="W10" s="1101"/>
      <c r="X10" s="1099"/>
      <c r="Y10" s="1099"/>
      <c r="Z10" s="1099"/>
      <c r="AA10" s="1102"/>
      <c r="AB10" s="1102"/>
      <c r="AC10" s="558"/>
      <c r="AD10" s="559"/>
      <c r="AE10" s="559"/>
      <c r="AF10" s="559"/>
      <c r="AG10" s="560"/>
      <c r="AH10" s="1104"/>
      <c r="AI10" s="1104"/>
      <c r="AJ10" s="1099"/>
      <c r="AK10" s="1100"/>
      <c r="AL10" s="1099"/>
      <c r="AM10" s="1099"/>
      <c r="AN10" s="1099"/>
      <c r="AO10" s="1101"/>
      <c r="AP10" s="1099"/>
      <c r="AQ10" s="1099"/>
      <c r="AR10" s="1099"/>
      <c r="AS10" s="1102"/>
      <c r="AT10" s="1102"/>
      <c r="AU10" s="558"/>
      <c r="AV10" s="559"/>
      <c r="AW10" s="559"/>
      <c r="AX10" s="559"/>
      <c r="AY10" s="560"/>
    </row>
    <row r="11" spans="2:53" ht="42.75" customHeight="1">
      <c r="B11" s="1671" t="s">
        <v>306</v>
      </c>
      <c r="C11" s="1672"/>
      <c r="D11" s="1671"/>
      <c r="E11" s="1671"/>
      <c r="F11" s="1671"/>
      <c r="G11" s="1671"/>
      <c r="H11" s="1671"/>
      <c r="I11" s="1671"/>
      <c r="J11" s="1671"/>
      <c r="K11" s="1671"/>
      <c r="L11" s="1671"/>
      <c r="M11" s="1671"/>
      <c r="N11" s="1671"/>
      <c r="O11" s="1671"/>
      <c r="P11" s="1671"/>
      <c r="Q11" s="1076"/>
      <c r="R11" s="1076"/>
      <c r="S11" s="1671" t="s">
        <v>306</v>
      </c>
      <c r="T11" s="1672"/>
      <c r="U11" s="1671"/>
      <c r="V11" s="1671"/>
      <c r="W11" s="1671"/>
      <c r="X11" s="1671"/>
      <c r="Y11" s="1671"/>
      <c r="Z11" s="1671"/>
      <c r="AA11" s="1671"/>
      <c r="AB11" s="1671"/>
      <c r="AC11" s="1671"/>
      <c r="AD11" s="1671"/>
      <c r="AE11" s="1671"/>
      <c r="AF11" s="1671"/>
      <c r="AG11" s="1671"/>
      <c r="AH11" s="1076"/>
      <c r="AI11" s="1076"/>
      <c r="AJ11" s="1149"/>
      <c r="AK11" s="1149"/>
      <c r="AL11" s="1149"/>
      <c r="AM11" s="1149"/>
      <c r="AN11" s="1149"/>
      <c r="AO11" s="1149"/>
      <c r="AP11" s="1149"/>
      <c r="AQ11" s="1149"/>
      <c r="AR11" s="1149"/>
      <c r="AS11" s="1149"/>
      <c r="AT11" s="1149"/>
      <c r="AU11" s="1149"/>
      <c r="AV11" s="1149"/>
      <c r="AW11" s="1149"/>
      <c r="AX11" s="1149"/>
      <c r="AY11" s="1149"/>
      <c r="AZ11" s="3"/>
      <c r="BA11" s="3"/>
    </row>
    <row r="12" spans="2:53" ht="30" customHeight="1" thickBot="1">
      <c r="B12" s="505" t="s">
        <v>307</v>
      </c>
      <c r="C12" s="506"/>
      <c r="D12" s="507"/>
      <c r="E12" s="508"/>
      <c r="F12" s="509" t="s">
        <v>308</v>
      </c>
      <c r="G12" s="506"/>
      <c r="H12" s="510"/>
      <c r="I12" s="507"/>
      <c r="J12" s="564"/>
      <c r="K12" s="565"/>
      <c r="L12" s="507"/>
      <c r="M12" s="511"/>
      <c r="P12" s="504"/>
      <c r="Q12" s="504"/>
      <c r="R12" s="1108"/>
      <c r="S12" s="505" t="s">
        <v>307</v>
      </c>
      <c r="T12" s="506"/>
      <c r="U12" s="507"/>
      <c r="V12" s="508"/>
      <c r="W12" s="509" t="s">
        <v>308</v>
      </c>
      <c r="X12" s="506"/>
      <c r="Y12" s="510"/>
      <c r="Z12" s="507"/>
      <c r="AA12" s="564"/>
      <c r="AB12" s="565"/>
      <c r="AC12" s="507"/>
      <c r="AD12" s="511"/>
      <c r="AG12" s="504"/>
      <c r="AH12" s="1108"/>
      <c r="AI12" s="1108"/>
      <c r="AJ12" s="1131"/>
      <c r="AK12" s="1105"/>
      <c r="AL12" s="1132"/>
      <c r="AM12" s="1133"/>
      <c r="AN12" s="1133"/>
      <c r="AO12" s="1134"/>
      <c r="AP12" s="1105"/>
      <c r="AQ12" s="1135"/>
      <c r="AR12" s="1132"/>
      <c r="AS12" s="1136"/>
      <c r="AT12" s="1132"/>
      <c r="AU12" s="1132"/>
      <c r="AV12" s="1105"/>
      <c r="AW12" s="3"/>
      <c r="AX12" s="3"/>
      <c r="AY12" s="1108"/>
      <c r="AZ12" s="3"/>
      <c r="BA12" s="3"/>
    </row>
    <row r="13" spans="2:53" ht="29.25" customHeight="1" thickBot="1">
      <c r="B13" s="505" t="s">
        <v>773</v>
      </c>
      <c r="C13" s="511"/>
      <c r="D13" s="507"/>
      <c r="E13" s="508"/>
      <c r="F13" s="511" t="s">
        <v>309</v>
      </c>
      <c r="G13" s="511"/>
      <c r="H13" s="510"/>
      <c r="I13" s="566"/>
      <c r="K13" s="561" t="s">
        <v>310</v>
      </c>
      <c r="L13" s="563"/>
      <c r="M13" s="570"/>
      <c r="P13" s="504"/>
      <c r="Q13" s="504"/>
      <c r="R13" s="1108"/>
      <c r="S13" s="505" t="s">
        <v>773</v>
      </c>
      <c r="T13" s="511"/>
      <c r="U13" s="507"/>
      <c r="V13" s="508"/>
      <c r="W13" s="511" t="s">
        <v>309</v>
      </c>
      <c r="X13" s="511"/>
      <c r="Y13" s="510"/>
      <c r="Z13" s="566"/>
      <c r="AB13" s="561" t="s">
        <v>310</v>
      </c>
      <c r="AC13" s="563"/>
      <c r="AD13" s="570"/>
      <c r="AG13" s="504"/>
      <c r="AH13" s="1108"/>
      <c r="AI13" s="1108"/>
      <c r="AJ13" s="1131"/>
      <c r="AK13" s="1105"/>
      <c r="AL13" s="1132"/>
      <c r="AM13" s="1133"/>
      <c r="AN13" s="1133"/>
      <c r="AO13" s="1105"/>
      <c r="AP13" s="1105"/>
      <c r="AQ13" s="1135"/>
      <c r="AR13" s="1132"/>
      <c r="AS13" s="3"/>
      <c r="AT13" s="1150"/>
      <c r="AU13" s="1132"/>
      <c r="AV13" s="1132"/>
      <c r="AW13" s="3"/>
      <c r="AX13" s="3"/>
      <c r="AY13" s="1108"/>
      <c r="AZ13" s="3"/>
      <c r="BA13" s="3"/>
    </row>
    <row r="14" spans="2:53" ht="32.25" customHeight="1" thickBot="1">
      <c r="B14" s="507"/>
      <c r="C14" s="507"/>
      <c r="D14" s="507"/>
      <c r="E14" s="512" t="s">
        <v>311</v>
      </c>
      <c r="F14" s="513" t="s">
        <v>247</v>
      </c>
      <c r="G14" s="507"/>
      <c r="H14" s="514" t="s">
        <v>312</v>
      </c>
      <c r="I14" s="507"/>
      <c r="K14" s="561" t="s">
        <v>313</v>
      </c>
      <c r="M14" s="1679" t="s">
        <v>314</v>
      </c>
      <c r="N14" s="1680"/>
      <c r="O14" s="1680"/>
      <c r="P14" s="1681"/>
      <c r="Q14" s="1105"/>
      <c r="R14" s="1105"/>
      <c r="S14" s="507"/>
      <c r="T14" s="507"/>
      <c r="U14" s="507"/>
      <c r="V14" s="512" t="s">
        <v>311</v>
      </c>
      <c r="W14" s="513" t="s">
        <v>247</v>
      </c>
      <c r="X14" s="507"/>
      <c r="Y14" s="514" t="s">
        <v>312</v>
      </c>
      <c r="Z14" s="507"/>
      <c r="AB14" s="561" t="s">
        <v>313</v>
      </c>
      <c r="AD14" s="1679" t="s">
        <v>314</v>
      </c>
      <c r="AE14" s="1680"/>
      <c r="AF14" s="1680"/>
      <c r="AG14" s="1680"/>
      <c r="AH14" s="1113"/>
      <c r="AI14" s="1105"/>
      <c r="AJ14" s="1132"/>
      <c r="AK14" s="1132"/>
      <c r="AL14" s="1132"/>
      <c r="AM14" s="3"/>
      <c r="AN14" s="1105"/>
      <c r="AO14" s="1105"/>
      <c r="AP14" s="1132"/>
      <c r="AQ14" s="1105"/>
      <c r="AR14" s="1132"/>
      <c r="AS14" s="3"/>
      <c r="AT14" s="1150"/>
      <c r="AU14" s="3"/>
      <c r="AV14" s="1137"/>
      <c r="AW14" s="1137"/>
      <c r="AX14" s="1137"/>
      <c r="AY14" s="1137"/>
      <c r="AZ14" s="3"/>
      <c r="BA14" s="3"/>
    </row>
    <row r="15" spans="2:53" ht="30" customHeight="1" thickBot="1">
      <c r="B15" s="556" t="str">
        <f ca="1">B5</f>
        <v>أجـــرة شهـــر جوان 2019</v>
      </c>
      <c r="C15" s="557"/>
      <c r="D15" s="557"/>
      <c r="E15" s="515"/>
      <c r="F15" s="516">
        <f>F5</f>
        <v>75</v>
      </c>
      <c r="G15" s="507"/>
      <c r="H15" s="517" t="s">
        <v>107</v>
      </c>
      <c r="I15" s="562"/>
      <c r="K15" s="568" t="s">
        <v>315</v>
      </c>
      <c r="M15" s="1676" t="s">
        <v>561</v>
      </c>
      <c r="N15" s="1677"/>
      <c r="O15" s="1677"/>
      <c r="P15" s="1678"/>
      <c r="Q15" s="1112"/>
      <c r="R15" s="1110"/>
      <c r="S15" s="557" t="str">
        <f ca="1">S5</f>
        <v>أجـــرة شهـــر جوان 2019</v>
      </c>
      <c r="T15" s="557"/>
      <c r="U15" s="557"/>
      <c r="V15" s="515"/>
      <c r="W15" s="516">
        <f>'ورقة العمل'!Y11</f>
        <v>79</v>
      </c>
      <c r="X15" s="507"/>
      <c r="Y15" s="517" t="s">
        <v>107</v>
      </c>
      <c r="Z15" s="562"/>
      <c r="AB15" s="568" t="s">
        <v>315</v>
      </c>
      <c r="AD15" s="1676" t="s">
        <v>561</v>
      </c>
      <c r="AE15" s="1677"/>
      <c r="AF15" s="1677"/>
      <c r="AG15" s="1678"/>
      <c r="AH15" s="1112"/>
      <c r="AI15" s="1106"/>
      <c r="AJ15" s="1137"/>
      <c r="AK15" s="1137"/>
      <c r="AL15" s="1137"/>
      <c r="AM15" s="1132"/>
      <c r="AN15" s="1132"/>
      <c r="AO15" s="1138"/>
      <c r="AP15" s="1132"/>
      <c r="AQ15" s="1134"/>
      <c r="AR15" s="1132"/>
      <c r="AS15" s="3"/>
      <c r="AT15" s="1150"/>
      <c r="AU15" s="3"/>
      <c r="AV15" s="1151"/>
      <c r="AW15" s="1151"/>
      <c r="AX15" s="1151"/>
      <c r="AY15" s="1151"/>
      <c r="AZ15" s="3"/>
      <c r="BA15" s="3"/>
    </row>
    <row r="16" spans="2:53" ht="10.5" customHeight="1" thickBot="1">
      <c r="B16" s="503"/>
      <c r="C16" s="518"/>
      <c r="D16" s="503"/>
      <c r="E16" s="503"/>
      <c r="F16" s="503"/>
      <c r="G16" s="503"/>
      <c r="H16" s="503"/>
      <c r="I16" s="503"/>
      <c r="J16" s="567"/>
      <c r="K16" s="503"/>
      <c r="L16" s="569"/>
      <c r="M16" s="503"/>
      <c r="N16" s="503"/>
      <c r="O16" s="503"/>
      <c r="P16" s="504"/>
      <c r="Q16" s="504"/>
      <c r="R16" s="1108"/>
      <c r="S16" s="503"/>
      <c r="T16" s="518"/>
      <c r="U16" s="503"/>
      <c r="V16" s="503"/>
      <c r="W16" s="503"/>
      <c r="X16" s="503"/>
      <c r="Y16" s="503"/>
      <c r="Z16" s="503"/>
      <c r="AA16" s="567"/>
      <c r="AB16" s="503"/>
      <c r="AC16" s="569"/>
      <c r="AD16" s="503"/>
      <c r="AE16" s="503"/>
      <c r="AF16" s="503"/>
      <c r="AG16" s="504"/>
      <c r="AH16" s="1108"/>
      <c r="AI16" s="1108"/>
      <c r="AJ16" s="1139"/>
      <c r="AK16" s="1140"/>
      <c r="AL16" s="1139"/>
      <c r="AM16" s="1139"/>
      <c r="AN16" s="1139"/>
      <c r="AO16" s="1139"/>
      <c r="AP16" s="1139"/>
      <c r="AQ16" s="1139"/>
      <c r="AR16" s="1139"/>
      <c r="AS16" s="1141"/>
      <c r="AT16" s="1139"/>
      <c r="AU16" s="1142"/>
      <c r="AV16" s="1139"/>
      <c r="AW16" s="1139"/>
      <c r="AX16" s="1139"/>
      <c r="AY16" s="1108"/>
      <c r="AZ16" s="3"/>
      <c r="BA16" s="3"/>
    </row>
    <row r="17" spans="2:53" ht="20.25" customHeight="1" thickBot="1">
      <c r="B17" s="1644" t="s">
        <v>7</v>
      </c>
      <c r="C17" s="1653" t="s">
        <v>316</v>
      </c>
      <c r="D17" s="1655" t="s">
        <v>317</v>
      </c>
      <c r="E17" s="1656"/>
      <c r="F17" s="1656"/>
      <c r="G17" s="1656"/>
      <c r="H17" s="1656"/>
      <c r="I17" s="1657" t="s">
        <v>318</v>
      </c>
      <c r="J17" s="1658"/>
      <c r="K17" s="1659"/>
      <c r="L17" s="1663" t="s">
        <v>319</v>
      </c>
      <c r="M17" s="1665" t="s">
        <v>320</v>
      </c>
      <c r="N17" s="1666"/>
      <c r="O17" s="1667"/>
      <c r="P17" s="1644" t="s">
        <v>19</v>
      </c>
      <c r="Q17" s="1107"/>
      <c r="R17" s="1107"/>
      <c r="S17" s="1644" t="s">
        <v>7</v>
      </c>
      <c r="T17" s="1653" t="s">
        <v>316</v>
      </c>
      <c r="U17" s="1655" t="s">
        <v>317</v>
      </c>
      <c r="V17" s="1656"/>
      <c r="W17" s="1656"/>
      <c r="X17" s="1656"/>
      <c r="Y17" s="1656"/>
      <c r="Z17" s="1657" t="s">
        <v>318</v>
      </c>
      <c r="AA17" s="1658"/>
      <c r="AB17" s="1659"/>
      <c r="AC17" s="1663" t="s">
        <v>319</v>
      </c>
      <c r="AD17" s="1665" t="s">
        <v>320</v>
      </c>
      <c r="AE17" s="1666"/>
      <c r="AF17" s="1667"/>
      <c r="AG17" s="1665" t="s">
        <v>19</v>
      </c>
      <c r="AH17" s="1111"/>
      <c r="AI17" s="1107"/>
      <c r="AJ17" s="1152"/>
      <c r="AK17" s="1153"/>
      <c r="AL17" s="1152"/>
      <c r="AM17" s="1152"/>
      <c r="AN17" s="1152"/>
      <c r="AO17" s="1152"/>
      <c r="AP17" s="1152"/>
      <c r="AQ17" s="1152"/>
      <c r="AR17" s="1153"/>
      <c r="AS17" s="1153"/>
      <c r="AT17" s="1153"/>
      <c r="AU17" s="1154"/>
      <c r="AV17" s="1152"/>
      <c r="AW17" s="1152"/>
      <c r="AX17" s="1152"/>
      <c r="AY17" s="1152"/>
      <c r="AZ17" s="3"/>
      <c r="BA17" s="3"/>
    </row>
    <row r="18" spans="2:53" ht="20.25" customHeight="1" thickBot="1">
      <c r="B18" s="1645"/>
      <c r="C18" s="1654"/>
      <c r="D18" s="1075" t="s">
        <v>26</v>
      </c>
      <c r="E18" s="1075" t="s">
        <v>321</v>
      </c>
      <c r="F18" s="519" t="s">
        <v>323</v>
      </c>
      <c r="G18" s="520" t="s">
        <v>24</v>
      </c>
      <c r="H18" s="521"/>
      <c r="I18" s="1660"/>
      <c r="J18" s="1661"/>
      <c r="K18" s="1662"/>
      <c r="L18" s="1664"/>
      <c r="M18" s="1668"/>
      <c r="N18" s="1669"/>
      <c r="O18" s="1670"/>
      <c r="P18" s="1645"/>
      <c r="Q18" s="1107"/>
      <c r="R18" s="1107"/>
      <c r="S18" s="1645"/>
      <c r="T18" s="1654"/>
      <c r="U18" s="1075" t="s">
        <v>26</v>
      </c>
      <c r="V18" s="1075" t="s">
        <v>321</v>
      </c>
      <c r="W18" s="519" t="s">
        <v>323</v>
      </c>
      <c r="X18" s="520" t="s">
        <v>24</v>
      </c>
      <c r="Y18" s="521"/>
      <c r="Z18" s="1660"/>
      <c r="AA18" s="1661"/>
      <c r="AB18" s="1662"/>
      <c r="AC18" s="1664"/>
      <c r="AD18" s="1668"/>
      <c r="AE18" s="1669"/>
      <c r="AF18" s="1670"/>
      <c r="AG18" s="1668"/>
      <c r="AH18" s="1111"/>
      <c r="AI18" s="1107"/>
      <c r="AJ18" s="1152"/>
      <c r="AK18" s="1153"/>
      <c r="AL18" s="1107"/>
      <c r="AM18" s="1107"/>
      <c r="AN18" s="1107"/>
      <c r="AO18" s="1107"/>
      <c r="AP18" s="1155"/>
      <c r="AQ18" s="1107"/>
      <c r="AR18" s="1153"/>
      <c r="AS18" s="1153"/>
      <c r="AT18" s="1153"/>
      <c r="AU18" s="1154"/>
      <c r="AV18" s="1152"/>
      <c r="AW18" s="1152"/>
      <c r="AX18" s="1152"/>
      <c r="AY18" s="1152"/>
      <c r="AZ18" s="3"/>
      <c r="BA18" s="3"/>
    </row>
    <row r="19" spans="2:53" s="1098" customFormat="1" ht="98.25" customHeight="1" thickBot="1">
      <c r="B19" s="1126">
        <f>LOOKUP(P19,'ETAT-PAY-VACT'!AH:AH,'ETAT-PAY-VACT'!N:N)</f>
        <v>27370</v>
      </c>
      <c r="C19" s="1126">
        <f>LOOKUP(P19,'ETAT-PAY-VACT'!AH:AH,'ETAT-PAY-VACT'!I:I)</f>
        <v>5000</v>
      </c>
      <c r="D19" s="1127">
        <f>LOOKUP(P19,'ETAT-PAY-VACT'!AH:AH,'ETAT-PAY-VACT'!J:J)</f>
        <v>0</v>
      </c>
      <c r="E19" s="1127">
        <f>LOOKUP(P19,'ETAT-PAY-VACT'!AH:AH,'ETAT-PAY-VACT'!L:L)</f>
        <v>807.6</v>
      </c>
      <c r="F19" s="1129">
        <f>LOOKUP(P19,'ETAT-PAY-VACT'!AH:AH,'ETAT-PAY-VACT'!M:M)</f>
        <v>0</v>
      </c>
      <c r="G19" s="1646">
        <f>LOOKUP(P19,'ETAT-PAY-VACT'!AH:AH,'ETAT-PAY-VACT'!K:K)</f>
        <v>2391.3000000000002</v>
      </c>
      <c r="H19" s="1647"/>
      <c r="I19" s="1646">
        <f>LOOKUP(P19,'ETAT-PAY-VACT'!AH:AH,'ETAT-PAY-VACT'!H:H)</f>
        <v>19171.099999999999</v>
      </c>
      <c r="J19" s="1648"/>
      <c r="K19" s="1649"/>
      <c r="L19" s="1130">
        <f>LOOKUP(P19,'ETAT-PAY-VACT'!AH:AH,'ETAT-PAY-VACT'!D:D)</f>
        <v>54454</v>
      </c>
      <c r="M19" s="1650" t="str">
        <f>LOOKUP(P19,'ETAT-PAY-VACT'!AH:AH,'ETAT-PAY-VACT'!C:C)</f>
        <v>الوافي بن الوافي</v>
      </c>
      <c r="N19" s="1651"/>
      <c r="O19" s="1652"/>
      <c r="P19" s="1118">
        <f>P9+1</f>
        <v>2</v>
      </c>
      <c r="Q19" s="1109"/>
      <c r="R19" s="1109"/>
      <c r="S19" s="1126">
        <f>LOOKUP(AG19,'ETAT-PAY-VACT (2)'!AH:AH,'ETAT-PAY-VACT (2)'!N:N)</f>
        <v>15906.61</v>
      </c>
      <c r="T19" s="1126">
        <f>LOOKUP(AG19,'ETAT-PAY-VACT (2)'!AH:AH,'ETAT-PAY-VACT (2)'!I:I)</f>
        <v>5000</v>
      </c>
      <c r="U19" s="1127">
        <f>LOOKUP(AG19,'ETAT-PAY-VACT (2)'!AH:AH,'ETAT-PAY-VACT (2)'!J:J)</f>
        <v>965</v>
      </c>
      <c r="V19" s="1127">
        <f>LOOKUP(AG19,'ETAT-PAY-VACT (2)'!AH:AH,'ETAT-PAY-VACT (2)'!L:L)</f>
        <v>0</v>
      </c>
      <c r="W19" s="1129">
        <f>LOOKUP(AG19,'ETAT-PAY-VACT (2)'!AH:AH,'ETAT-PAY-VACT (2)'!M:M)</f>
        <v>0</v>
      </c>
      <c r="X19" s="1646">
        <f>LOOKUP(AG19,'ETAT-PAY-VACT (2)'!AH:AH,'ETAT-PAY-VACT (2)'!K:K)</f>
        <v>1431.59</v>
      </c>
      <c r="Y19" s="1647"/>
      <c r="Z19" s="1646">
        <f>LOOKUP(AG19,'ETAT-PAY-VACT (2)'!AH:AH,'ETAT-PAY-VACT (2)'!H:H)</f>
        <v>8510.02</v>
      </c>
      <c r="AA19" s="1742"/>
      <c r="AB19" s="1647"/>
      <c r="AC19" s="1130">
        <f>LOOKUP(AG19,'ETAT-PAY-VACT (2)'!AH:AH,'ETAT-PAY-VACT (2)'!D:D)</f>
        <v>5777888888</v>
      </c>
      <c r="AD19" s="1650" t="str">
        <f>LOOKUP(AG19,'ETAT-PAY-VACT (2)'!AH:AH,'ETAT-PAY-VACT (2)'!C:C)</f>
        <v>نتيمسلابىلاكؤرمتنىلا</v>
      </c>
      <c r="AE19" s="1743"/>
      <c r="AF19" s="1744"/>
      <c r="AG19" s="1118">
        <v>1</v>
      </c>
      <c r="AH19" s="1109"/>
      <c r="AI19" s="1109"/>
      <c r="AJ19" s="1143"/>
      <c r="AK19" s="1143"/>
      <c r="AL19" s="1143"/>
      <c r="AM19" s="1143"/>
      <c r="AN19" s="1143"/>
      <c r="AO19" s="1144"/>
      <c r="AP19" s="1156"/>
      <c r="AQ19" s="1156"/>
      <c r="AR19" s="1156"/>
      <c r="AS19" s="1157"/>
      <c r="AT19" s="1157"/>
      <c r="AU19" s="1145"/>
      <c r="AV19" s="1158"/>
      <c r="AW19" s="1159"/>
      <c r="AX19" s="1159"/>
      <c r="AY19" s="1146"/>
      <c r="AZ19" s="1147"/>
      <c r="BA19" s="1147"/>
    </row>
    <row r="20" spans="2:53" s="1103" customFormat="1" ht="13.5" customHeight="1">
      <c r="B20" s="1099"/>
      <c r="C20" s="1099"/>
      <c r="D20" s="1099"/>
      <c r="E20" s="1099"/>
      <c r="F20" s="1101"/>
      <c r="G20" s="1099"/>
      <c r="H20" s="1099"/>
      <c r="I20" s="1099"/>
      <c r="J20" s="1102"/>
      <c r="K20" s="1102"/>
      <c r="L20" s="558"/>
      <c r="M20" s="559"/>
      <c r="N20" s="559"/>
      <c r="O20" s="559"/>
      <c r="P20" s="560"/>
      <c r="Q20" s="1104"/>
      <c r="R20" s="1104"/>
      <c r="S20" s="1099"/>
      <c r="T20" s="1099"/>
      <c r="U20" s="1099"/>
      <c r="V20" s="1099"/>
      <c r="W20" s="1101"/>
      <c r="X20" s="1099"/>
      <c r="Y20" s="1099"/>
      <c r="Z20" s="1099"/>
      <c r="AA20" s="1102"/>
      <c r="AB20" s="1102"/>
      <c r="AC20" s="558"/>
      <c r="AD20" s="559"/>
      <c r="AE20" s="559"/>
      <c r="AF20" s="559"/>
      <c r="AG20" s="560"/>
      <c r="AH20" s="1104"/>
      <c r="AI20" s="1104"/>
      <c r="AJ20" s="1099"/>
      <c r="AK20" s="1099"/>
      <c r="AL20" s="1099"/>
      <c r="AM20" s="1099"/>
      <c r="AN20" s="1099"/>
      <c r="AO20" s="1101"/>
      <c r="AP20" s="1099"/>
      <c r="AQ20" s="1099"/>
      <c r="AR20" s="1099"/>
      <c r="AS20" s="1102"/>
      <c r="AT20" s="1102"/>
      <c r="AU20" s="558"/>
      <c r="AV20" s="559"/>
      <c r="AW20" s="559"/>
      <c r="AX20" s="559"/>
      <c r="AY20" s="1104"/>
      <c r="AZ20" s="1148"/>
      <c r="BA20" s="1148"/>
    </row>
    <row r="21" spans="2:53" ht="42.75" customHeight="1">
      <c r="B21" s="1671" t="s">
        <v>306</v>
      </c>
      <c r="C21" s="1672"/>
      <c r="D21" s="1671"/>
      <c r="E21" s="1671"/>
      <c r="F21" s="1671"/>
      <c r="G21" s="1671"/>
      <c r="H21" s="1671"/>
      <c r="I21" s="1671"/>
      <c r="J21" s="1671"/>
      <c r="K21" s="1671"/>
      <c r="L21" s="1671"/>
      <c r="M21" s="1671"/>
      <c r="N21" s="1671"/>
      <c r="O21" s="1671"/>
      <c r="P21" s="1671"/>
      <c r="Q21" s="1076"/>
      <c r="R21" s="1076"/>
      <c r="S21" s="1671" t="s">
        <v>306</v>
      </c>
      <c r="T21" s="1672"/>
      <c r="U21" s="1671"/>
      <c r="V21" s="1671"/>
      <c r="W21" s="1671"/>
      <c r="X21" s="1671"/>
      <c r="Y21" s="1671"/>
      <c r="Z21" s="1671"/>
      <c r="AA21" s="1671"/>
      <c r="AB21" s="1671"/>
      <c r="AC21" s="1671"/>
      <c r="AD21" s="1671"/>
      <c r="AE21" s="1671"/>
      <c r="AF21" s="1671"/>
      <c r="AG21" s="1671"/>
      <c r="AH21" s="1076"/>
      <c r="AI21" s="1076"/>
      <c r="AJ21" s="1149"/>
      <c r="AK21" s="1149"/>
      <c r="AL21" s="1149"/>
      <c r="AM21" s="1149"/>
      <c r="AN21" s="1149"/>
      <c r="AO21" s="1149"/>
      <c r="AP21" s="1149"/>
      <c r="AQ21" s="1149"/>
      <c r="AR21" s="1149"/>
      <c r="AS21" s="1149"/>
      <c r="AT21" s="1149"/>
      <c r="AU21" s="1149"/>
      <c r="AV21" s="1149"/>
      <c r="AW21" s="1149"/>
      <c r="AX21" s="1149"/>
      <c r="AY21" s="1149"/>
      <c r="AZ21" s="3"/>
      <c r="BA21" s="3"/>
    </row>
    <row r="22" spans="2:53" ht="30" customHeight="1" thickBot="1">
      <c r="B22" s="505" t="s">
        <v>307</v>
      </c>
      <c r="C22" s="506"/>
      <c r="D22" s="507"/>
      <c r="E22" s="508"/>
      <c r="F22" s="509" t="s">
        <v>308</v>
      </c>
      <c r="G22" s="506"/>
      <c r="H22" s="510"/>
      <c r="I22" s="507"/>
      <c r="J22" s="564"/>
      <c r="K22" s="565"/>
      <c r="L22" s="507"/>
      <c r="M22" s="511"/>
      <c r="P22" s="504"/>
      <c r="Q22" s="504"/>
      <c r="R22" s="1108"/>
      <c r="S22" s="505" t="s">
        <v>307</v>
      </c>
      <c r="T22" s="506"/>
      <c r="U22" s="507"/>
      <c r="V22" s="508"/>
      <c r="W22" s="509" t="s">
        <v>308</v>
      </c>
      <c r="X22" s="506"/>
      <c r="Y22" s="510"/>
      <c r="Z22" s="507"/>
      <c r="AA22" s="564"/>
      <c r="AB22" s="565"/>
      <c r="AC22" s="507"/>
      <c r="AD22" s="511"/>
      <c r="AG22" s="504"/>
      <c r="AH22" s="1108"/>
      <c r="AI22" s="1108"/>
      <c r="AJ22" s="1131"/>
      <c r="AK22" s="1105"/>
      <c r="AL22" s="1132"/>
      <c r="AM22" s="1133"/>
      <c r="AN22" s="1133"/>
      <c r="AO22" s="1134"/>
      <c r="AP22" s="1105"/>
      <c r="AQ22" s="1135"/>
      <c r="AR22" s="1132"/>
      <c r="AS22" s="1136"/>
      <c r="AT22" s="1132"/>
      <c r="AU22" s="1132"/>
      <c r="AV22" s="1105"/>
      <c r="AW22" s="3"/>
      <c r="AX22" s="3"/>
      <c r="AY22" s="1108"/>
      <c r="AZ22" s="3"/>
      <c r="BA22" s="3"/>
    </row>
    <row r="23" spans="2:53" ht="29.25" customHeight="1" thickBot="1">
      <c r="B23" s="505" t="s">
        <v>773</v>
      </c>
      <c r="C23" s="511"/>
      <c r="D23" s="507"/>
      <c r="E23" s="508"/>
      <c r="F23" s="511" t="s">
        <v>309</v>
      </c>
      <c r="G23" s="511"/>
      <c r="H23" s="510"/>
      <c r="I23" s="566"/>
      <c r="K23" s="561" t="s">
        <v>310</v>
      </c>
      <c r="L23" s="563"/>
      <c r="M23" s="570"/>
      <c r="P23" s="504"/>
      <c r="Q23" s="504"/>
      <c r="R23" s="1108"/>
      <c r="S23" s="505" t="s">
        <v>773</v>
      </c>
      <c r="T23" s="511"/>
      <c r="U23" s="507"/>
      <c r="V23" s="508"/>
      <c r="W23" s="511" t="s">
        <v>309</v>
      </c>
      <c r="X23" s="511"/>
      <c r="Y23" s="510"/>
      <c r="Z23" s="566"/>
      <c r="AB23" s="561" t="s">
        <v>310</v>
      </c>
      <c r="AC23" s="563"/>
      <c r="AD23" s="570"/>
      <c r="AG23" s="504"/>
      <c r="AH23" s="1108"/>
      <c r="AI23" s="1108"/>
      <c r="AJ23" s="1131"/>
      <c r="AK23" s="1105"/>
      <c r="AL23" s="1132"/>
      <c r="AM23" s="1133"/>
      <c r="AN23" s="1133"/>
      <c r="AO23" s="1105"/>
      <c r="AP23" s="1105"/>
      <c r="AQ23" s="1135"/>
      <c r="AR23" s="1132"/>
      <c r="AS23" s="3"/>
      <c r="AT23" s="1150"/>
      <c r="AU23" s="1132"/>
      <c r="AV23" s="1132"/>
      <c r="AW23" s="3"/>
      <c r="AX23" s="3"/>
      <c r="AY23" s="1108"/>
      <c r="AZ23" s="3"/>
      <c r="BA23" s="3"/>
    </row>
    <row r="24" spans="2:53" ht="32.25" customHeight="1" thickBot="1">
      <c r="B24" s="507"/>
      <c r="C24" s="507"/>
      <c r="D24" s="507"/>
      <c r="E24" s="512" t="s">
        <v>311</v>
      </c>
      <c r="F24" s="513" t="s">
        <v>247</v>
      </c>
      <c r="G24" s="507"/>
      <c r="H24" s="514" t="s">
        <v>312</v>
      </c>
      <c r="I24" s="507"/>
      <c r="K24" s="561" t="s">
        <v>313</v>
      </c>
      <c r="M24" s="1679" t="s">
        <v>314</v>
      </c>
      <c r="N24" s="1680"/>
      <c r="O24" s="1680"/>
      <c r="P24" s="1681"/>
      <c r="Q24" s="1105"/>
      <c r="R24" s="1105"/>
      <c r="S24" s="507"/>
      <c r="T24" s="507"/>
      <c r="U24" s="507"/>
      <c r="V24" s="512" t="s">
        <v>311</v>
      </c>
      <c r="W24" s="513" t="s">
        <v>247</v>
      </c>
      <c r="X24" s="507"/>
      <c r="Y24" s="514" t="s">
        <v>312</v>
      </c>
      <c r="Z24" s="507"/>
      <c r="AB24" s="561" t="s">
        <v>313</v>
      </c>
      <c r="AD24" s="1673" t="s">
        <v>314</v>
      </c>
      <c r="AE24" s="1674"/>
      <c r="AF24" s="1674"/>
      <c r="AG24" s="1675"/>
      <c r="AH24" s="1105"/>
      <c r="AI24" s="1105"/>
      <c r="AJ24" s="1132"/>
      <c r="AK24" s="1132"/>
      <c r="AL24" s="1132"/>
      <c r="AM24" s="3"/>
      <c r="AN24" s="1105"/>
      <c r="AO24" s="1105"/>
      <c r="AP24" s="1132"/>
      <c r="AQ24" s="1105"/>
      <c r="AR24" s="1132"/>
      <c r="AS24" s="3"/>
      <c r="AT24" s="1150"/>
      <c r="AU24" s="3"/>
      <c r="AV24" s="1137"/>
      <c r="AW24" s="1137"/>
      <c r="AX24" s="1137"/>
      <c r="AY24" s="1137"/>
      <c r="AZ24" s="3"/>
      <c r="BA24" s="3"/>
    </row>
    <row r="25" spans="2:53" ht="30" customHeight="1" thickBot="1">
      <c r="B25" s="556" t="str">
        <f ca="1">B15</f>
        <v>أجـــرة شهـــر جوان 2019</v>
      </c>
      <c r="C25" s="557"/>
      <c r="D25" s="557"/>
      <c r="E25" s="515"/>
      <c r="F25" s="516">
        <f>F15</f>
        <v>75</v>
      </c>
      <c r="G25" s="507"/>
      <c r="H25" s="517" t="s">
        <v>107</v>
      </c>
      <c r="I25" s="562"/>
      <c r="K25" s="568" t="s">
        <v>315</v>
      </c>
      <c r="M25" s="1676" t="s">
        <v>561</v>
      </c>
      <c r="N25" s="1677"/>
      <c r="O25" s="1677"/>
      <c r="P25" s="1678"/>
      <c r="Q25" s="1106"/>
      <c r="R25" s="1106"/>
      <c r="S25" s="556" t="str">
        <f ca="1">S15</f>
        <v>أجـــرة شهـــر جوان 2019</v>
      </c>
      <c r="T25" s="557"/>
      <c r="U25" s="557"/>
      <c r="V25" s="515"/>
      <c r="W25" s="516">
        <f>W15</f>
        <v>79</v>
      </c>
      <c r="X25" s="507"/>
      <c r="Y25" s="517" t="s">
        <v>107</v>
      </c>
      <c r="Z25" s="562"/>
      <c r="AB25" s="568" t="s">
        <v>315</v>
      </c>
      <c r="AD25" s="1676" t="s">
        <v>561</v>
      </c>
      <c r="AE25" s="1677"/>
      <c r="AF25" s="1677"/>
      <c r="AG25" s="1678"/>
      <c r="AH25" s="1106"/>
      <c r="AI25" s="1106"/>
      <c r="AJ25" s="1137"/>
      <c r="AK25" s="1137"/>
      <c r="AL25" s="1137"/>
      <c r="AM25" s="1132"/>
      <c r="AN25" s="1132"/>
      <c r="AO25" s="1138"/>
      <c r="AP25" s="1132"/>
      <c r="AQ25" s="1134"/>
      <c r="AR25" s="1132"/>
      <c r="AS25" s="3"/>
      <c r="AT25" s="1150"/>
      <c r="AU25" s="3"/>
      <c r="AV25" s="1151"/>
      <c r="AW25" s="1151"/>
      <c r="AX25" s="1151"/>
      <c r="AY25" s="1151"/>
      <c r="AZ25" s="3"/>
      <c r="BA25" s="3"/>
    </row>
    <row r="26" spans="2:53" ht="10.5" customHeight="1" thickBot="1">
      <c r="B26" s="503"/>
      <c r="C26" s="518"/>
      <c r="D26" s="503"/>
      <c r="E26" s="503"/>
      <c r="F26" s="503"/>
      <c r="G26" s="503"/>
      <c r="H26" s="503"/>
      <c r="I26" s="503"/>
      <c r="J26" s="567"/>
      <c r="K26" s="503"/>
      <c r="L26" s="569"/>
      <c r="M26" s="503"/>
      <c r="N26" s="503"/>
      <c r="O26" s="503"/>
      <c r="P26" s="504"/>
      <c r="Q26" s="504"/>
      <c r="R26" s="1108"/>
      <c r="S26" s="503"/>
      <c r="T26" s="518"/>
      <c r="U26" s="503"/>
      <c r="V26" s="503"/>
      <c r="W26" s="503"/>
      <c r="X26" s="503"/>
      <c r="Y26" s="503"/>
      <c r="Z26" s="503"/>
      <c r="AA26" s="567"/>
      <c r="AB26" s="503"/>
      <c r="AC26" s="569"/>
      <c r="AD26" s="503"/>
      <c r="AE26" s="503"/>
      <c r="AF26" s="503"/>
      <c r="AG26" s="504"/>
      <c r="AH26" s="1108"/>
      <c r="AI26" s="1108"/>
      <c r="AJ26" s="1139"/>
      <c r="AK26" s="1140"/>
      <c r="AL26" s="1139"/>
      <c r="AM26" s="1139"/>
      <c r="AN26" s="1139"/>
      <c r="AO26" s="1139"/>
      <c r="AP26" s="1139"/>
      <c r="AQ26" s="1139"/>
      <c r="AR26" s="1139"/>
      <c r="AS26" s="1141"/>
      <c r="AT26" s="1139"/>
      <c r="AU26" s="1142"/>
      <c r="AV26" s="1139"/>
      <c r="AW26" s="1139"/>
      <c r="AX26" s="1139"/>
      <c r="AY26" s="1108"/>
      <c r="AZ26" s="3"/>
      <c r="BA26" s="3"/>
    </row>
    <row r="27" spans="2:53" ht="20.25" customHeight="1" thickBot="1">
      <c r="B27" s="1644" t="s">
        <v>7</v>
      </c>
      <c r="C27" s="1653" t="s">
        <v>316</v>
      </c>
      <c r="D27" s="1655" t="s">
        <v>317</v>
      </c>
      <c r="E27" s="1656"/>
      <c r="F27" s="1656"/>
      <c r="G27" s="1656"/>
      <c r="H27" s="1656"/>
      <c r="I27" s="1657" t="s">
        <v>318</v>
      </c>
      <c r="J27" s="1658"/>
      <c r="K27" s="1659"/>
      <c r="L27" s="1663" t="s">
        <v>319</v>
      </c>
      <c r="M27" s="1665" t="s">
        <v>320</v>
      </c>
      <c r="N27" s="1666"/>
      <c r="O27" s="1667"/>
      <c r="P27" s="1644" t="s">
        <v>19</v>
      </c>
      <c r="Q27" s="1107"/>
      <c r="R27" s="1107"/>
      <c r="S27" s="1644" t="s">
        <v>7</v>
      </c>
      <c r="T27" s="1653" t="s">
        <v>316</v>
      </c>
      <c r="U27" s="1655" t="s">
        <v>317</v>
      </c>
      <c r="V27" s="1656"/>
      <c r="W27" s="1656"/>
      <c r="X27" s="1656"/>
      <c r="Y27" s="1656"/>
      <c r="Z27" s="1657" t="s">
        <v>318</v>
      </c>
      <c r="AA27" s="1658"/>
      <c r="AB27" s="1659"/>
      <c r="AC27" s="1663" t="s">
        <v>319</v>
      </c>
      <c r="AD27" s="1665" t="s">
        <v>320</v>
      </c>
      <c r="AE27" s="1666"/>
      <c r="AF27" s="1667"/>
      <c r="AG27" s="1644" t="s">
        <v>19</v>
      </c>
      <c r="AH27" s="1107"/>
      <c r="AI27" s="1107"/>
      <c r="AJ27" s="1152"/>
      <c r="AK27" s="1153"/>
      <c r="AL27" s="1152"/>
      <c r="AM27" s="1152"/>
      <c r="AN27" s="1152"/>
      <c r="AO27" s="1152"/>
      <c r="AP27" s="1152"/>
      <c r="AQ27" s="1152"/>
      <c r="AR27" s="1153"/>
      <c r="AS27" s="1153"/>
      <c r="AT27" s="1153"/>
      <c r="AU27" s="1154"/>
      <c r="AV27" s="1152"/>
      <c r="AW27" s="1152"/>
      <c r="AX27" s="1152"/>
      <c r="AY27" s="1152"/>
      <c r="AZ27" s="3"/>
      <c r="BA27" s="3"/>
    </row>
    <row r="28" spans="2:53" ht="20.25" customHeight="1" thickBot="1">
      <c r="B28" s="1645"/>
      <c r="C28" s="1654"/>
      <c r="D28" s="1075" t="s">
        <v>26</v>
      </c>
      <c r="E28" s="1075" t="s">
        <v>321</v>
      </c>
      <c r="F28" s="519" t="s">
        <v>323</v>
      </c>
      <c r="G28" s="520" t="s">
        <v>24</v>
      </c>
      <c r="H28" s="521"/>
      <c r="I28" s="1660"/>
      <c r="J28" s="1661"/>
      <c r="K28" s="1662"/>
      <c r="L28" s="1664"/>
      <c r="M28" s="1668"/>
      <c r="N28" s="1669"/>
      <c r="O28" s="1670"/>
      <c r="P28" s="1645"/>
      <c r="Q28" s="1107"/>
      <c r="R28" s="1107"/>
      <c r="S28" s="1645"/>
      <c r="T28" s="1654"/>
      <c r="U28" s="1075" t="s">
        <v>26</v>
      </c>
      <c r="V28" s="1075" t="s">
        <v>321</v>
      </c>
      <c r="W28" s="519" t="s">
        <v>323</v>
      </c>
      <c r="X28" s="520" t="s">
        <v>24</v>
      </c>
      <c r="Y28" s="521"/>
      <c r="Z28" s="1660"/>
      <c r="AA28" s="1661"/>
      <c r="AB28" s="1662"/>
      <c r="AC28" s="1664"/>
      <c r="AD28" s="1668"/>
      <c r="AE28" s="1669"/>
      <c r="AF28" s="1670"/>
      <c r="AG28" s="1645"/>
      <c r="AH28" s="1107"/>
      <c r="AI28" s="1107"/>
      <c r="AJ28" s="1152"/>
      <c r="AK28" s="1153"/>
      <c r="AL28" s="1107"/>
      <c r="AM28" s="1107"/>
      <c r="AN28" s="1107"/>
      <c r="AO28" s="1107"/>
      <c r="AP28" s="1155"/>
      <c r="AQ28" s="1107"/>
      <c r="AR28" s="1153"/>
      <c r="AS28" s="1153"/>
      <c r="AT28" s="1153"/>
      <c r="AU28" s="1154"/>
      <c r="AV28" s="1152"/>
      <c r="AW28" s="1152"/>
      <c r="AX28" s="1152"/>
      <c r="AY28" s="1152"/>
      <c r="AZ28" s="3"/>
      <c r="BA28" s="3"/>
    </row>
    <row r="29" spans="2:53" s="1098" customFormat="1" ht="98.25" customHeight="1" thickBot="1">
      <c r="B29" s="1126">
        <f>LOOKUP(P29,'ETAT-PAY-VACT'!AH:AH,'ETAT-PAY-VACT'!N:N)</f>
        <v>27316</v>
      </c>
      <c r="C29" s="1126">
        <f>LOOKUP(P29,'ETAT-PAY-VACT'!AH:AH,'ETAT-PAY-VACT'!I:I)</f>
        <v>5000</v>
      </c>
      <c r="D29" s="1127">
        <f>LOOKUP(P29,'ETAT-PAY-VACT'!AH:AH,'ETAT-PAY-VACT'!J:J)</f>
        <v>0</v>
      </c>
      <c r="E29" s="1127">
        <f>LOOKUP(P29,'ETAT-PAY-VACT'!AH:AH,'ETAT-PAY-VACT'!L:L)</f>
        <v>804.6</v>
      </c>
      <c r="F29" s="1129">
        <f>LOOKUP(P29,'ETAT-PAY-VACT'!AH:AH,'ETAT-PAY-VACT'!M:M)</f>
        <v>0</v>
      </c>
      <c r="G29" s="1646">
        <f>LOOKUP(P29,'ETAT-PAY-VACT'!AH:AH,'ETAT-PAY-VACT'!K:K)</f>
        <v>2386.44</v>
      </c>
      <c r="H29" s="1647"/>
      <c r="I29" s="1646">
        <f>LOOKUP(P29,'ETAT-PAY-VACT'!AH:AH,'ETAT-PAY-VACT'!H:H)</f>
        <v>19124.96</v>
      </c>
      <c r="J29" s="1648"/>
      <c r="K29" s="1649"/>
      <c r="L29" s="1130">
        <f>LOOKUP(P29,'ETAT-PAY-VACT'!AH:AH,'ETAT-PAY-VACT'!D:D)</f>
        <v>1121212</v>
      </c>
      <c r="M29" s="1650" t="str">
        <f>LOOKUP(P29,'ETAT-PAY-VACT'!AH:AH,'ETAT-PAY-VACT'!C:C)</f>
        <v>مصطفى بن مصطفى</v>
      </c>
      <c r="N29" s="1651"/>
      <c r="O29" s="1652"/>
      <c r="P29" s="1118">
        <f>P19+1</f>
        <v>3</v>
      </c>
      <c r="Q29" s="1109"/>
      <c r="R29" s="1109"/>
      <c r="S29" s="1126">
        <f>LOOKUP(AG29,'ETAT-PAY-VACT (2)'!AH:AH,'ETAT-PAY-VACT (2)'!N:N)</f>
        <v>14606.24</v>
      </c>
      <c r="T29" s="1126">
        <f>LOOKUP(AG29,'ETAT-PAY-VACT (2)'!AH:AH,'ETAT-PAY-VACT (2)'!I:I)</f>
        <v>5000</v>
      </c>
      <c r="U29" s="1127">
        <f>LOOKUP(AG29,'ETAT-PAY-VACT (2)'!AH:AH,'ETAT-PAY-VACT (2)'!J:J)</f>
        <v>0</v>
      </c>
      <c r="V29" s="1127">
        <f>LOOKUP(AG29,'ETAT-PAY-VACT (2)'!AH:AH,'ETAT-PAY-VACT (2)'!L:L)</f>
        <v>0</v>
      </c>
      <c r="W29" s="1129">
        <f>LOOKUP(AG29,'ETAT-PAY-VACT (2)'!AH:AH,'ETAT-PAY-VACT (2)'!M:M)</f>
        <v>0</v>
      </c>
      <c r="X29" s="1646">
        <f>LOOKUP(AG29,'ETAT-PAY-VACT (2)'!AH:AH,'ETAT-PAY-VACT (2)'!K:K)</f>
        <v>1314.56</v>
      </c>
      <c r="Y29" s="1647"/>
      <c r="Z29" s="1646">
        <f>LOOKUP(AG29,'ETAT-PAY-VACT (2)'!AH:AH,'ETAT-PAY-VACT (2)'!H:H)</f>
        <v>8291.68</v>
      </c>
      <c r="AA29" s="1742"/>
      <c r="AB29" s="1647"/>
      <c r="AC29" s="1130">
        <f>LOOKUP(AG29,'ETAT-PAY-VACT (2)'!AH:AH,'ETAT-PAY-VACT (2)'!D:D)</f>
        <v>4355435373</v>
      </c>
      <c r="AD29" s="1650" t="str">
        <f>LOOKUP(AG29,'ETAT-PAY-VACT (2)'!AH:AH,'ETAT-PAY-VACT (2)'!C:C)</f>
        <v>ةىروؤزلاىؤرءزوةلا</v>
      </c>
      <c r="AE29" s="1743"/>
      <c r="AF29" s="1744"/>
      <c r="AG29" s="1118">
        <f>AG19+1</f>
        <v>2</v>
      </c>
      <c r="AH29" s="1109"/>
      <c r="AI29" s="1109"/>
      <c r="AJ29" s="1143"/>
      <c r="AK29" s="1143"/>
      <c r="AL29" s="1143"/>
      <c r="AM29" s="1143"/>
      <c r="AN29" s="1143"/>
      <c r="AO29" s="1144"/>
      <c r="AP29" s="1156"/>
      <c r="AQ29" s="1156"/>
      <c r="AR29" s="1156"/>
      <c r="AS29" s="1157"/>
      <c r="AT29" s="1157"/>
      <c r="AU29" s="1145"/>
      <c r="AV29" s="1158"/>
      <c r="AW29" s="1159"/>
      <c r="AX29" s="1159"/>
      <c r="AY29" s="1146"/>
      <c r="AZ29" s="1147"/>
      <c r="BA29" s="1147"/>
    </row>
    <row r="30" spans="2:53" ht="12.75">
      <c r="AJ30" s="3"/>
      <c r="AK30" s="3"/>
      <c r="AL30" s="3"/>
      <c r="AM30" s="3"/>
      <c r="AN30" s="3"/>
      <c r="AO30" s="3"/>
      <c r="AP30" s="3"/>
      <c r="AQ30" s="3"/>
      <c r="AR30" s="3"/>
      <c r="AS30" s="3"/>
      <c r="AT30" s="3"/>
      <c r="AU30" s="3"/>
      <c r="AV30" s="3"/>
      <c r="AW30" s="3"/>
      <c r="AX30" s="3"/>
      <c r="AY30" s="3"/>
      <c r="AZ30" s="3"/>
      <c r="BA30" s="3"/>
    </row>
    <row r="31" spans="2:53" ht="42.75" customHeight="1">
      <c r="B31" s="1672" t="s">
        <v>306</v>
      </c>
      <c r="C31" s="1672"/>
      <c r="D31" s="1672"/>
      <c r="E31" s="1672"/>
      <c r="F31" s="1672"/>
      <c r="G31" s="1672"/>
      <c r="H31" s="1672"/>
      <c r="I31" s="1672"/>
      <c r="J31" s="1672"/>
      <c r="K31" s="1672"/>
      <c r="L31" s="1672"/>
      <c r="M31" s="1672"/>
      <c r="N31" s="1672"/>
      <c r="O31" s="1672"/>
      <c r="P31" s="1672"/>
      <c r="Q31" s="1076"/>
      <c r="R31" s="1076"/>
      <c r="S31" s="1149"/>
      <c r="T31" s="1149"/>
      <c r="U31" s="1149"/>
      <c r="V31" s="1149"/>
      <c r="W31" s="1149"/>
      <c r="X31" s="1149"/>
      <c r="Y31" s="1149"/>
      <c r="Z31" s="1149"/>
      <c r="AA31" s="1149"/>
      <c r="AB31" s="1149"/>
      <c r="AC31" s="1149"/>
      <c r="AD31" s="1149"/>
      <c r="AE31" s="1149"/>
      <c r="AF31" s="1149"/>
      <c r="AG31" s="1149"/>
      <c r="AH31" s="1076"/>
      <c r="AI31" s="1076"/>
      <c r="AJ31" s="1149"/>
      <c r="AK31" s="1149"/>
      <c r="AL31" s="1149"/>
      <c r="AM31" s="1149"/>
      <c r="AN31" s="1149"/>
      <c r="AO31" s="1149"/>
      <c r="AP31" s="1149"/>
      <c r="AQ31" s="1149"/>
      <c r="AR31" s="1149"/>
      <c r="AS31" s="1149"/>
      <c r="AT31" s="1149"/>
      <c r="AU31" s="1149"/>
      <c r="AV31" s="1149"/>
      <c r="AW31" s="1149"/>
      <c r="AX31" s="1149"/>
      <c r="AY31" s="1149"/>
    </row>
    <row r="32" spans="2:53" ht="30" customHeight="1" thickBot="1">
      <c r="B32" s="505" t="s">
        <v>307</v>
      </c>
      <c r="C32" s="506"/>
      <c r="D32" s="507"/>
      <c r="E32" s="508"/>
      <c r="F32" s="509" t="s">
        <v>308</v>
      </c>
      <c r="G32" s="506"/>
      <c r="H32" s="510"/>
      <c r="I32" s="507"/>
      <c r="J32" s="564"/>
      <c r="K32" s="565"/>
      <c r="L32" s="507"/>
      <c r="M32" s="511"/>
      <c r="P32" s="504"/>
      <c r="Q32" s="504"/>
      <c r="R32" s="1108"/>
      <c r="S32" s="1131"/>
      <c r="T32" s="1105"/>
      <c r="U32" s="1132"/>
      <c r="V32" s="1133"/>
      <c r="W32" s="1134"/>
      <c r="X32" s="1105"/>
      <c r="Y32" s="1135"/>
      <c r="Z32" s="1132"/>
      <c r="AA32" s="1136"/>
      <c r="AB32" s="1132"/>
      <c r="AC32" s="1132"/>
      <c r="AD32" s="1105"/>
      <c r="AE32" s="3"/>
      <c r="AF32" s="3"/>
      <c r="AG32" s="1108"/>
      <c r="AH32" s="1108"/>
      <c r="AI32" s="1108"/>
      <c r="AJ32" s="1131"/>
      <c r="AK32" s="1105"/>
      <c r="AL32" s="1132"/>
      <c r="AM32" s="1133"/>
      <c r="AN32" s="1133"/>
      <c r="AO32" s="1134"/>
      <c r="AP32" s="1105"/>
      <c r="AQ32" s="1135"/>
      <c r="AR32" s="1132"/>
      <c r="AS32" s="1136"/>
      <c r="AT32" s="1132"/>
      <c r="AU32" s="1132"/>
      <c r="AV32" s="1105"/>
      <c r="AW32" s="3"/>
      <c r="AX32" s="3"/>
      <c r="AY32" s="1108"/>
    </row>
    <row r="33" spans="2:53" ht="29.25" customHeight="1" thickBot="1">
      <c r="B33" s="505" t="s">
        <v>773</v>
      </c>
      <c r="C33" s="511"/>
      <c r="D33" s="507"/>
      <c r="E33" s="508"/>
      <c r="F33" s="511" t="s">
        <v>309</v>
      </c>
      <c r="G33" s="511"/>
      <c r="H33" s="510"/>
      <c r="I33" s="566"/>
      <c r="K33" s="561" t="s">
        <v>310</v>
      </c>
      <c r="L33" s="563"/>
      <c r="M33" s="570"/>
      <c r="P33" s="504"/>
      <c r="Q33" s="504"/>
      <c r="R33" s="1108"/>
      <c r="S33" s="1131"/>
      <c r="T33" s="1105"/>
      <c r="U33" s="1132"/>
      <c r="V33" s="1133"/>
      <c r="W33" s="1105"/>
      <c r="X33" s="1105"/>
      <c r="Y33" s="1135"/>
      <c r="Z33" s="1132"/>
      <c r="AA33" s="3"/>
      <c r="AB33" s="1150"/>
      <c r="AC33" s="1132"/>
      <c r="AD33" s="1132"/>
      <c r="AE33" s="3"/>
      <c r="AF33" s="3"/>
      <c r="AG33" s="1108"/>
      <c r="AH33" s="1108"/>
      <c r="AI33" s="1108"/>
      <c r="AJ33" s="1131"/>
      <c r="AK33" s="1105"/>
      <c r="AL33" s="1132"/>
      <c r="AM33" s="1133"/>
      <c r="AN33" s="1133"/>
      <c r="AO33" s="1105"/>
      <c r="AP33" s="1105"/>
      <c r="AQ33" s="1135"/>
      <c r="AR33" s="1132"/>
      <c r="AS33" s="3"/>
      <c r="AT33" s="1150"/>
      <c r="AU33" s="1132"/>
      <c r="AV33" s="1132"/>
      <c r="AW33" s="3"/>
      <c r="AX33" s="3"/>
      <c r="AY33" s="1108"/>
    </row>
    <row r="34" spans="2:53" ht="32.25" customHeight="1" thickBot="1">
      <c r="B34" s="507"/>
      <c r="C34" s="507"/>
      <c r="D34" s="507"/>
      <c r="F34" s="513" t="s">
        <v>247</v>
      </c>
      <c r="G34" s="507"/>
      <c r="H34" s="514" t="s">
        <v>312</v>
      </c>
      <c r="I34" s="507"/>
      <c r="K34" s="561" t="s">
        <v>313</v>
      </c>
      <c r="M34" s="1679" t="s">
        <v>314</v>
      </c>
      <c r="N34" s="1680"/>
      <c r="O34" s="1680"/>
      <c r="P34" s="1681"/>
      <c r="Q34" s="1105"/>
      <c r="R34" s="1105"/>
      <c r="S34" s="1132"/>
      <c r="T34" s="1132"/>
      <c r="U34" s="1132"/>
      <c r="V34" s="1105"/>
      <c r="W34" s="1105"/>
      <c r="X34" s="1132"/>
      <c r="Y34" s="1105"/>
      <c r="Z34" s="1132"/>
      <c r="AA34" s="3"/>
      <c r="AB34" s="1150"/>
      <c r="AC34" s="3"/>
      <c r="AD34" s="1137"/>
      <c r="AE34" s="1137"/>
      <c r="AF34" s="1137"/>
      <c r="AG34" s="1137"/>
      <c r="AH34" s="1105"/>
      <c r="AI34" s="1105"/>
      <c r="AJ34" s="1132"/>
      <c r="AK34" s="1132"/>
      <c r="AL34" s="1132"/>
      <c r="AM34" s="3"/>
      <c r="AN34" s="1105"/>
      <c r="AO34" s="1105"/>
      <c r="AP34" s="1132"/>
      <c r="AQ34" s="1105"/>
      <c r="AR34" s="1132"/>
      <c r="AS34" s="3"/>
      <c r="AT34" s="1150"/>
      <c r="AU34" s="3"/>
      <c r="AV34" s="1137"/>
      <c r="AW34" s="1137"/>
      <c r="AX34" s="1137"/>
      <c r="AY34" s="1137"/>
      <c r="AZ34" s="3"/>
    </row>
    <row r="35" spans="2:53" ht="30" customHeight="1" thickBot="1">
      <c r="B35" s="556" t="str">
        <f ca="1">B25</f>
        <v>أجـــرة شهـــر جوان 2019</v>
      </c>
      <c r="C35" s="557"/>
      <c r="D35" s="557"/>
      <c r="E35" s="515"/>
      <c r="F35" s="516">
        <f>F25</f>
        <v>75</v>
      </c>
      <c r="G35" s="507"/>
      <c r="H35" s="517" t="s">
        <v>107</v>
      </c>
      <c r="I35" s="562"/>
      <c r="K35" s="568" t="s">
        <v>315</v>
      </c>
      <c r="M35" s="1676" t="s">
        <v>561</v>
      </c>
      <c r="N35" s="1677"/>
      <c r="O35" s="1677"/>
      <c r="P35" s="1678"/>
      <c r="Q35" s="1106"/>
      <c r="R35" s="1106"/>
      <c r="S35" s="1137"/>
      <c r="T35" s="1137"/>
      <c r="U35" s="1137"/>
      <c r="V35" s="1132"/>
      <c r="W35" s="1138"/>
      <c r="X35" s="1132"/>
      <c r="Y35" s="1134"/>
      <c r="Z35" s="1132"/>
      <c r="AA35" s="3"/>
      <c r="AB35" s="1150"/>
      <c r="AC35" s="3"/>
      <c r="AD35" s="1151"/>
      <c r="AE35" s="1151"/>
      <c r="AF35" s="1151"/>
      <c r="AG35" s="1151"/>
      <c r="AH35" s="1106"/>
      <c r="AI35" s="1106"/>
      <c r="AJ35" s="1137"/>
      <c r="AK35" s="1137"/>
      <c r="AL35" s="1137"/>
      <c r="AM35" s="1132"/>
      <c r="AN35" s="1132"/>
      <c r="AO35" s="1138"/>
      <c r="AP35" s="1132"/>
      <c r="AQ35" s="1134"/>
      <c r="AR35" s="1132"/>
      <c r="AS35" s="3"/>
      <c r="AT35" s="1150"/>
      <c r="AU35" s="3"/>
      <c r="AV35" s="1151"/>
      <c r="AW35" s="1151"/>
      <c r="AX35" s="1151"/>
      <c r="AY35" s="1151"/>
      <c r="AZ35" s="3"/>
    </row>
    <row r="36" spans="2:53" ht="10.5" customHeight="1" thickBot="1">
      <c r="B36" s="503"/>
      <c r="C36" s="518"/>
      <c r="D36" s="503"/>
      <c r="E36" s="503"/>
      <c r="F36" s="503"/>
      <c r="G36" s="503"/>
      <c r="H36" s="503"/>
      <c r="I36" s="503"/>
      <c r="J36" s="567"/>
      <c r="K36" s="503"/>
      <c r="L36" s="569"/>
      <c r="M36" s="503"/>
      <c r="N36" s="503"/>
      <c r="O36" s="503"/>
      <c r="P36" s="504"/>
      <c r="Q36" s="504"/>
      <c r="R36" s="1108"/>
      <c r="S36" s="1139"/>
      <c r="T36" s="1140"/>
      <c r="U36" s="1139"/>
      <c r="V36" s="1139"/>
      <c r="W36" s="1139"/>
      <c r="X36" s="1139"/>
      <c r="Y36" s="1139"/>
      <c r="Z36" s="1139"/>
      <c r="AA36" s="1141"/>
      <c r="AB36" s="1139"/>
      <c r="AC36" s="1142"/>
      <c r="AD36" s="1139"/>
      <c r="AE36" s="1139"/>
      <c r="AF36" s="1139"/>
      <c r="AG36" s="1108"/>
      <c r="AH36" s="1108"/>
      <c r="AI36" s="1108"/>
      <c r="AJ36" s="1139"/>
      <c r="AK36" s="1140"/>
      <c r="AL36" s="1139"/>
      <c r="AM36" s="1139"/>
      <c r="AN36" s="1139"/>
      <c r="AO36" s="1139"/>
      <c r="AP36" s="1139"/>
      <c r="AQ36" s="1139"/>
      <c r="AR36" s="1139"/>
      <c r="AS36" s="1141"/>
      <c r="AT36" s="1139"/>
      <c r="AU36" s="1142"/>
      <c r="AV36" s="1139"/>
      <c r="AW36" s="1139"/>
      <c r="AX36" s="1139"/>
      <c r="AY36" s="1108"/>
    </row>
    <row r="37" spans="2:53" ht="20.25" customHeight="1" thickBot="1">
      <c r="B37" s="1644" t="s">
        <v>7</v>
      </c>
      <c r="C37" s="1653" t="s">
        <v>316</v>
      </c>
      <c r="D37" s="1655" t="s">
        <v>317</v>
      </c>
      <c r="E37" s="1656"/>
      <c r="F37" s="1656"/>
      <c r="G37" s="1656"/>
      <c r="H37" s="1656"/>
      <c r="I37" s="1657" t="s">
        <v>318</v>
      </c>
      <c r="J37" s="1658"/>
      <c r="K37" s="1659"/>
      <c r="L37" s="1663" t="s">
        <v>319</v>
      </c>
      <c r="M37" s="1665" t="s">
        <v>320</v>
      </c>
      <c r="N37" s="1666"/>
      <c r="O37" s="1667"/>
      <c r="P37" s="1644" t="s">
        <v>19</v>
      </c>
      <c r="Q37" s="1107"/>
      <c r="R37" s="1107"/>
      <c r="S37" s="1152"/>
      <c r="T37" s="1153"/>
      <c r="U37" s="1152"/>
      <c r="V37" s="1152"/>
      <c r="W37" s="1152"/>
      <c r="X37" s="1152"/>
      <c r="Y37" s="1152"/>
      <c r="Z37" s="1153"/>
      <c r="AA37" s="1153"/>
      <c r="AB37" s="1153"/>
      <c r="AC37" s="1154"/>
      <c r="AD37" s="1152"/>
      <c r="AE37" s="1152"/>
      <c r="AF37" s="1152"/>
      <c r="AG37" s="1152"/>
      <c r="AH37" s="1107"/>
      <c r="AI37" s="1107"/>
      <c r="AJ37" s="1152"/>
      <c r="AK37" s="1153"/>
      <c r="AL37" s="1152"/>
      <c r="AM37" s="1152"/>
      <c r="AN37" s="1152"/>
      <c r="AO37" s="1152"/>
      <c r="AP37" s="1152"/>
      <c r="AQ37" s="1152"/>
      <c r="AR37" s="1153"/>
      <c r="AS37" s="1153"/>
      <c r="AT37" s="1153"/>
      <c r="AU37" s="1154"/>
      <c r="AV37" s="1152"/>
      <c r="AW37" s="1152"/>
      <c r="AX37" s="1152"/>
      <c r="AY37" s="1152"/>
    </row>
    <row r="38" spans="2:53" ht="20.25" customHeight="1" thickBot="1">
      <c r="B38" s="1645"/>
      <c r="C38" s="1654"/>
      <c r="D38" s="1075" t="s">
        <v>26</v>
      </c>
      <c r="E38" s="1075" t="s">
        <v>321</v>
      </c>
      <c r="F38" s="519" t="s">
        <v>323</v>
      </c>
      <c r="G38" s="520" t="s">
        <v>24</v>
      </c>
      <c r="H38" s="521"/>
      <c r="I38" s="1660"/>
      <c r="J38" s="1661"/>
      <c r="K38" s="1662"/>
      <c r="L38" s="1664"/>
      <c r="M38" s="1668"/>
      <c r="N38" s="1669"/>
      <c r="O38" s="1670"/>
      <c r="P38" s="1645"/>
      <c r="Q38" s="1107"/>
      <c r="R38" s="1107"/>
      <c r="S38" s="1152"/>
      <c r="T38" s="1153"/>
      <c r="U38" s="1107"/>
      <c r="V38" s="1107"/>
      <c r="W38" s="1107"/>
      <c r="X38" s="1155"/>
      <c r="Y38" s="1107"/>
      <c r="Z38" s="1153"/>
      <c r="AA38" s="1153"/>
      <c r="AB38" s="1153"/>
      <c r="AC38" s="1154"/>
      <c r="AD38" s="1152"/>
      <c r="AE38" s="1152"/>
      <c r="AF38" s="1152"/>
      <c r="AG38" s="1152"/>
      <c r="AH38" s="1107"/>
      <c r="AI38" s="1107"/>
      <c r="AJ38" s="1152"/>
      <c r="AK38" s="1153"/>
      <c r="AL38" s="1107"/>
      <c r="AM38" s="1107"/>
      <c r="AN38" s="1107"/>
      <c r="AO38" s="1107"/>
      <c r="AP38" s="1155"/>
      <c r="AQ38" s="1107"/>
      <c r="AR38" s="1153"/>
      <c r="AS38" s="1153"/>
      <c r="AT38" s="1153"/>
      <c r="AU38" s="1154"/>
      <c r="AV38" s="1152"/>
      <c r="AW38" s="1152"/>
      <c r="AX38" s="1152"/>
      <c r="AY38" s="1152"/>
    </row>
    <row r="39" spans="2:53" s="1098" customFormat="1" ht="98.25" customHeight="1" thickBot="1">
      <c r="B39" s="1126">
        <f>LOOKUP(P39,'ETAT-PAY-VACT'!AH:AH,'ETAT-PAY-VACT'!N:N)</f>
        <v>25698.2</v>
      </c>
      <c r="C39" s="1126">
        <f>LOOKUP(P39,'ETAT-PAY-VACT'!AH:AH,'ETAT-PAY-VACT'!I:I)</f>
        <v>0</v>
      </c>
      <c r="D39" s="1127">
        <f>LOOKUP(P39,'ETAT-PAY-VACT'!AH:AH,'ETAT-PAY-VACT'!J:J)</f>
        <v>0</v>
      </c>
      <c r="E39" s="1127">
        <f>LOOKUP(P39,'ETAT-PAY-VACT'!AH:AH,'ETAT-PAY-VACT'!L:L)</f>
        <v>760.2</v>
      </c>
      <c r="F39" s="1129">
        <f>LOOKUP(P39,'ETAT-PAY-VACT'!AH:AH,'ETAT-PAY-VACT'!M:M)</f>
        <v>0</v>
      </c>
      <c r="G39" s="1646">
        <f>LOOKUP(P39,'ETAT-PAY-VACT'!AH:AH,'ETAT-PAY-VACT'!K:K)</f>
        <v>2312.84</v>
      </c>
      <c r="H39" s="1647"/>
      <c r="I39" s="1646">
        <f>LOOKUP(P39,'ETAT-PAY-VACT'!AH:AH,'ETAT-PAY-VACT'!H:H)</f>
        <v>22625.16</v>
      </c>
      <c r="J39" s="1648"/>
      <c r="K39" s="1649"/>
      <c r="L39" s="1130">
        <f>LOOKUP(P39,'ETAT-PAY-VACT'!AH:AH,'ETAT-PAY-VACT'!D:D)</f>
        <v>1111111111</v>
      </c>
      <c r="M39" s="1650" t="str">
        <f>LOOKUP(P39,'ETAT-PAY-VACT'!AH:AH,'ETAT-PAY-VACT'!C:C)</f>
        <v>سليم بن سليم</v>
      </c>
      <c r="N39" s="1651"/>
      <c r="O39" s="1652"/>
      <c r="P39" s="1118">
        <f>P29+1</f>
        <v>4</v>
      </c>
      <c r="Q39" s="1109"/>
      <c r="R39" s="1109"/>
      <c r="S39" s="1143"/>
      <c r="T39" s="1143"/>
      <c r="U39" s="1143"/>
      <c r="V39" s="1143"/>
      <c r="W39" s="1144"/>
      <c r="X39" s="1156"/>
      <c r="Y39" s="1156"/>
      <c r="Z39" s="1156"/>
      <c r="AA39" s="1157"/>
      <c r="AB39" s="1157"/>
      <c r="AC39" s="1145"/>
      <c r="AD39" s="1158"/>
      <c r="AE39" s="1159"/>
      <c r="AF39" s="1159"/>
      <c r="AG39" s="1146"/>
      <c r="AH39" s="1109"/>
      <c r="AI39" s="1109"/>
      <c r="AJ39" s="1143"/>
      <c r="AK39" s="1143"/>
      <c r="AL39" s="1143"/>
      <c r="AM39" s="1143"/>
      <c r="AN39" s="1143"/>
      <c r="AO39" s="1144"/>
      <c r="AP39" s="1156"/>
      <c r="AQ39" s="1156"/>
      <c r="AR39" s="1156"/>
      <c r="AS39" s="1157"/>
      <c r="AT39" s="1157"/>
      <c r="AU39" s="1145"/>
      <c r="AV39" s="1158"/>
      <c r="AW39" s="1159"/>
      <c r="AX39" s="1159"/>
      <c r="AY39" s="1146"/>
    </row>
    <row r="40" spans="2:53" s="1103" customFormat="1" ht="21.75" customHeight="1">
      <c r="B40" s="1099"/>
      <c r="C40" s="1100"/>
      <c r="D40" s="1099"/>
      <c r="E40" s="1099"/>
      <c r="F40" s="1101"/>
      <c r="G40" s="1099"/>
      <c r="H40" s="1099"/>
      <c r="I40" s="1099"/>
      <c r="J40" s="1102"/>
      <c r="K40" s="1102"/>
      <c r="L40" s="558"/>
      <c r="M40" s="559"/>
      <c r="N40" s="559"/>
      <c r="O40" s="559"/>
      <c r="P40" s="560"/>
      <c r="Q40" s="1104"/>
      <c r="R40" s="1104"/>
      <c r="S40" s="1099"/>
      <c r="T40" s="1100"/>
      <c r="U40" s="1099"/>
      <c r="V40" s="1099"/>
      <c r="W40" s="1101"/>
      <c r="X40" s="1099"/>
      <c r="Y40" s="1099"/>
      <c r="Z40" s="1099"/>
      <c r="AA40" s="1102"/>
      <c r="AB40" s="1102"/>
      <c r="AC40" s="558"/>
      <c r="AD40" s="559"/>
      <c r="AE40" s="559"/>
      <c r="AF40" s="559"/>
      <c r="AG40" s="1104"/>
      <c r="AH40" s="1104"/>
      <c r="AI40" s="1104"/>
      <c r="AJ40" s="1099"/>
      <c r="AK40" s="1100"/>
      <c r="AL40" s="1099"/>
      <c r="AM40" s="1099"/>
      <c r="AN40" s="1099"/>
      <c r="AO40" s="1101"/>
      <c r="AP40" s="1099"/>
      <c r="AQ40" s="1099"/>
      <c r="AR40" s="1099"/>
      <c r="AS40" s="1102"/>
      <c r="AT40" s="1102"/>
      <c r="AU40" s="558"/>
      <c r="AV40" s="559"/>
      <c r="AW40" s="559"/>
      <c r="AX40" s="559"/>
      <c r="AY40" s="1104"/>
    </row>
    <row r="41" spans="2:53" ht="42.75" customHeight="1">
      <c r="B41" s="1671" t="s">
        <v>306</v>
      </c>
      <c r="C41" s="1672"/>
      <c r="D41" s="1671"/>
      <c r="E41" s="1671"/>
      <c r="F41" s="1671"/>
      <c r="G41" s="1671"/>
      <c r="H41" s="1671"/>
      <c r="I41" s="1671"/>
      <c r="J41" s="1671"/>
      <c r="K41" s="1671"/>
      <c r="L41" s="1671"/>
      <c r="M41" s="1671"/>
      <c r="N41" s="1671"/>
      <c r="O41" s="1671"/>
      <c r="P41" s="1671"/>
      <c r="Q41" s="1076"/>
      <c r="R41" s="1076"/>
      <c r="S41" s="1149"/>
      <c r="T41" s="1149"/>
      <c r="U41" s="1149"/>
      <c r="V41" s="1149"/>
      <c r="W41" s="1149"/>
      <c r="X41" s="1149"/>
      <c r="Y41" s="1149"/>
      <c r="Z41" s="1149"/>
      <c r="AA41" s="1149"/>
      <c r="AB41" s="1149"/>
      <c r="AC41" s="1149"/>
      <c r="AD41" s="1149"/>
      <c r="AE41" s="1149"/>
      <c r="AF41" s="1149"/>
      <c r="AG41" s="1149"/>
      <c r="AH41" s="1076"/>
      <c r="AI41" s="1076"/>
      <c r="AJ41" s="1149"/>
      <c r="AK41" s="1149"/>
      <c r="AL41" s="1149"/>
      <c r="AM41" s="1149"/>
      <c r="AN41" s="1149"/>
      <c r="AO41" s="1149"/>
      <c r="AP41" s="1149"/>
      <c r="AQ41" s="1149"/>
      <c r="AR41" s="1149"/>
      <c r="AS41" s="1149"/>
      <c r="AT41" s="1149"/>
      <c r="AU41" s="1149"/>
      <c r="AV41" s="1149"/>
      <c r="AW41" s="1149"/>
      <c r="AX41" s="1149"/>
      <c r="AY41" s="1149"/>
      <c r="AZ41" s="3"/>
      <c r="BA41" s="3"/>
    </row>
    <row r="42" spans="2:53" ht="30" customHeight="1" thickBot="1">
      <c r="B42" s="505" t="s">
        <v>307</v>
      </c>
      <c r="C42" s="506"/>
      <c r="D42" s="507"/>
      <c r="E42" s="508"/>
      <c r="F42" s="509" t="s">
        <v>308</v>
      </c>
      <c r="G42" s="506"/>
      <c r="H42" s="510"/>
      <c r="I42" s="507"/>
      <c r="J42" s="564"/>
      <c r="K42" s="565"/>
      <c r="L42" s="507"/>
      <c r="M42" s="511"/>
      <c r="P42" s="504"/>
      <c r="Q42" s="504"/>
      <c r="R42" s="1108"/>
      <c r="S42" s="1131"/>
      <c r="T42" s="1105"/>
      <c r="U42" s="1132"/>
      <c r="V42" s="1133"/>
      <c r="W42" s="1134"/>
      <c r="X42" s="1105"/>
      <c r="Y42" s="1135"/>
      <c r="Z42" s="1132"/>
      <c r="AA42" s="1136"/>
      <c r="AB42" s="1132"/>
      <c r="AC42" s="1132"/>
      <c r="AD42" s="1105"/>
      <c r="AE42" s="3"/>
      <c r="AF42" s="3"/>
      <c r="AG42" s="1108"/>
      <c r="AH42" s="1108"/>
      <c r="AI42" s="1108"/>
      <c r="AJ42" s="1131"/>
      <c r="AK42" s="1105"/>
      <c r="AL42" s="1132"/>
      <c r="AM42" s="1133"/>
      <c r="AN42" s="1133"/>
      <c r="AO42" s="1134"/>
      <c r="AP42" s="1105"/>
      <c r="AQ42" s="1135"/>
      <c r="AR42" s="1132"/>
      <c r="AS42" s="1136"/>
      <c r="AT42" s="1132"/>
      <c r="AU42" s="1132"/>
      <c r="AV42" s="1105"/>
      <c r="AW42" s="3"/>
      <c r="AX42" s="3"/>
      <c r="AY42" s="1108"/>
      <c r="AZ42" s="3"/>
      <c r="BA42" s="3"/>
    </row>
    <row r="43" spans="2:53" ht="29.25" customHeight="1" thickBot="1">
      <c r="B43" s="505" t="s">
        <v>773</v>
      </c>
      <c r="C43" s="511"/>
      <c r="D43" s="507"/>
      <c r="E43" s="508"/>
      <c r="F43" s="511" t="s">
        <v>309</v>
      </c>
      <c r="G43" s="511"/>
      <c r="H43" s="510"/>
      <c r="I43" s="566"/>
      <c r="K43" s="561" t="s">
        <v>310</v>
      </c>
      <c r="L43" s="563"/>
      <c r="M43" s="570"/>
      <c r="P43" s="504"/>
      <c r="Q43" s="504"/>
      <c r="R43" s="1108"/>
      <c r="S43" s="1131"/>
      <c r="T43" s="1105"/>
      <c r="U43" s="1132"/>
      <c r="V43" s="1133"/>
      <c r="W43" s="1105"/>
      <c r="X43" s="1105"/>
      <c r="Y43" s="1135"/>
      <c r="Z43" s="1132"/>
      <c r="AA43" s="3"/>
      <c r="AB43" s="1150"/>
      <c r="AC43" s="1132"/>
      <c r="AD43" s="1132"/>
      <c r="AE43" s="3"/>
      <c r="AF43" s="3"/>
      <c r="AG43" s="1108"/>
      <c r="AH43" s="1108"/>
      <c r="AI43" s="1108"/>
      <c r="AJ43" s="1131"/>
      <c r="AK43" s="1105"/>
      <c r="AL43" s="1132"/>
      <c r="AM43" s="1133"/>
      <c r="AN43" s="1133"/>
      <c r="AO43" s="1105"/>
      <c r="AP43" s="1105"/>
      <c r="AQ43" s="1135"/>
      <c r="AR43" s="1132"/>
      <c r="AS43" s="3"/>
      <c r="AT43" s="1150"/>
      <c r="AU43" s="1132"/>
      <c r="AV43" s="1132"/>
      <c r="AW43" s="3"/>
      <c r="AX43" s="3"/>
      <c r="AY43" s="1108"/>
      <c r="AZ43" s="3"/>
      <c r="BA43" s="3"/>
    </row>
    <row r="44" spans="2:53" ht="32.25" customHeight="1" thickBot="1">
      <c r="B44" s="507"/>
      <c r="C44" s="507"/>
      <c r="D44" s="507"/>
      <c r="F44" s="513" t="s">
        <v>247</v>
      </c>
      <c r="G44" s="507"/>
      <c r="H44" s="514" t="s">
        <v>312</v>
      </c>
      <c r="I44" s="507"/>
      <c r="K44" s="561" t="s">
        <v>313</v>
      </c>
      <c r="M44" s="1679" t="s">
        <v>314</v>
      </c>
      <c r="N44" s="1680"/>
      <c r="O44" s="1680"/>
      <c r="P44" s="1681"/>
      <c r="Q44" s="1105"/>
      <c r="R44" s="1105"/>
      <c r="S44" s="1132"/>
      <c r="T44" s="1132"/>
      <c r="U44" s="1132"/>
      <c r="V44" s="1105"/>
      <c r="W44" s="1105"/>
      <c r="X44" s="1132"/>
      <c r="Y44" s="1105"/>
      <c r="Z44" s="1132"/>
      <c r="AA44" s="3"/>
      <c r="AB44" s="1150"/>
      <c r="AC44" s="3"/>
      <c r="AD44" s="1137"/>
      <c r="AE44" s="1137"/>
      <c r="AF44" s="1137"/>
      <c r="AG44" s="1137"/>
      <c r="AH44" s="1105"/>
      <c r="AI44" s="1105"/>
      <c r="AJ44" s="1132"/>
      <c r="AK44" s="1132"/>
      <c r="AL44" s="1132"/>
      <c r="AM44" s="3"/>
      <c r="AN44" s="1105"/>
      <c r="AO44" s="1105"/>
      <c r="AP44" s="1132"/>
      <c r="AQ44" s="1105"/>
      <c r="AR44" s="1132"/>
      <c r="AS44" s="3"/>
      <c r="AT44" s="1150"/>
      <c r="AU44" s="3"/>
      <c r="AV44" s="1137"/>
      <c r="AW44" s="1137"/>
      <c r="AX44" s="1137"/>
      <c r="AY44" s="1137"/>
      <c r="AZ44" s="3"/>
      <c r="BA44" s="3"/>
    </row>
    <row r="45" spans="2:53" ht="30" customHeight="1" thickBot="1">
      <c r="B45" s="556" t="str">
        <f ca="1">B35</f>
        <v>أجـــرة شهـــر جوان 2019</v>
      </c>
      <c r="C45" s="557"/>
      <c r="D45" s="557"/>
      <c r="E45" s="515"/>
      <c r="F45" s="516">
        <f>F35</f>
        <v>75</v>
      </c>
      <c r="G45" s="507"/>
      <c r="H45" s="517" t="s">
        <v>107</v>
      </c>
      <c r="I45" s="562"/>
      <c r="K45" s="568" t="s">
        <v>315</v>
      </c>
      <c r="M45" s="1676" t="s">
        <v>561</v>
      </c>
      <c r="N45" s="1677"/>
      <c r="O45" s="1677"/>
      <c r="P45" s="1678"/>
      <c r="Q45" s="1112"/>
      <c r="R45" s="1106"/>
      <c r="S45" s="1137"/>
      <c r="T45" s="1137"/>
      <c r="U45" s="1137"/>
      <c r="V45" s="1132"/>
      <c r="W45" s="1138"/>
      <c r="X45" s="1132"/>
      <c r="Y45" s="1134"/>
      <c r="Z45" s="1132"/>
      <c r="AA45" s="3"/>
      <c r="AB45" s="1150"/>
      <c r="AC45" s="3"/>
      <c r="AD45" s="1151"/>
      <c r="AE45" s="1151"/>
      <c r="AF45" s="1151"/>
      <c r="AG45" s="1151"/>
      <c r="AH45" s="1106"/>
      <c r="AI45" s="1106"/>
      <c r="AJ45" s="1137"/>
      <c r="AK45" s="1137"/>
      <c r="AL45" s="1137"/>
      <c r="AM45" s="1132"/>
      <c r="AN45" s="1132"/>
      <c r="AO45" s="1138"/>
      <c r="AP45" s="1132"/>
      <c r="AQ45" s="1134"/>
      <c r="AR45" s="1132"/>
      <c r="AS45" s="3"/>
      <c r="AT45" s="1150"/>
      <c r="AU45" s="3"/>
      <c r="AV45" s="1151"/>
      <c r="AW45" s="1151"/>
      <c r="AX45" s="1151"/>
      <c r="AY45" s="1151"/>
      <c r="AZ45" s="3"/>
      <c r="BA45" s="3"/>
    </row>
    <row r="46" spans="2:53" ht="10.5" customHeight="1" thickBot="1">
      <c r="B46" s="503"/>
      <c r="C46" s="518"/>
      <c r="D46" s="503"/>
      <c r="E46" s="503"/>
      <c r="F46" s="503"/>
      <c r="G46" s="503"/>
      <c r="H46" s="503"/>
      <c r="I46" s="503"/>
      <c r="J46" s="567"/>
      <c r="K46" s="503"/>
      <c r="L46" s="569"/>
      <c r="M46" s="503"/>
      <c r="N46" s="503"/>
      <c r="O46" s="503"/>
      <c r="P46" s="504"/>
      <c r="Q46" s="504"/>
      <c r="R46" s="1108"/>
      <c r="S46" s="1139"/>
      <c r="T46" s="1140"/>
      <c r="U46" s="1139"/>
      <c r="V46" s="1139"/>
      <c r="W46" s="1139"/>
      <c r="X46" s="1139"/>
      <c r="Y46" s="1139"/>
      <c r="Z46" s="1139"/>
      <c r="AA46" s="1141"/>
      <c r="AB46" s="1139"/>
      <c r="AC46" s="1142"/>
      <c r="AD46" s="1139"/>
      <c r="AE46" s="1139"/>
      <c r="AF46" s="1139"/>
      <c r="AG46" s="1108"/>
      <c r="AH46" s="1108"/>
      <c r="AI46" s="1108"/>
      <c r="AJ46" s="1139"/>
      <c r="AK46" s="1140"/>
      <c r="AL46" s="1139"/>
      <c r="AM46" s="1139"/>
      <c r="AN46" s="1139"/>
      <c r="AO46" s="1139"/>
      <c r="AP46" s="1139"/>
      <c r="AQ46" s="1139"/>
      <c r="AR46" s="1139"/>
      <c r="AS46" s="1141"/>
      <c r="AT46" s="1139"/>
      <c r="AU46" s="1142"/>
      <c r="AV46" s="1139"/>
      <c r="AW46" s="1139"/>
      <c r="AX46" s="1139"/>
      <c r="AY46" s="1108"/>
      <c r="AZ46" s="3"/>
      <c r="BA46" s="3"/>
    </row>
    <row r="47" spans="2:53" ht="20.25" customHeight="1" thickBot="1">
      <c r="B47" s="1644" t="s">
        <v>7</v>
      </c>
      <c r="C47" s="1653" t="s">
        <v>316</v>
      </c>
      <c r="D47" s="1655" t="s">
        <v>317</v>
      </c>
      <c r="E47" s="1656"/>
      <c r="F47" s="1656"/>
      <c r="G47" s="1656"/>
      <c r="H47" s="1656"/>
      <c r="I47" s="1657" t="s">
        <v>318</v>
      </c>
      <c r="J47" s="1658"/>
      <c r="K47" s="1659"/>
      <c r="L47" s="1663" t="s">
        <v>319</v>
      </c>
      <c r="M47" s="1665" t="s">
        <v>320</v>
      </c>
      <c r="N47" s="1666"/>
      <c r="O47" s="1667"/>
      <c r="P47" s="1644" t="s">
        <v>19</v>
      </c>
      <c r="Q47" s="1107"/>
      <c r="R47" s="1107"/>
      <c r="S47" s="1152"/>
      <c r="T47" s="1153"/>
      <c r="U47" s="1152"/>
      <c r="V47" s="1152"/>
      <c r="W47" s="1152"/>
      <c r="X47" s="1152"/>
      <c r="Y47" s="1152"/>
      <c r="Z47" s="1153"/>
      <c r="AA47" s="1153"/>
      <c r="AB47" s="1153"/>
      <c r="AC47" s="1154"/>
      <c r="AD47" s="1152"/>
      <c r="AE47" s="1152"/>
      <c r="AF47" s="1152"/>
      <c r="AG47" s="1152"/>
      <c r="AH47" s="1107"/>
      <c r="AI47" s="1107"/>
      <c r="AJ47" s="1152"/>
      <c r="AK47" s="1153"/>
      <c r="AL47" s="1152"/>
      <c r="AM47" s="1152"/>
      <c r="AN47" s="1152"/>
      <c r="AO47" s="1152"/>
      <c r="AP47" s="1152"/>
      <c r="AQ47" s="1152"/>
      <c r="AR47" s="1153"/>
      <c r="AS47" s="1153"/>
      <c r="AT47" s="1153"/>
      <c r="AU47" s="1154"/>
      <c r="AV47" s="1152"/>
      <c r="AW47" s="1152"/>
      <c r="AX47" s="1152"/>
      <c r="AY47" s="1152"/>
      <c r="AZ47" s="3"/>
      <c r="BA47" s="3"/>
    </row>
    <row r="48" spans="2:53" ht="20.25" customHeight="1" thickBot="1">
      <c r="B48" s="1645"/>
      <c r="C48" s="1654"/>
      <c r="D48" s="1075" t="s">
        <v>26</v>
      </c>
      <c r="E48" s="1075" t="s">
        <v>321</v>
      </c>
      <c r="F48" s="519" t="s">
        <v>323</v>
      </c>
      <c r="G48" s="520" t="s">
        <v>24</v>
      </c>
      <c r="H48" s="521"/>
      <c r="I48" s="1660"/>
      <c r="J48" s="1661"/>
      <c r="K48" s="1662"/>
      <c r="L48" s="1664"/>
      <c r="M48" s="1668"/>
      <c r="N48" s="1669"/>
      <c r="O48" s="1670"/>
      <c r="P48" s="1645"/>
      <c r="Q48" s="1107"/>
      <c r="R48" s="1107"/>
      <c r="S48" s="1152"/>
      <c r="T48" s="1153"/>
      <c r="U48" s="1107"/>
      <c r="V48" s="1107"/>
      <c r="W48" s="1107"/>
      <c r="X48" s="1155"/>
      <c r="Y48" s="1107"/>
      <c r="Z48" s="1153"/>
      <c r="AA48" s="1153"/>
      <c r="AB48" s="1153"/>
      <c r="AC48" s="1154"/>
      <c r="AD48" s="1152"/>
      <c r="AE48" s="1152"/>
      <c r="AF48" s="1152"/>
      <c r="AG48" s="1152"/>
      <c r="AH48" s="1107"/>
      <c r="AI48" s="1107"/>
      <c r="AJ48" s="1152"/>
      <c r="AK48" s="1153"/>
      <c r="AL48" s="1107"/>
      <c r="AM48" s="1107"/>
      <c r="AN48" s="1107"/>
      <c r="AO48" s="1107"/>
      <c r="AP48" s="1155"/>
      <c r="AQ48" s="1107"/>
      <c r="AR48" s="1153"/>
      <c r="AS48" s="1153"/>
      <c r="AT48" s="1153"/>
      <c r="AU48" s="1154"/>
      <c r="AV48" s="1152"/>
      <c r="AW48" s="1152"/>
      <c r="AX48" s="1152"/>
      <c r="AY48" s="1152"/>
      <c r="AZ48" s="3"/>
      <c r="BA48" s="3"/>
    </row>
    <row r="49" spans="2:53" s="1098" customFormat="1" ht="98.25" customHeight="1" thickBot="1">
      <c r="B49" s="1126">
        <f>LOOKUP(P49,'ETAT-PAY-VACT'!AH:AH,'ETAT-PAY-VACT'!N:N)</f>
        <v>26831.39</v>
      </c>
      <c r="C49" s="1126">
        <f>LOOKUP(P49,'ETAT-PAY-VACT'!AH:AH,'ETAT-PAY-VACT'!I:I)</f>
        <v>0</v>
      </c>
      <c r="D49" s="1127">
        <f>LOOKUP(P49,'ETAT-PAY-VACT'!AH:AH,'ETAT-PAY-VACT'!J:J)</f>
        <v>0</v>
      </c>
      <c r="E49" s="1127">
        <f>LOOKUP(P49,'ETAT-PAY-VACT'!AH:AH,'ETAT-PAY-VACT'!L:L)</f>
        <v>822</v>
      </c>
      <c r="F49" s="1129">
        <f>LOOKUP(P49,'ETAT-PAY-VACT'!AH:AH,'ETAT-PAY-VACT'!M:M)</f>
        <v>0</v>
      </c>
      <c r="G49" s="1646">
        <f>LOOKUP(P49,'ETAT-PAY-VACT'!AH:AH,'ETAT-PAY-VACT'!K:K)</f>
        <v>2414.83</v>
      </c>
      <c r="H49" s="1647"/>
      <c r="I49" s="1646">
        <f>LOOKUP(P49,'ETAT-PAY-VACT'!AH:AH,'ETAT-PAY-VACT'!H:H)</f>
        <v>23594.560000000001</v>
      </c>
      <c r="J49" s="1648"/>
      <c r="K49" s="1649"/>
      <c r="L49" s="1130">
        <f>LOOKUP(P49,'ETAT-PAY-VACT'!AH:AH,'ETAT-PAY-VACT'!D:D)</f>
        <v>1212114</v>
      </c>
      <c r="M49" s="1650" t="str">
        <f>LOOKUP(P49,'ETAT-PAY-VACT'!AH:AH,'ETAT-PAY-VACT'!C:C)</f>
        <v>مبيىاكمتنيبىامني</v>
      </c>
      <c r="N49" s="1651"/>
      <c r="O49" s="1652"/>
      <c r="P49" s="1118">
        <f>P39+1</f>
        <v>5</v>
      </c>
      <c r="Q49" s="1109"/>
      <c r="R49" s="1109"/>
      <c r="S49" s="1143"/>
      <c r="T49" s="1143"/>
      <c r="U49" s="1143"/>
      <c r="V49" s="1143"/>
      <c r="W49" s="1144"/>
      <c r="X49" s="1156"/>
      <c r="Y49" s="1156"/>
      <c r="Z49" s="1156"/>
      <c r="AA49" s="1157"/>
      <c r="AB49" s="1157"/>
      <c r="AC49" s="1145"/>
      <c r="AD49" s="1158"/>
      <c r="AE49" s="1159"/>
      <c r="AF49" s="1159"/>
      <c r="AG49" s="1146"/>
      <c r="AH49" s="1109"/>
      <c r="AI49" s="1109"/>
      <c r="AJ49" s="1143"/>
      <c r="AK49" s="1143"/>
      <c r="AL49" s="1143"/>
      <c r="AM49" s="1143"/>
      <c r="AN49" s="1143"/>
      <c r="AO49" s="1144"/>
      <c r="AP49" s="1156"/>
      <c r="AQ49" s="1156"/>
      <c r="AR49" s="1156"/>
      <c r="AS49" s="1157"/>
      <c r="AT49" s="1157"/>
      <c r="AU49" s="1145"/>
      <c r="AV49" s="1158"/>
      <c r="AW49" s="1159"/>
      <c r="AX49" s="1159"/>
      <c r="AY49" s="1146"/>
      <c r="AZ49" s="1147"/>
      <c r="BA49" s="1147"/>
    </row>
    <row r="50" spans="2:53" s="1103" customFormat="1" ht="13.5" customHeight="1">
      <c r="B50" s="1099"/>
      <c r="C50" s="1099"/>
      <c r="D50" s="1099"/>
      <c r="E50" s="1099"/>
      <c r="F50" s="1101"/>
      <c r="G50" s="1099"/>
      <c r="H50" s="1099"/>
      <c r="I50" s="1099"/>
      <c r="J50" s="1102"/>
      <c r="K50" s="1102"/>
      <c r="L50" s="558"/>
      <c r="M50" s="559"/>
      <c r="N50" s="559"/>
      <c r="O50" s="559"/>
      <c r="P50" s="560"/>
      <c r="Q50" s="1104"/>
      <c r="R50" s="1104"/>
      <c r="S50" s="1099"/>
      <c r="T50" s="1099"/>
      <c r="U50" s="1099"/>
      <c r="V50" s="1099"/>
      <c r="W50" s="1101"/>
      <c r="X50" s="1099"/>
      <c r="Y50" s="1099"/>
      <c r="Z50" s="1099"/>
      <c r="AA50" s="1102"/>
      <c r="AB50" s="1102"/>
      <c r="AC50" s="558"/>
      <c r="AD50" s="559"/>
      <c r="AE50" s="559"/>
      <c r="AF50" s="559"/>
      <c r="AG50" s="1104"/>
      <c r="AH50" s="1104"/>
      <c r="AI50" s="1104"/>
      <c r="AJ50" s="1099"/>
      <c r="AK50" s="1099"/>
      <c r="AL50" s="1099"/>
      <c r="AM50" s="1099"/>
      <c r="AN50" s="1099"/>
      <c r="AO50" s="1101"/>
      <c r="AP50" s="1099"/>
      <c r="AQ50" s="1099"/>
      <c r="AR50" s="1099"/>
      <c r="AS50" s="1102"/>
      <c r="AT50" s="1102"/>
      <c r="AU50" s="558"/>
      <c r="AV50" s="559"/>
      <c r="AW50" s="559"/>
      <c r="AX50" s="559"/>
      <c r="AY50" s="1104"/>
      <c r="AZ50" s="1148"/>
      <c r="BA50" s="1148"/>
    </row>
    <row r="51" spans="2:53" ht="42.75" customHeight="1">
      <c r="B51" s="1671" t="s">
        <v>306</v>
      </c>
      <c r="C51" s="1672"/>
      <c r="D51" s="1671"/>
      <c r="E51" s="1671"/>
      <c r="F51" s="1671"/>
      <c r="G51" s="1671"/>
      <c r="H51" s="1671"/>
      <c r="I51" s="1671"/>
      <c r="J51" s="1671"/>
      <c r="K51" s="1671"/>
      <c r="L51" s="1671"/>
      <c r="M51" s="1671"/>
      <c r="N51" s="1671"/>
      <c r="O51" s="1671"/>
      <c r="P51" s="1671"/>
      <c r="Q51" s="1076"/>
      <c r="R51" s="1076"/>
      <c r="S51" s="1149"/>
      <c r="T51" s="1149"/>
      <c r="U51" s="1149"/>
      <c r="V51" s="1149"/>
      <c r="W51" s="1149"/>
      <c r="X51" s="1149"/>
      <c r="Y51" s="1149"/>
      <c r="Z51" s="1149"/>
      <c r="AA51" s="1149"/>
      <c r="AB51" s="1149"/>
      <c r="AC51" s="1149"/>
      <c r="AD51" s="1149"/>
      <c r="AE51" s="1149"/>
      <c r="AF51" s="1149"/>
      <c r="AG51" s="1149"/>
      <c r="AH51" s="1076"/>
      <c r="AI51" s="1076"/>
      <c r="AJ51" s="1149"/>
      <c r="AK51" s="1149"/>
      <c r="AL51" s="1149"/>
      <c r="AM51" s="1149"/>
      <c r="AN51" s="1149"/>
      <c r="AO51" s="1149"/>
      <c r="AP51" s="1149"/>
      <c r="AQ51" s="1149"/>
      <c r="AR51" s="1149"/>
      <c r="AS51" s="1149"/>
      <c r="AT51" s="1149"/>
      <c r="AU51" s="1149"/>
      <c r="AV51" s="1149"/>
      <c r="AW51" s="1149"/>
      <c r="AX51" s="1149"/>
      <c r="AY51" s="1149"/>
      <c r="AZ51" s="3"/>
      <c r="BA51" s="3"/>
    </row>
    <row r="52" spans="2:53" ht="30" customHeight="1" thickBot="1">
      <c r="B52" s="505" t="s">
        <v>307</v>
      </c>
      <c r="C52" s="506"/>
      <c r="D52" s="507"/>
      <c r="E52" s="508"/>
      <c r="F52" s="509" t="s">
        <v>308</v>
      </c>
      <c r="G52" s="506"/>
      <c r="H52" s="510"/>
      <c r="I52" s="507"/>
      <c r="J52" s="564"/>
      <c r="K52" s="565"/>
      <c r="L52" s="507"/>
      <c r="M52" s="511"/>
      <c r="P52" s="504"/>
      <c r="Q52" s="504"/>
      <c r="R52" s="1108"/>
      <c r="S52" s="1131"/>
      <c r="T52" s="1105"/>
      <c r="U52" s="1132"/>
      <c r="V52" s="1133"/>
      <c r="W52" s="1134"/>
      <c r="X52" s="1105"/>
      <c r="Y52" s="1135"/>
      <c r="Z52" s="1132"/>
      <c r="AA52" s="1136"/>
      <c r="AB52" s="1132"/>
      <c r="AC52" s="1132"/>
      <c r="AD52" s="1105"/>
      <c r="AE52" s="3"/>
      <c r="AF52" s="3"/>
      <c r="AG52" s="1108"/>
      <c r="AH52" s="1108"/>
      <c r="AI52" s="1108"/>
      <c r="AJ52" s="1131"/>
      <c r="AK52" s="1105"/>
      <c r="AL52" s="1132"/>
      <c r="AM52" s="1133"/>
      <c r="AN52" s="1133"/>
      <c r="AO52" s="1134"/>
      <c r="AP52" s="1105"/>
      <c r="AQ52" s="1135"/>
      <c r="AR52" s="1132"/>
      <c r="AS52" s="1136"/>
      <c r="AT52" s="1132"/>
      <c r="AU52" s="1132"/>
      <c r="AV52" s="1105"/>
      <c r="AW52" s="3"/>
      <c r="AX52" s="3"/>
      <c r="AY52" s="1108"/>
      <c r="AZ52" s="3"/>
      <c r="BA52" s="3"/>
    </row>
    <row r="53" spans="2:53" ht="29.25" customHeight="1" thickBot="1">
      <c r="B53" s="505" t="s">
        <v>773</v>
      </c>
      <c r="C53" s="511"/>
      <c r="D53" s="507"/>
      <c r="E53" s="508"/>
      <c r="F53" s="511" t="s">
        <v>309</v>
      </c>
      <c r="G53" s="511"/>
      <c r="H53" s="510"/>
      <c r="I53" s="566"/>
      <c r="K53" s="561" t="s">
        <v>310</v>
      </c>
      <c r="L53" s="563"/>
      <c r="M53" s="570"/>
      <c r="P53" s="504"/>
      <c r="Q53" s="504"/>
      <c r="R53" s="1108"/>
      <c r="S53" s="1131"/>
      <c r="T53" s="1105"/>
      <c r="U53" s="1132"/>
      <c r="V53" s="1133"/>
      <c r="W53" s="1105"/>
      <c r="X53" s="1105"/>
      <c r="Y53" s="1135"/>
      <c r="Z53" s="1132"/>
      <c r="AA53" s="3"/>
      <c r="AB53" s="1150"/>
      <c r="AC53" s="1132"/>
      <c r="AD53" s="1132"/>
      <c r="AE53" s="3"/>
      <c r="AF53" s="3"/>
      <c r="AG53" s="1108"/>
      <c r="AH53" s="1108"/>
      <c r="AI53" s="1108"/>
      <c r="AJ53" s="1131"/>
      <c r="AK53" s="1105"/>
      <c r="AL53" s="1132"/>
      <c r="AM53" s="1133"/>
      <c r="AN53" s="1133"/>
      <c r="AO53" s="1105"/>
      <c r="AP53" s="1105"/>
      <c r="AQ53" s="1135"/>
      <c r="AR53" s="1132"/>
      <c r="AS53" s="3"/>
      <c r="AT53" s="1150"/>
      <c r="AU53" s="1132"/>
      <c r="AV53" s="1132"/>
      <c r="AW53" s="3"/>
      <c r="AX53" s="3"/>
      <c r="AY53" s="1108"/>
      <c r="AZ53" s="3"/>
      <c r="BA53" s="3"/>
    </row>
    <row r="54" spans="2:53" ht="32.25" customHeight="1" thickBot="1">
      <c r="B54" s="507"/>
      <c r="C54" s="507"/>
      <c r="D54" s="507"/>
      <c r="F54" s="513" t="s">
        <v>247</v>
      </c>
      <c r="G54" s="507"/>
      <c r="H54" s="514" t="s">
        <v>312</v>
      </c>
      <c r="I54" s="507"/>
      <c r="K54" s="561" t="s">
        <v>313</v>
      </c>
      <c r="M54" s="1679" t="s">
        <v>314</v>
      </c>
      <c r="N54" s="1680"/>
      <c r="O54" s="1680"/>
      <c r="P54" s="1681"/>
      <c r="Q54" s="1105"/>
      <c r="R54" s="1105"/>
      <c r="S54" s="1132"/>
      <c r="T54" s="1132"/>
      <c r="U54" s="1132"/>
      <c r="V54" s="1105"/>
      <c r="W54" s="1105"/>
      <c r="X54" s="1132"/>
      <c r="Y54" s="1105"/>
      <c r="Z54" s="1132"/>
      <c r="AA54" s="3"/>
      <c r="AB54" s="1150"/>
      <c r="AC54" s="3"/>
      <c r="AD54" s="1137"/>
      <c r="AE54" s="1137"/>
      <c r="AF54" s="1137"/>
      <c r="AG54" s="1137"/>
      <c r="AH54" s="1105"/>
      <c r="AI54" s="1105"/>
      <c r="AJ54" s="1132"/>
      <c r="AK54" s="1132"/>
      <c r="AL54" s="1132"/>
      <c r="AM54" s="3"/>
      <c r="AN54" s="1105"/>
      <c r="AO54" s="1105"/>
      <c r="AP54" s="1132"/>
      <c r="AQ54" s="1105"/>
      <c r="AR54" s="1132"/>
      <c r="AS54" s="3"/>
      <c r="AT54" s="1150"/>
      <c r="AU54" s="3"/>
      <c r="AV54" s="1137"/>
      <c r="AW54" s="1137"/>
      <c r="AX54" s="1137"/>
      <c r="AY54" s="1137"/>
      <c r="AZ54" s="3"/>
      <c r="BA54" s="3"/>
    </row>
    <row r="55" spans="2:53" ht="30" customHeight="1" thickBot="1">
      <c r="B55" s="556">
        <f>B34</f>
        <v>0</v>
      </c>
      <c r="C55" s="557"/>
      <c r="D55" s="557"/>
      <c r="E55" s="515"/>
      <c r="F55" s="516" t="str">
        <f>F34</f>
        <v>رقم الحوالة</v>
      </c>
      <c r="G55" s="507"/>
      <c r="H55" s="517" t="s">
        <v>107</v>
      </c>
      <c r="I55" s="562"/>
      <c r="K55" s="568" t="s">
        <v>315</v>
      </c>
      <c r="M55" s="1676" t="s">
        <v>561</v>
      </c>
      <c r="N55" s="1677"/>
      <c r="O55" s="1677"/>
      <c r="P55" s="1678"/>
      <c r="Q55" s="1112"/>
      <c r="R55" s="1106"/>
      <c r="S55" s="1137"/>
      <c r="T55" s="1137"/>
      <c r="U55" s="1137"/>
      <c r="V55" s="1132"/>
      <c r="W55" s="1138"/>
      <c r="X55" s="1132"/>
      <c r="Y55" s="1134"/>
      <c r="Z55" s="1132"/>
      <c r="AA55" s="3"/>
      <c r="AB55" s="1150"/>
      <c r="AC55" s="3"/>
      <c r="AD55" s="1151"/>
      <c r="AE55" s="1151"/>
      <c r="AF55" s="1151"/>
      <c r="AG55" s="1151"/>
      <c r="AH55" s="1106"/>
      <c r="AI55" s="1106"/>
      <c r="AJ55" s="1137"/>
      <c r="AK55" s="1137"/>
      <c r="AL55" s="1137"/>
      <c r="AM55" s="1132"/>
      <c r="AN55" s="1132"/>
      <c r="AO55" s="1138"/>
      <c r="AP55" s="1132"/>
      <c r="AQ55" s="1134"/>
      <c r="AR55" s="1132"/>
      <c r="AS55" s="3"/>
      <c r="AT55" s="1150"/>
      <c r="AU55" s="3"/>
      <c r="AV55" s="1151"/>
      <c r="AW55" s="1151"/>
      <c r="AX55" s="1151"/>
      <c r="AY55" s="1151"/>
      <c r="AZ55" s="3"/>
      <c r="BA55" s="3"/>
    </row>
    <row r="56" spans="2:53" ht="10.5" customHeight="1" thickBot="1">
      <c r="B56" s="503"/>
      <c r="C56" s="518"/>
      <c r="D56" s="503"/>
      <c r="E56" s="503"/>
      <c r="F56" s="503"/>
      <c r="G56" s="503"/>
      <c r="H56" s="503"/>
      <c r="I56" s="503"/>
      <c r="J56" s="567"/>
      <c r="K56" s="503"/>
      <c r="L56" s="569"/>
      <c r="M56" s="503"/>
      <c r="N56" s="503"/>
      <c r="O56" s="503"/>
      <c r="P56" s="504"/>
      <c r="Q56" s="504"/>
      <c r="R56" s="1108"/>
      <c r="S56" s="1139"/>
      <c r="T56" s="1140"/>
      <c r="U56" s="1139"/>
      <c r="V56" s="1139"/>
      <c r="W56" s="1139"/>
      <c r="X56" s="1139"/>
      <c r="Y56" s="1139"/>
      <c r="Z56" s="1139"/>
      <c r="AA56" s="1141"/>
      <c r="AB56" s="1139"/>
      <c r="AC56" s="1142"/>
      <c r="AD56" s="1139"/>
      <c r="AE56" s="1139"/>
      <c r="AF56" s="1139"/>
      <c r="AG56" s="1108"/>
      <c r="AH56" s="1108"/>
      <c r="AI56" s="1108"/>
      <c r="AJ56" s="1139"/>
      <c r="AK56" s="1140"/>
      <c r="AL56" s="1139"/>
      <c r="AM56" s="1139"/>
      <c r="AN56" s="1139"/>
      <c r="AO56" s="1139"/>
      <c r="AP56" s="1139"/>
      <c r="AQ56" s="1139"/>
      <c r="AR56" s="1139"/>
      <c r="AS56" s="1141"/>
      <c r="AT56" s="1139"/>
      <c r="AU56" s="1142"/>
      <c r="AV56" s="1139"/>
      <c r="AW56" s="1139"/>
      <c r="AX56" s="1139"/>
      <c r="AY56" s="1108"/>
      <c r="AZ56" s="3"/>
      <c r="BA56" s="3"/>
    </row>
    <row r="57" spans="2:53" ht="20.25" customHeight="1" thickBot="1">
      <c r="B57" s="1644" t="s">
        <v>7</v>
      </c>
      <c r="C57" s="1653" t="s">
        <v>316</v>
      </c>
      <c r="D57" s="1655" t="s">
        <v>317</v>
      </c>
      <c r="E57" s="1656"/>
      <c r="F57" s="1656"/>
      <c r="G57" s="1656"/>
      <c r="H57" s="1656"/>
      <c r="I57" s="1657" t="s">
        <v>318</v>
      </c>
      <c r="J57" s="1658"/>
      <c r="K57" s="1659"/>
      <c r="L57" s="1663" t="s">
        <v>319</v>
      </c>
      <c r="M57" s="1665" t="s">
        <v>320</v>
      </c>
      <c r="N57" s="1666"/>
      <c r="O57" s="1667"/>
      <c r="P57" s="1644" t="s">
        <v>19</v>
      </c>
      <c r="Q57" s="1107"/>
      <c r="R57" s="1107"/>
      <c r="S57" s="1152"/>
      <c r="T57" s="1153"/>
      <c r="U57" s="1152"/>
      <c r="V57" s="1152"/>
      <c r="W57" s="1152"/>
      <c r="X57" s="1152"/>
      <c r="Y57" s="1152"/>
      <c r="Z57" s="1153"/>
      <c r="AA57" s="1153"/>
      <c r="AB57" s="1153"/>
      <c r="AC57" s="1154"/>
      <c r="AD57" s="1152"/>
      <c r="AE57" s="1152"/>
      <c r="AF57" s="1152"/>
      <c r="AG57" s="1152"/>
      <c r="AH57" s="1107"/>
      <c r="AI57" s="1107"/>
      <c r="AJ57" s="1152"/>
      <c r="AK57" s="1153"/>
      <c r="AL57" s="1152"/>
      <c r="AM57" s="1152"/>
      <c r="AN57" s="1152"/>
      <c r="AO57" s="1152"/>
      <c r="AP57" s="1152"/>
      <c r="AQ57" s="1152"/>
      <c r="AR57" s="1153"/>
      <c r="AS57" s="1153"/>
      <c r="AT57" s="1153"/>
      <c r="AU57" s="1154"/>
      <c r="AV57" s="1152"/>
      <c r="AW57" s="1152"/>
      <c r="AX57" s="1152"/>
      <c r="AY57" s="1152"/>
      <c r="AZ57" s="3"/>
      <c r="BA57" s="3"/>
    </row>
    <row r="58" spans="2:53" ht="20.25" customHeight="1" thickBot="1">
      <c r="B58" s="1645"/>
      <c r="C58" s="1654"/>
      <c r="D58" s="1075" t="s">
        <v>26</v>
      </c>
      <c r="E58" s="1075" t="s">
        <v>321</v>
      </c>
      <c r="F58" s="519" t="s">
        <v>323</v>
      </c>
      <c r="G58" s="520" t="s">
        <v>24</v>
      </c>
      <c r="H58" s="521"/>
      <c r="I58" s="1660"/>
      <c r="J58" s="1661"/>
      <c r="K58" s="1662"/>
      <c r="L58" s="1664"/>
      <c r="M58" s="1668"/>
      <c r="N58" s="1669"/>
      <c r="O58" s="1670"/>
      <c r="P58" s="1645"/>
      <c r="Q58" s="1107"/>
      <c r="R58" s="1107"/>
      <c r="S58" s="1152"/>
      <c r="T58" s="1153"/>
      <c r="U58" s="1107"/>
      <c r="V58" s="1107"/>
      <c r="W58" s="1107"/>
      <c r="X58" s="1155"/>
      <c r="Y58" s="1107"/>
      <c r="Z58" s="1153"/>
      <c r="AA58" s="1153"/>
      <c r="AB58" s="1153"/>
      <c r="AC58" s="1154"/>
      <c r="AD58" s="1152"/>
      <c r="AE58" s="1152"/>
      <c r="AF58" s="1152"/>
      <c r="AG58" s="1152"/>
      <c r="AH58" s="1107"/>
      <c r="AI58" s="1107"/>
      <c r="AJ58" s="1152"/>
      <c r="AK58" s="1153"/>
      <c r="AL58" s="1107"/>
      <c r="AM58" s="1107"/>
      <c r="AN58" s="1107"/>
      <c r="AO58" s="1107"/>
      <c r="AP58" s="1155"/>
      <c r="AQ58" s="1107"/>
      <c r="AR58" s="1153"/>
      <c r="AS58" s="1153"/>
      <c r="AT58" s="1153"/>
      <c r="AU58" s="1154"/>
      <c r="AV58" s="1152"/>
      <c r="AW58" s="1152"/>
      <c r="AX58" s="1152"/>
      <c r="AY58" s="1152"/>
      <c r="AZ58" s="3"/>
      <c r="BA58" s="3"/>
    </row>
    <row r="59" spans="2:53" s="1098" customFormat="1" ht="98.25" customHeight="1" thickBot="1">
      <c r="B59" s="1126">
        <f>LOOKUP(P59,'ETAT-PAY-VACT'!AH:AH,'ETAT-PAY-VACT'!N:N)</f>
        <v>25861.15</v>
      </c>
      <c r="C59" s="1126">
        <f>LOOKUP(P59,'ETAT-PAY-VACT'!AH:AH,'ETAT-PAY-VACT'!I:I)</f>
        <v>0</v>
      </c>
      <c r="D59" s="1127">
        <f>LOOKUP(P59,'ETAT-PAY-VACT'!AH:AH,'ETAT-PAY-VACT'!J:J)</f>
        <v>0</v>
      </c>
      <c r="E59" s="1127">
        <f>LOOKUP(P59,'ETAT-PAY-VACT'!AH:AH,'ETAT-PAY-VACT'!L:L)</f>
        <v>709</v>
      </c>
      <c r="F59" s="1129">
        <f>LOOKUP(P59,'ETAT-PAY-VACT'!AH:AH,'ETAT-PAY-VACT'!M:M)</f>
        <v>0</v>
      </c>
      <c r="G59" s="1646">
        <f>LOOKUP(P59,'ETAT-PAY-VACT'!AH:AH,'ETAT-PAY-VACT'!K:K)</f>
        <v>2255.5</v>
      </c>
      <c r="H59" s="1647"/>
      <c r="I59" s="1646">
        <f>LOOKUP(P59,'ETAT-PAY-VACT'!AH:AH,'ETAT-PAY-VACT'!H:H)</f>
        <v>22896.65</v>
      </c>
      <c r="J59" s="1648"/>
      <c r="K59" s="1649"/>
      <c r="L59" s="1130">
        <f>LOOKUP(P59,'ETAT-PAY-VACT'!AH:AH,'ETAT-PAY-VACT'!D:D)</f>
        <v>42525424</v>
      </c>
      <c r="M59" s="1650" t="str">
        <f>LOOKUP(P59,'ETAT-PAY-VACT'!AH:AH,'ETAT-PAY-VACT'!C:C)</f>
        <v>مىلاورؤةلارؤوةلا</v>
      </c>
      <c r="N59" s="1651"/>
      <c r="O59" s="1652"/>
      <c r="P59" s="1118">
        <f>P49+1+1</f>
        <v>7</v>
      </c>
      <c r="Q59" s="1109"/>
      <c r="R59" s="1109"/>
      <c r="S59" s="1143"/>
      <c r="T59" s="1143"/>
      <c r="U59" s="1143"/>
      <c r="V59" s="1143"/>
      <c r="W59" s="1144"/>
      <c r="X59" s="1156"/>
      <c r="Y59" s="1156"/>
      <c r="Z59" s="1156"/>
      <c r="AA59" s="1157"/>
      <c r="AB59" s="1157"/>
      <c r="AC59" s="1145"/>
      <c r="AD59" s="1158"/>
      <c r="AE59" s="1159"/>
      <c r="AF59" s="1159"/>
      <c r="AG59" s="1146"/>
      <c r="AH59" s="1109"/>
      <c r="AI59" s="1109"/>
      <c r="AJ59" s="1143"/>
      <c r="AK59" s="1143"/>
      <c r="AL59" s="1143"/>
      <c r="AM59" s="1143"/>
      <c r="AN59" s="1143"/>
      <c r="AO59" s="1144"/>
      <c r="AP59" s="1156"/>
      <c r="AQ59" s="1156"/>
      <c r="AR59" s="1156"/>
      <c r="AS59" s="1157"/>
      <c r="AT59" s="1157"/>
      <c r="AU59" s="1145"/>
      <c r="AV59" s="1158"/>
      <c r="AW59" s="1159"/>
      <c r="AX59" s="1159"/>
      <c r="AY59" s="1146"/>
      <c r="AZ59" s="1147"/>
      <c r="BA59" s="1147"/>
    </row>
    <row r="60" spans="2:53" s="1103" customFormat="1" ht="13.5" customHeight="1">
      <c r="B60" s="1099"/>
      <c r="C60" s="1099"/>
      <c r="D60" s="1099"/>
      <c r="E60" s="1099"/>
      <c r="F60" s="1101"/>
      <c r="G60" s="1099"/>
      <c r="H60" s="1099"/>
      <c r="I60" s="1099"/>
      <c r="J60" s="1102"/>
      <c r="K60" s="1102"/>
      <c r="L60" s="558"/>
      <c r="M60" s="559"/>
      <c r="N60" s="559"/>
      <c r="O60" s="559"/>
      <c r="P60" s="560"/>
      <c r="Q60" s="1104"/>
      <c r="R60" s="1104"/>
      <c r="S60" s="1099"/>
      <c r="T60" s="1099"/>
      <c r="U60" s="1099"/>
      <c r="V60" s="1099"/>
      <c r="W60" s="1101"/>
      <c r="X60" s="1099"/>
      <c r="Y60" s="1099"/>
      <c r="Z60" s="1099"/>
      <c r="AA60" s="1102"/>
      <c r="AB60" s="1102"/>
      <c r="AC60" s="558"/>
      <c r="AD60" s="559"/>
      <c r="AE60" s="559"/>
      <c r="AF60" s="559"/>
      <c r="AG60" s="1104"/>
      <c r="AH60" s="1104"/>
      <c r="AI60" s="1104"/>
      <c r="AJ60" s="1099"/>
      <c r="AK60" s="1099"/>
      <c r="AL60" s="1099"/>
      <c r="AM60" s="1099"/>
      <c r="AN60" s="1099"/>
      <c r="AO60" s="1101"/>
      <c r="AP60" s="1099"/>
      <c r="AQ60" s="1099"/>
      <c r="AR60" s="1099"/>
      <c r="AS60" s="1102"/>
      <c r="AT60" s="1102"/>
      <c r="AU60" s="558"/>
      <c r="AV60" s="559"/>
      <c r="AW60" s="559"/>
      <c r="AX60" s="559"/>
      <c r="AY60" s="1104"/>
      <c r="AZ60" s="1148"/>
      <c r="BA60" s="1148"/>
    </row>
  </sheetData>
  <mergeCells count="130">
    <mergeCell ref="B1:P1"/>
    <mergeCell ref="S1:AG1"/>
    <mergeCell ref="AJ1:AY1"/>
    <mergeCell ref="M4:P4"/>
    <mergeCell ref="AD4:AG4"/>
    <mergeCell ref="AV4:AY4"/>
    <mergeCell ref="M5:P5"/>
    <mergeCell ref="AD5:AG5"/>
    <mergeCell ref="AV5:AY5"/>
    <mergeCell ref="B7:B8"/>
    <mergeCell ref="C7:C8"/>
    <mergeCell ref="D7:H7"/>
    <mergeCell ref="I7:K8"/>
    <mergeCell ref="L7:L8"/>
    <mergeCell ref="M7:O8"/>
    <mergeCell ref="P7:P8"/>
    <mergeCell ref="AV7:AX8"/>
    <mergeCell ref="AY7:AY8"/>
    <mergeCell ref="AU7:AU8"/>
    <mergeCell ref="AG7:AG8"/>
    <mergeCell ref="AJ7:AJ8"/>
    <mergeCell ref="AK7:AK8"/>
    <mergeCell ref="AL7:AQ7"/>
    <mergeCell ref="AR7:AT8"/>
    <mergeCell ref="S7:S8"/>
    <mergeCell ref="T7:T8"/>
    <mergeCell ref="U7:Y7"/>
    <mergeCell ref="Z7:AB8"/>
    <mergeCell ref="AC7:AC8"/>
    <mergeCell ref="AD7:AF8"/>
    <mergeCell ref="L17:L18"/>
    <mergeCell ref="M17:O18"/>
    <mergeCell ref="AV9:AX9"/>
    <mergeCell ref="B11:P11"/>
    <mergeCell ref="S11:AG11"/>
    <mergeCell ref="M14:P14"/>
    <mergeCell ref="AD14:AG14"/>
    <mergeCell ref="M15:P15"/>
    <mergeCell ref="AD15:AG15"/>
    <mergeCell ref="G9:H9"/>
    <mergeCell ref="I9:K9"/>
    <mergeCell ref="M9:O9"/>
    <mergeCell ref="X9:Y9"/>
    <mergeCell ref="Z9:AB9"/>
    <mergeCell ref="AD9:AF9"/>
    <mergeCell ref="AP9:AQ9"/>
    <mergeCell ref="AR9:AT9"/>
    <mergeCell ref="B21:P21"/>
    <mergeCell ref="S21:AG21"/>
    <mergeCell ref="M24:P24"/>
    <mergeCell ref="AD24:AG24"/>
    <mergeCell ref="M25:P25"/>
    <mergeCell ref="AD25:AG25"/>
    <mergeCell ref="AD17:AF18"/>
    <mergeCell ref="AG17:AG18"/>
    <mergeCell ref="G19:H19"/>
    <mergeCell ref="I19:K19"/>
    <mergeCell ref="M19:O19"/>
    <mergeCell ref="X19:Y19"/>
    <mergeCell ref="Z19:AB19"/>
    <mergeCell ref="AD19:AF19"/>
    <mergeCell ref="P17:P18"/>
    <mergeCell ref="S17:S18"/>
    <mergeCell ref="T17:T18"/>
    <mergeCell ref="U17:Y17"/>
    <mergeCell ref="Z17:AB18"/>
    <mergeCell ref="AC17:AC18"/>
    <mergeCell ref="B17:B18"/>
    <mergeCell ref="C17:C18"/>
    <mergeCell ref="D17:H17"/>
    <mergeCell ref="I17:K18"/>
    <mergeCell ref="B31:P31"/>
    <mergeCell ref="M34:P34"/>
    <mergeCell ref="M35:P35"/>
    <mergeCell ref="AD27:AF28"/>
    <mergeCell ref="AG27:AG28"/>
    <mergeCell ref="G29:H29"/>
    <mergeCell ref="I29:K29"/>
    <mergeCell ref="M29:O29"/>
    <mergeCell ref="X29:Y29"/>
    <mergeCell ref="Z29:AB29"/>
    <mergeCell ref="AD29:AF29"/>
    <mergeCell ref="P27:P28"/>
    <mergeCell ref="S27:S28"/>
    <mergeCell ref="T27:T28"/>
    <mergeCell ref="U27:Y27"/>
    <mergeCell ref="Z27:AB28"/>
    <mergeCell ref="AC27:AC28"/>
    <mergeCell ref="B27:B28"/>
    <mergeCell ref="C27:C28"/>
    <mergeCell ref="D27:H27"/>
    <mergeCell ref="I27:K28"/>
    <mergeCell ref="L27:L28"/>
    <mergeCell ref="M27:O28"/>
    <mergeCell ref="B41:P41"/>
    <mergeCell ref="M44:P44"/>
    <mergeCell ref="M45:P45"/>
    <mergeCell ref="G39:H39"/>
    <mergeCell ref="I39:K39"/>
    <mergeCell ref="M39:O39"/>
    <mergeCell ref="P37:P38"/>
    <mergeCell ref="B37:B38"/>
    <mergeCell ref="C37:C38"/>
    <mergeCell ref="D37:H37"/>
    <mergeCell ref="I37:K38"/>
    <mergeCell ref="L37:L38"/>
    <mergeCell ref="M37:O38"/>
    <mergeCell ref="B51:P51"/>
    <mergeCell ref="M54:P54"/>
    <mergeCell ref="M55:P55"/>
    <mergeCell ref="G49:H49"/>
    <mergeCell ref="I49:K49"/>
    <mergeCell ref="M49:O49"/>
    <mergeCell ref="P47:P48"/>
    <mergeCell ref="B47:B48"/>
    <mergeCell ref="C47:C48"/>
    <mergeCell ref="D47:H47"/>
    <mergeCell ref="I47:K48"/>
    <mergeCell ref="L47:L48"/>
    <mergeCell ref="M47:O48"/>
    <mergeCell ref="G59:H59"/>
    <mergeCell ref="I59:K59"/>
    <mergeCell ref="M59:O59"/>
    <mergeCell ref="P57:P58"/>
    <mergeCell ref="B57:B58"/>
    <mergeCell ref="C57:C58"/>
    <mergeCell ref="D57:H57"/>
    <mergeCell ref="I57:K58"/>
    <mergeCell ref="L57:L58"/>
    <mergeCell ref="M57:O58"/>
  </mergeCells>
  <printOptions horizontalCentered="1"/>
  <pageMargins left="0.19685039370078741" right="0.19685039370078741" top="0" bottom="0" header="0" footer="0"/>
  <pageSetup paperSize="9" scale="60" orientation="landscape" horizontalDpi="180" verticalDpi="180" r:id="rId1"/>
  <headerFooter alignWithMargins="0"/>
  <drawing r:id="rId2"/>
</worksheet>
</file>

<file path=xl/worksheets/sheet33.xml><?xml version="1.0" encoding="utf-8"?>
<worksheet xmlns="http://schemas.openxmlformats.org/spreadsheetml/2006/main" xmlns:r="http://schemas.openxmlformats.org/officeDocument/2006/relationships">
  <dimension ref="A1:Y30"/>
  <sheetViews>
    <sheetView rightToLeft="1" zoomScale="70" zoomScaleNormal="70" zoomScalePageLayoutView="60" workbookViewId="0">
      <selection activeCell="F10" sqref="F10"/>
    </sheetView>
  </sheetViews>
  <sheetFormatPr baseColWidth="10" defaultColWidth="0" defaultRowHeight="12.75" customHeight="1" zeroHeight="1"/>
  <cols>
    <col min="1" max="1" width="3.85546875" customWidth="1"/>
    <col min="2" max="4" width="13.28515625" customWidth="1"/>
    <col min="5" max="5" width="23.7109375" customWidth="1"/>
    <col min="6" max="6" width="26.140625" customWidth="1"/>
    <col min="7" max="7" width="3.85546875" customWidth="1"/>
    <col min="8" max="8" width="7" customWidth="1"/>
    <col min="9" max="11" width="13.28515625" customWidth="1"/>
    <col min="12" max="12" width="19.5703125" customWidth="1"/>
    <col min="13" max="14" width="26.140625" customWidth="1"/>
    <col min="15" max="20" width="11.42578125" customWidth="1"/>
    <col min="21" max="25" width="0" hidden="1" customWidth="1"/>
    <col min="26" max="16384" width="11.42578125" hidden="1"/>
  </cols>
  <sheetData>
    <row r="1" spans="2:25"/>
    <row r="2" spans="2:25" s="989" customFormat="1" ht="36.75" customHeight="1">
      <c r="B2" s="1745" t="s">
        <v>1</v>
      </c>
      <c r="C2" s="1745"/>
      <c r="D2" s="1745"/>
      <c r="E2" s="1745"/>
      <c r="F2" s="1745"/>
      <c r="G2" s="1043"/>
      <c r="H2" s="1043"/>
      <c r="I2" s="1745" t="s">
        <v>1</v>
      </c>
      <c r="J2" s="1745"/>
      <c r="K2" s="1745"/>
      <c r="L2" s="1745"/>
      <c r="M2" s="1745"/>
      <c r="N2" s="1043"/>
    </row>
    <row r="3" spans="2:25" s="989" customFormat="1" ht="24.75">
      <c r="B3" s="1357" t="s">
        <v>771</v>
      </c>
      <c r="I3" s="1357" t="str">
        <f>B3</f>
        <v>مديرية أ,,,,,,,,,, لولاية ,,,,,,,,,</v>
      </c>
    </row>
    <row r="4" spans="2:25" s="989" customFormat="1" ht="15"/>
    <row r="5" spans="2:25" s="989" customFormat="1" ht="15"/>
    <row r="6" spans="2:25" s="989" customFormat="1" ht="31.5">
      <c r="B6" s="990" t="s">
        <v>663</v>
      </c>
      <c r="C6" s="1332">
        <v>48</v>
      </c>
      <c r="E6" s="1029"/>
      <c r="F6" s="1029" t="s">
        <v>664</v>
      </c>
      <c r="G6" s="1029"/>
      <c r="H6" s="1029"/>
      <c r="I6" s="990" t="s">
        <v>663</v>
      </c>
      <c r="J6" s="991">
        <f>C6</f>
        <v>48</v>
      </c>
      <c r="L6" s="1029" t="s">
        <v>665</v>
      </c>
      <c r="N6" s="1029"/>
      <c r="Q6" s="1029"/>
      <c r="R6" s="992"/>
      <c r="S6" s="992"/>
    </row>
    <row r="7" spans="2:25" s="989" customFormat="1" ht="15.75">
      <c r="F7" s="1048" t="str">
        <f ca="1">CONCATENATE("السنــة : ",YEAR(TODAY()))</f>
        <v>السنــة : 2019</v>
      </c>
      <c r="G7" s="1048"/>
      <c r="H7" s="1048"/>
      <c r="M7" s="1048" t="str">
        <f ca="1">F7</f>
        <v>السنــة : 2019</v>
      </c>
      <c r="N7" s="1048"/>
      <c r="R7" s="992"/>
      <c r="S7" s="992"/>
    </row>
    <row r="8" spans="2:25" s="989" customFormat="1" ht="15">
      <c r="R8" s="992"/>
      <c r="S8" s="992"/>
      <c r="X8" s="992"/>
    </row>
    <row r="9" spans="2:25" s="989" customFormat="1" ht="15">
      <c r="R9" s="992"/>
      <c r="X9" s="992"/>
      <c r="Y9" s="992"/>
    </row>
    <row r="10" spans="2:25" s="285" customFormat="1" ht="23.25">
      <c r="B10" s="993" t="s">
        <v>666</v>
      </c>
      <c r="C10" s="1041" t="str">
        <f>LOOKUP(C6,'BRD-Titr-PRS-VAC'!B10:B46,'BRD-Titr-PRS-VAC'!C10:C46)</f>
        <v/>
      </c>
      <c r="D10" s="1041"/>
      <c r="F10" s="274" t="e">
        <f>VLOOKUP(C6,Tabtitrvac,'BRD-Titr-PRS-VAC'!B10+7,FALSE)</f>
        <v>#N/A</v>
      </c>
      <c r="G10" s="1058"/>
      <c r="H10" s="274"/>
      <c r="I10" s="993" t="s">
        <v>666</v>
      </c>
      <c r="J10" s="1041" t="str">
        <f>C10</f>
        <v/>
      </c>
      <c r="K10" s="1041"/>
      <c r="M10" s="274" t="e">
        <f>F10</f>
        <v>#N/A</v>
      </c>
      <c r="N10" s="274"/>
      <c r="R10" s="994"/>
      <c r="S10" s="994"/>
    </row>
    <row r="11" spans="2:25" s="285" customFormat="1" ht="23.25">
      <c r="B11" s="993"/>
      <c r="C11" s="1030"/>
      <c r="D11" s="1030"/>
      <c r="E11" s="274"/>
      <c r="G11" s="159"/>
      <c r="I11" s="993"/>
      <c r="J11" s="1030"/>
      <c r="K11" s="1030"/>
      <c r="L11" s="274"/>
      <c r="R11" s="994"/>
      <c r="S11" s="994"/>
    </row>
    <row r="12" spans="2:25" s="285" customFormat="1" ht="23.25">
      <c r="B12" s="993"/>
      <c r="C12" s="1030"/>
      <c r="D12" s="1030"/>
      <c r="E12" s="274"/>
      <c r="G12" s="159"/>
      <c r="I12" s="993"/>
      <c r="J12" s="1030"/>
      <c r="K12" s="1030"/>
      <c r="L12" s="274"/>
      <c r="R12" s="994"/>
      <c r="S12" s="994"/>
    </row>
    <row r="13" spans="2:25" s="285" customFormat="1" ht="23.25">
      <c r="B13" s="993"/>
      <c r="C13" s="1030"/>
      <c r="D13" s="1030"/>
      <c r="E13" s="274"/>
      <c r="H13" s="159"/>
      <c r="I13" s="993"/>
      <c r="J13" s="1030"/>
      <c r="K13" s="1030"/>
      <c r="L13" s="274"/>
      <c r="R13" s="994"/>
      <c r="S13" s="994"/>
    </row>
    <row r="14" spans="2:25" s="989" customFormat="1" ht="58.5" customHeight="1">
      <c r="B14" s="1690" t="s">
        <v>686</v>
      </c>
      <c r="C14" s="1690"/>
      <c r="D14" s="1690"/>
      <c r="E14" s="1690"/>
      <c r="F14" s="1690"/>
      <c r="G14" s="1049"/>
      <c r="H14" s="1057"/>
      <c r="I14" s="1691" t="s">
        <v>685</v>
      </c>
      <c r="J14" s="1691"/>
      <c r="K14" s="1691"/>
      <c r="L14" s="1691"/>
      <c r="M14" s="1691"/>
      <c r="N14" s="1061"/>
      <c r="S14" s="992"/>
    </row>
    <row r="15" spans="2:25" s="989" customFormat="1" ht="15.75">
      <c r="B15" s="996"/>
      <c r="C15" s="996"/>
      <c r="D15" s="996"/>
      <c r="E15" s="996"/>
      <c r="F15" s="996"/>
      <c r="G15" s="1059"/>
      <c r="H15" s="996"/>
      <c r="I15" s="996"/>
      <c r="J15" s="996"/>
      <c r="K15" s="996"/>
      <c r="L15" s="996"/>
      <c r="M15" s="996"/>
      <c r="N15" s="996"/>
      <c r="R15" s="992"/>
      <c r="V15" s="992"/>
    </row>
    <row r="16" spans="2:25" s="997" customFormat="1" ht="24.75">
      <c r="B16" s="1042" t="s">
        <v>667</v>
      </c>
      <c r="C16" s="996"/>
      <c r="D16" s="996"/>
      <c r="E16" s="996"/>
      <c r="F16" s="996"/>
      <c r="G16" s="996"/>
      <c r="H16" s="996"/>
      <c r="I16" s="1042" t="s">
        <v>667</v>
      </c>
      <c r="J16" s="996"/>
      <c r="K16" s="996"/>
      <c r="L16" s="996"/>
      <c r="M16" s="996"/>
      <c r="N16" s="996"/>
    </row>
    <row r="17" spans="2:14" s="997" customFormat="1" ht="15.75">
      <c r="B17" s="996"/>
      <c r="C17" s="996"/>
      <c r="D17" s="996"/>
      <c r="E17" s="996"/>
      <c r="F17" s="996"/>
      <c r="G17" s="996"/>
      <c r="H17" s="996"/>
      <c r="I17" s="996"/>
      <c r="J17" s="996"/>
      <c r="K17" s="996"/>
      <c r="L17" s="996"/>
      <c r="M17" s="996"/>
      <c r="N17" s="996"/>
    </row>
    <row r="18" spans="2:14" s="989" customFormat="1" ht="40.5" customHeight="1">
      <c r="B18" s="1683" t="s">
        <v>668</v>
      </c>
      <c r="C18" s="1684"/>
      <c r="D18" s="1684"/>
      <c r="E18" s="1685"/>
      <c r="F18" s="1031" t="s">
        <v>669</v>
      </c>
      <c r="G18" s="1053"/>
      <c r="H18" s="1052"/>
      <c r="I18" s="1683" t="s">
        <v>668</v>
      </c>
      <c r="J18" s="1684"/>
      <c r="K18" s="1684"/>
      <c r="L18" s="1685"/>
      <c r="M18" s="1031" t="s">
        <v>669</v>
      </c>
      <c r="N18" s="1062"/>
    </row>
    <row r="19" spans="2:14" s="998" customFormat="1" ht="166.5" customHeight="1">
      <c r="B19" s="1687" t="e">
        <f>VLOOKUP(C6,Tabtitrvac,'BRD-Titr-PRS-VAC'!B10+2,FALSE)</f>
        <v>#N/A</v>
      </c>
      <c r="C19" s="1688"/>
      <c r="D19" s="1689"/>
      <c r="E19" s="1065" t="str">
        <f ca="1">CONCATENATE("من أجرة شهر  ",الرئيسية!N8,YEAR(TODAY()))</f>
        <v>من أجرة شهر  جوان2019</v>
      </c>
      <c r="F19" s="1066" t="e">
        <f>VLOOKUP(C6,Tabtitrvac,'BRD-Titr-PRS-VAC'!B10+6,FALSE)</f>
        <v>#N/A</v>
      </c>
      <c r="G19" s="1051"/>
      <c r="H19" s="1054"/>
      <c r="I19" s="1687" t="e">
        <f>B19</f>
        <v>#N/A</v>
      </c>
      <c r="J19" s="1688"/>
      <c r="K19" s="1689"/>
      <c r="L19" s="1047" t="str">
        <f ca="1">E19</f>
        <v>من أجرة شهر  جوان2019</v>
      </c>
      <c r="M19" s="1066" t="e">
        <f>F19</f>
        <v>#N/A</v>
      </c>
      <c r="N19" s="1054"/>
    </row>
    <row r="20" spans="2:14" s="989" customFormat="1" ht="33" customHeight="1">
      <c r="B20" s="1695" t="s">
        <v>670</v>
      </c>
      <c r="C20" s="1695"/>
      <c r="D20" s="1695"/>
      <c r="E20" s="1695"/>
      <c r="F20" s="1046" t="e">
        <f>SUM(F19:F19)</f>
        <v>#N/A</v>
      </c>
      <c r="G20" s="1056"/>
      <c r="H20" s="1055"/>
      <c r="I20" s="1692" t="s">
        <v>670</v>
      </c>
      <c r="J20" s="1693"/>
      <c r="K20" s="1693"/>
      <c r="L20" s="1694"/>
      <c r="M20" s="1046" t="e">
        <f>SUM(M19:M19)</f>
        <v>#N/A</v>
      </c>
      <c r="N20" s="1063"/>
    </row>
    <row r="21" spans="2:14" s="989" customFormat="1" ht="20.25">
      <c r="B21" s="999"/>
      <c r="C21" s="999"/>
      <c r="D21" s="1000"/>
      <c r="E21" s="1000"/>
      <c r="F21" s="1000"/>
      <c r="G21" s="1000"/>
      <c r="H21" s="1000"/>
      <c r="I21" s="999"/>
      <c r="J21" s="999"/>
      <c r="K21" s="1000"/>
      <c r="L21" s="1000"/>
      <c r="M21" s="1000"/>
      <c r="N21" s="1000"/>
    </row>
    <row r="22" spans="2:14" s="1001" customFormat="1" ht="20.25">
      <c r="B22" s="1682" t="e">
        <f>CONCATENATE("حدد هذا الإشعار عند مبلغ :",[1]!Arreta(F20))</f>
        <v>#VALUE!</v>
      </c>
      <c r="C22" s="1682"/>
      <c r="D22" s="1682"/>
      <c r="E22" s="1682"/>
      <c r="F22" s="1682"/>
      <c r="G22" s="1060"/>
      <c r="I22" s="1682" t="e">
        <f>B22</f>
        <v>#VALUE!</v>
      </c>
      <c r="J22" s="1682"/>
      <c r="K22" s="1682"/>
      <c r="L22" s="1682"/>
      <c r="M22" s="1682"/>
    </row>
    <row r="23" spans="2:14" s="989" customFormat="1" ht="15">
      <c r="B23" s="1682"/>
      <c r="C23" s="1682"/>
      <c r="D23" s="1682"/>
      <c r="E23" s="1682"/>
      <c r="F23" s="1682"/>
      <c r="I23" s="1682"/>
      <c r="J23" s="1682"/>
      <c r="K23" s="1682"/>
      <c r="L23" s="1682"/>
      <c r="M23" s="1682"/>
    </row>
    <row r="24" spans="2:14" s="995" customFormat="1" ht="18">
      <c r="E24" s="1358" t="s">
        <v>772</v>
      </c>
      <c r="F24" s="1050">
        <f>الرئيسية!N10</f>
        <v>43617</v>
      </c>
      <c r="G24" s="1050"/>
      <c r="H24" s="1050"/>
      <c r="L24" s="1358" t="str">
        <f>E24</f>
        <v>الولاية في :</v>
      </c>
      <c r="M24" s="1050">
        <f>F24</f>
        <v>43617</v>
      </c>
      <c r="N24" s="1050"/>
    </row>
    <row r="25" spans="2:14" ht="12.75" customHeight="1">
      <c r="E25" s="1045"/>
    </row>
    <row r="26" spans="2:14"/>
    <row r="27" spans="2:14"/>
    <row r="28" spans="2:14"/>
    <row r="29" spans="2:14"/>
    <row r="30" spans="2:14" hidden="1"/>
  </sheetData>
  <mergeCells count="12">
    <mergeCell ref="B2:F2"/>
    <mergeCell ref="I2:M2"/>
    <mergeCell ref="B14:F14"/>
    <mergeCell ref="I14:M14"/>
    <mergeCell ref="B18:E18"/>
    <mergeCell ref="I18:L18"/>
    <mergeCell ref="B19:D19"/>
    <mergeCell ref="I19:K19"/>
    <mergeCell ref="B20:E20"/>
    <mergeCell ref="I20:L20"/>
    <mergeCell ref="B22:F23"/>
    <mergeCell ref="I22:M23"/>
  </mergeCells>
  <dataValidations count="1">
    <dataValidation type="list" allowBlank="1" showInputMessage="1" showErrorMessage="1" sqref="C6">
      <formula1>'BRD-Titr-PRS-VAC'!B10:B46</formula1>
    </dataValidation>
  </dataValidations>
  <printOptions horizontalCentered="1"/>
  <pageMargins left="0" right="0" top="0.74803149606299213" bottom="0.74803149606299213" header="0" footer="0"/>
  <pageSetup paperSize="9" orientation="portrait" horizontalDpi="180" verticalDpi="180" r:id="rId1"/>
  <drawing r:id="rId2"/>
  <legacyDrawing r:id="rId3"/>
</worksheet>
</file>

<file path=xl/worksheets/sheet34.xml><?xml version="1.0" encoding="utf-8"?>
<worksheet xmlns="http://schemas.openxmlformats.org/spreadsheetml/2006/main" xmlns:r="http://schemas.openxmlformats.org/officeDocument/2006/relationships">
  <dimension ref="A1:M51"/>
  <sheetViews>
    <sheetView rightToLeft="1" view="pageBreakPreview" topLeftCell="A4" zoomScale="60" zoomScaleNormal="55" workbookViewId="0">
      <selection activeCell="D11" sqref="D11:D12"/>
    </sheetView>
  </sheetViews>
  <sheetFormatPr baseColWidth="10" defaultRowHeight="18.75"/>
  <cols>
    <col min="1" max="1" width="11.42578125" style="1033"/>
    <col min="2" max="2" width="19.42578125" customWidth="1"/>
    <col min="3" max="3" width="43.140625" customWidth="1"/>
    <col min="4" max="4" width="93.28515625" customWidth="1"/>
    <col min="5" max="5" width="19.42578125" customWidth="1"/>
    <col min="6" max="6" width="29.28515625" customWidth="1"/>
    <col min="7" max="7" width="23.28515625" customWidth="1"/>
    <col min="8" max="8" width="22.140625" customWidth="1"/>
    <col min="11" max="13" width="0" hidden="1" customWidth="1"/>
  </cols>
  <sheetData>
    <row r="1" spans="1:13" ht="33.75" customHeight="1"/>
    <row r="2" spans="1:13" ht="33.75" customHeight="1"/>
    <row r="3" spans="1:13" ht="33.75" customHeight="1" thickBot="1"/>
    <row r="4" spans="1:13" s="2" customFormat="1" ht="30.75" thickBot="1">
      <c r="A4" s="504"/>
      <c r="B4" s="1699"/>
      <c r="C4" s="1699"/>
      <c r="D4" s="1699"/>
      <c r="E4" s="1699"/>
      <c r="F4" s="1699"/>
      <c r="G4" s="1699"/>
      <c r="H4" s="1699"/>
      <c r="K4" s="1032">
        <f>'BRD-Titr-PRS-PERM'!H7</f>
        <v>2</v>
      </c>
      <c r="L4" s="1032">
        <f>'BRD-Titr-PRS-PERM'!B44</f>
        <v>40</v>
      </c>
      <c r="M4" s="1032">
        <f>'BRD-Titr-PRS-PERM'!G49</f>
        <v>124672935.29000001</v>
      </c>
    </row>
    <row r="5" spans="1:13" ht="30">
      <c r="B5" s="1356" t="s">
        <v>769</v>
      </c>
      <c r="C5" s="3"/>
      <c r="D5" s="1700" t="s">
        <v>671</v>
      </c>
      <c r="E5" s="1700"/>
      <c r="F5" s="1003"/>
      <c r="G5" s="3"/>
      <c r="H5" s="3"/>
    </row>
    <row r="6" spans="1:13" ht="25.5">
      <c r="B6" s="1356" t="s">
        <v>770</v>
      </c>
      <c r="C6" s="3"/>
      <c r="D6" s="1701" t="s">
        <v>722</v>
      </c>
      <c r="E6" s="1701"/>
      <c r="G6" s="1004" t="s">
        <v>672</v>
      </c>
      <c r="H6" s="1005">
        <v>2019</v>
      </c>
    </row>
    <row r="7" spans="1:13" ht="20.25">
      <c r="B7" s="3"/>
      <c r="C7" s="3"/>
      <c r="D7" s="1004" t="s">
        <v>723</v>
      </c>
      <c r="E7" s="1746">
        <f>الرئيسية!N10</f>
        <v>43617</v>
      </c>
      <c r="F7" s="1746"/>
      <c r="G7" s="1004" t="s">
        <v>673</v>
      </c>
      <c r="H7" s="1005">
        <f>K4+1</f>
        <v>3</v>
      </c>
    </row>
    <row r="8" spans="1:13" ht="20.25">
      <c r="B8" s="3"/>
      <c r="C8" s="3"/>
      <c r="D8" s="1003"/>
      <c r="E8" s="1003"/>
      <c r="F8" s="1003"/>
      <c r="G8" s="3"/>
      <c r="H8" s="3"/>
    </row>
    <row r="9" spans="1:13" ht="29.25" customHeight="1">
      <c r="A9" s="1034"/>
      <c r="B9" s="1038" t="s">
        <v>19</v>
      </c>
      <c r="C9" s="1038" t="s">
        <v>674</v>
      </c>
      <c r="D9" s="1038" t="s">
        <v>675</v>
      </c>
      <c r="E9" s="1038" t="s">
        <v>676</v>
      </c>
      <c r="F9" s="1038" t="s">
        <v>677</v>
      </c>
      <c r="G9" s="1038" t="s">
        <v>678</v>
      </c>
      <c r="H9" s="1038" t="s">
        <v>679</v>
      </c>
    </row>
    <row r="10" spans="1:13" ht="20.25">
      <c r="A10" s="1034"/>
      <c r="B10" s="1006"/>
      <c r="C10" s="1006"/>
      <c r="D10" s="1007"/>
      <c r="E10" s="1007"/>
      <c r="F10" s="1007"/>
      <c r="G10" s="1008"/>
      <c r="H10" s="1006"/>
    </row>
    <row r="11" spans="1:13" ht="23.25" customHeight="1" thickBot="1">
      <c r="A11" s="1077"/>
      <c r="B11" s="1009">
        <f>IF(A11&gt;0,L4+1,0)</f>
        <v>0</v>
      </c>
      <c r="C11" s="1010" t="str">
        <f>IF(A11=0,"",LOOKUP(A11,'ورقة العمل'!J:J,'ورقة العمل'!K:K))</f>
        <v/>
      </c>
      <c r="D11" s="1696" t="s">
        <v>688</v>
      </c>
      <c r="E11" s="1011" t="s">
        <v>680</v>
      </c>
      <c r="F11" s="1012"/>
      <c r="G11" s="1013">
        <f>IF(A11=0,0,LOOKUP(A11,'ورقة العمل'!J:J,'ورقة العمل'!P:P))</f>
        <v>0</v>
      </c>
      <c r="H11" s="1348" t="str">
        <f>LOOKUP(A11,'VAC-TCMP'!A:A,'VAC-TCMP'!AP:AP)</f>
        <v>عمود مساعد مكان التعيين</v>
      </c>
    </row>
    <row r="12" spans="1:13" ht="23.25">
      <c r="A12" s="1034"/>
      <c r="B12" s="1009"/>
      <c r="C12" s="1015"/>
      <c r="D12" s="1696"/>
      <c r="E12" s="1069" t="s">
        <v>565</v>
      </c>
      <c r="F12" s="1012"/>
      <c r="G12" s="1013"/>
      <c r="H12" s="1348"/>
    </row>
    <row r="13" spans="1:13" ht="9.75" customHeight="1">
      <c r="A13" s="1034"/>
      <c r="B13" s="1009"/>
      <c r="C13" s="1015"/>
      <c r="D13" s="1072"/>
      <c r="E13" s="1012"/>
      <c r="F13" s="1012"/>
      <c r="G13" s="1013"/>
      <c r="H13" s="1348"/>
    </row>
    <row r="14" spans="1:13" ht="24" thickBot="1">
      <c r="A14" s="1077"/>
      <c r="B14" s="1009">
        <f>IF(A14&gt;0,B11+1,B11)</f>
        <v>0</v>
      </c>
      <c r="C14" s="1010" t="str">
        <f>IF(A14=0,"",LOOKUP(A14,'ورقة العمل'!J:J,'ورقة العمل'!K:K))</f>
        <v/>
      </c>
      <c r="D14" s="1696" t="s">
        <v>689</v>
      </c>
      <c r="E14" s="1011" t="s">
        <v>680</v>
      </c>
      <c r="F14" s="1012"/>
      <c r="G14" s="1013">
        <f>IF(A14=0,0,LOOKUP(A14,'ورقة العمل'!J:J,'ورقة العمل'!P:P))</f>
        <v>0</v>
      </c>
      <c r="H14" s="1348" t="str">
        <f>LOOKUP(A14,'VAC-TCMP'!A:A,'VAC-TCMP'!AP:AP)</f>
        <v>عمود مساعد مكان التعيين</v>
      </c>
    </row>
    <row r="15" spans="1:13" ht="23.25">
      <c r="A15" s="1034"/>
      <c r="B15" s="1009"/>
      <c r="C15" s="1010"/>
      <c r="D15" s="1703"/>
      <c r="E15" s="1069" t="s">
        <v>565</v>
      </c>
      <c r="F15" s="1012"/>
      <c r="G15" s="1013"/>
      <c r="H15" s="1348"/>
    </row>
    <row r="16" spans="1:13" ht="9.75" customHeight="1">
      <c r="A16" s="1034"/>
      <c r="B16" s="1009"/>
      <c r="C16" s="1015"/>
      <c r="D16" s="1073"/>
      <c r="E16" s="1012"/>
      <c r="F16" s="1012"/>
      <c r="G16" s="1013"/>
      <c r="H16" s="1348"/>
    </row>
    <row r="17" spans="1:8" ht="24" thickBot="1">
      <c r="A17" s="1077"/>
      <c r="B17" s="1009">
        <f>IF(A17&gt;0,B14+1,B14)</f>
        <v>0</v>
      </c>
      <c r="C17" s="1010" t="str">
        <f>IF(A17=0,"",LOOKUP(A17,'ورقة العمل'!J:J,'ورقة العمل'!K:K))</f>
        <v/>
      </c>
      <c r="D17" s="1696" t="s">
        <v>696</v>
      </c>
      <c r="E17" s="1011" t="s">
        <v>680</v>
      </c>
      <c r="F17" s="1012"/>
      <c r="G17" s="1013">
        <f>IF(A17=0,0,LOOKUP(A17,'ورقة العمل'!J:J,'ورقة العمل'!P:P))</f>
        <v>0</v>
      </c>
      <c r="H17" s="1348" t="str">
        <f>LOOKUP(A17,'VAC-TCMP'!A:A,'VAC-TCMP'!AP:AP)</f>
        <v>عمود مساعد مكان التعيين</v>
      </c>
    </row>
    <row r="18" spans="1:8" ht="23.25">
      <c r="A18" s="1034"/>
      <c r="B18" s="1009"/>
      <c r="C18" s="1010"/>
      <c r="D18" s="1696"/>
      <c r="E18" s="1069" t="s">
        <v>565</v>
      </c>
      <c r="F18" s="1012"/>
      <c r="G18" s="1013"/>
      <c r="H18" s="1348"/>
    </row>
    <row r="19" spans="1:8" ht="9.75" customHeight="1">
      <c r="A19" s="1034"/>
      <c r="B19" s="1009"/>
      <c r="C19" s="1015"/>
      <c r="D19" s="1073"/>
      <c r="E19" s="1012"/>
      <c r="F19" s="1012"/>
      <c r="G19" s="1013"/>
      <c r="H19" s="1348"/>
    </row>
    <row r="20" spans="1:8" ht="24" thickBot="1">
      <c r="A20" s="1077"/>
      <c r="B20" s="1009">
        <f>IF(A20&gt;0,B17+1,B17)</f>
        <v>0</v>
      </c>
      <c r="C20" s="1010" t="str">
        <f>IF(A20=0,"",LOOKUP(A20,'ورقة العمل'!J:J,'ورقة العمل'!K:K))</f>
        <v/>
      </c>
      <c r="D20" s="1696" t="s">
        <v>690</v>
      </c>
      <c r="E20" s="1011" t="s">
        <v>680</v>
      </c>
      <c r="F20" s="1012"/>
      <c r="G20" s="1013">
        <f>IF(A20=0,0,LOOKUP(A20,'ورقة العمل'!J:J,'ورقة العمل'!P:P))</f>
        <v>0</v>
      </c>
      <c r="H20" s="1348" t="str">
        <f>LOOKUP(A20,'VAC-TCMP'!A:A,'VAC-TCMP'!AP:AP)</f>
        <v>عمود مساعد مكان التعيين</v>
      </c>
    </row>
    <row r="21" spans="1:8" ht="23.25">
      <c r="A21" s="1034"/>
      <c r="B21" s="1009"/>
      <c r="C21" s="1010"/>
      <c r="D21" s="1696" t="s">
        <v>687</v>
      </c>
      <c r="E21" s="1069" t="s">
        <v>565</v>
      </c>
      <c r="F21" s="1012"/>
      <c r="G21" s="1013"/>
      <c r="H21" s="1348"/>
    </row>
    <row r="22" spans="1:8" ht="9.75" customHeight="1">
      <c r="A22" s="1034"/>
      <c r="B22" s="1009"/>
      <c r="C22" s="1010"/>
      <c r="D22" s="1074"/>
      <c r="E22" s="1011"/>
      <c r="F22" s="1012"/>
      <c r="G22" s="1013"/>
      <c r="H22" s="1348"/>
    </row>
    <row r="23" spans="1:8" ht="24" thickBot="1">
      <c r="A23" s="1077"/>
      <c r="B23" s="1009">
        <f>IF(A23&gt;0,B20+1,B20)</f>
        <v>0</v>
      </c>
      <c r="C23" s="1010" t="str">
        <f>IF(A23=0,"",LOOKUP(A23,'ورقة العمل'!J:J,'ورقة العمل'!K:K))</f>
        <v/>
      </c>
      <c r="D23" s="1696" t="s">
        <v>691</v>
      </c>
      <c r="E23" s="1011" t="s">
        <v>680</v>
      </c>
      <c r="F23" s="1012"/>
      <c r="G23" s="1013">
        <f>IF(A23=0,0,LOOKUP(A23,'ورقة العمل'!J:J,'ورقة العمل'!P:P))</f>
        <v>0</v>
      </c>
      <c r="H23" s="1348" t="str">
        <f>LOOKUP(A23,'VAC-TCMP'!A:A,'VAC-TCMP'!AP:AP)</f>
        <v>عمود مساعد مكان التعيين</v>
      </c>
    </row>
    <row r="24" spans="1:8" ht="23.25">
      <c r="A24" s="1034"/>
      <c r="B24" s="1009"/>
      <c r="C24" s="1010"/>
      <c r="D24" s="1696" t="str">
        <f>'[2]إسترجاع الأموال '!B111</f>
        <v xml:space="preserve">خصم خمسة ( 05 ) يوم بسبب عطلة مرضية </v>
      </c>
      <c r="E24" s="1069" t="s">
        <v>565</v>
      </c>
      <c r="F24" s="1012"/>
      <c r="G24" s="1013"/>
      <c r="H24" s="1348"/>
    </row>
    <row r="25" spans="1:8" ht="9.75" customHeight="1">
      <c r="A25" s="1034"/>
      <c r="B25" s="1009"/>
      <c r="C25" s="1010"/>
      <c r="D25" s="1074"/>
      <c r="E25" s="1011"/>
      <c r="F25" s="1012"/>
      <c r="G25" s="1013"/>
      <c r="H25" s="1348"/>
    </row>
    <row r="26" spans="1:8" ht="24" thickBot="1">
      <c r="A26" s="1077"/>
      <c r="B26" s="1009">
        <f>IF(A26&gt;0,B23+1,B23)</f>
        <v>0</v>
      </c>
      <c r="C26" s="1010" t="str">
        <f>IF(A26=0,"",LOOKUP(A26,'ورقة العمل'!J:J,'ورقة العمل'!K:K))</f>
        <v/>
      </c>
      <c r="D26" s="1696" t="s">
        <v>692</v>
      </c>
      <c r="E26" s="1011" t="s">
        <v>680</v>
      </c>
      <c r="F26" s="1012"/>
      <c r="G26" s="1013">
        <f>IF(A26=0,0,LOOKUP(A26,'ورقة العمل'!J:J,'ورقة العمل'!P:P))</f>
        <v>0</v>
      </c>
      <c r="H26" s="1348" t="str">
        <f>LOOKUP(A26,'VAC-TCMP'!A:A,'VAC-TCMP'!AP:AP)</f>
        <v>عمود مساعد مكان التعيين</v>
      </c>
    </row>
    <row r="27" spans="1:8" ht="34.5" customHeight="1">
      <c r="A27" s="1034"/>
      <c r="B27" s="1009"/>
      <c r="C27" s="1010"/>
      <c r="D27" s="1696" t="str">
        <f>'[2]إسترجاع الأموال '!B134</f>
        <v xml:space="preserve">خصم عشرة ( 10 ) يوم بسبب عطلة مرضية </v>
      </c>
      <c r="E27" s="1069" t="s">
        <v>565</v>
      </c>
      <c r="F27" s="1012"/>
      <c r="G27" s="1013"/>
      <c r="H27" s="1348"/>
    </row>
    <row r="28" spans="1:8" ht="9.75" customHeight="1">
      <c r="A28" s="1034"/>
      <c r="B28" s="1009"/>
      <c r="C28" s="1010"/>
      <c r="D28" s="1074"/>
      <c r="E28" s="1011"/>
      <c r="F28" s="1012"/>
      <c r="G28" s="1013"/>
      <c r="H28" s="1348"/>
    </row>
    <row r="29" spans="1:8" ht="24" thickBot="1">
      <c r="A29" s="1077"/>
      <c r="B29" s="1009">
        <f>IF(A29&gt;0,B26+1,B26)</f>
        <v>0</v>
      </c>
      <c r="C29" s="1010" t="str">
        <f>IF(A29=0,"",LOOKUP(A29,'ورقة العمل'!J:J,'ورقة العمل'!K:K))</f>
        <v/>
      </c>
      <c r="D29" s="1696" t="s">
        <v>693</v>
      </c>
      <c r="E29" s="1011" t="s">
        <v>680</v>
      </c>
      <c r="F29" s="1012"/>
      <c r="G29" s="1013">
        <f>IF(A29=0,0,LOOKUP(A29,'ورقة العمل'!J:J,'ورقة العمل'!P:P))</f>
        <v>0</v>
      </c>
      <c r="H29" s="1348" t="str">
        <f>LOOKUP(A29,'VAC-TCMP'!A:A,'VAC-TCMP'!AP:AP)</f>
        <v>عمود مساعد مكان التعيين</v>
      </c>
    </row>
    <row r="30" spans="1:8" ht="23.25">
      <c r="A30" s="1034"/>
      <c r="B30" s="1009"/>
      <c r="C30" s="1010"/>
      <c r="D30" s="1696" t="str">
        <f>'[2]إسترجاع الأموال '!B157</f>
        <v xml:space="preserve">خصم يومان ( 02 ) يوم بسبب عطلة مرضية </v>
      </c>
      <c r="E30" s="1069" t="s">
        <v>565</v>
      </c>
      <c r="F30" s="1012"/>
      <c r="G30" s="1013"/>
      <c r="H30" s="1348"/>
    </row>
    <row r="31" spans="1:8" ht="9.75" customHeight="1">
      <c r="A31" s="1034"/>
      <c r="B31" s="1009"/>
      <c r="C31" s="1010"/>
      <c r="D31" s="1074"/>
      <c r="E31" s="1011"/>
      <c r="F31" s="1012"/>
      <c r="G31" s="1013"/>
      <c r="H31" s="1348"/>
    </row>
    <row r="32" spans="1:8" ht="24" thickBot="1">
      <c r="A32" s="1077"/>
      <c r="B32" s="1009">
        <f>IF(A32&gt;0,B29+1,B29)</f>
        <v>0</v>
      </c>
      <c r="C32" s="1010" t="str">
        <f>IF(A32=0,"",LOOKUP(A32,'ورقة العمل'!J:J,'ورقة العمل'!K:K))</f>
        <v/>
      </c>
      <c r="D32" s="1696" t="s">
        <v>694</v>
      </c>
      <c r="E32" s="1011" t="s">
        <v>680</v>
      </c>
      <c r="F32" s="1012"/>
      <c r="G32" s="1013">
        <f>IF(A32=0,0,LOOKUP(A32,'ورقة العمل'!J:J,'ورقة العمل'!P:P))</f>
        <v>0</v>
      </c>
      <c r="H32" s="1348" t="str">
        <f>LOOKUP(A32,'VAC-TCMP'!A:A,'VAC-TCMP'!AP:AP)</f>
        <v>عمود مساعد مكان التعيين</v>
      </c>
    </row>
    <row r="33" spans="1:11" ht="23.25">
      <c r="A33" s="1034"/>
      <c r="B33" s="1009"/>
      <c r="C33" s="1010"/>
      <c r="D33" s="1696" t="str">
        <f>'[2]إسترجاع الأموال '!B180</f>
        <v xml:space="preserve">خصم ثلاثة ( 03 ) يوم بسبب غياب غير شرعي  </v>
      </c>
      <c r="E33" s="1069" t="s">
        <v>565</v>
      </c>
      <c r="F33" s="1012"/>
      <c r="G33" s="1013"/>
      <c r="H33" s="1348"/>
    </row>
    <row r="34" spans="1:11" ht="9.75" customHeight="1">
      <c r="A34" s="1034"/>
      <c r="B34" s="1009"/>
      <c r="C34" s="1010"/>
      <c r="D34" s="1074"/>
      <c r="E34" s="1011"/>
      <c r="F34" s="1012"/>
      <c r="G34" s="1013"/>
      <c r="H34" s="1348"/>
    </row>
    <row r="35" spans="1:11" ht="24" thickBot="1">
      <c r="A35" s="1077"/>
      <c r="B35" s="1009">
        <f>IF(A35&gt;0,B32+1,B32)</f>
        <v>0</v>
      </c>
      <c r="C35" s="1010" t="str">
        <f>IF(A35=0,"",LOOKUP(A35,'ورقة العمل'!J:J,'ورقة العمل'!K:K))</f>
        <v/>
      </c>
      <c r="D35" s="1696" t="s">
        <v>695</v>
      </c>
      <c r="E35" s="1011" t="s">
        <v>680</v>
      </c>
      <c r="F35" s="1012"/>
      <c r="G35" s="1013">
        <f>IF(A35=0,0,LOOKUP(A35,'ورقة العمل'!J:J,'ورقة العمل'!P:P))</f>
        <v>0</v>
      </c>
      <c r="H35" s="1348" t="str">
        <f>LOOKUP(A35,'VAC-TCMP'!A:A,'VAC-TCMP'!AP:AP)</f>
        <v>عمود مساعد مكان التعيين</v>
      </c>
    </row>
    <row r="36" spans="1:11" ht="23.25">
      <c r="A36" s="1034"/>
      <c r="B36" s="1009"/>
      <c r="C36" s="1010"/>
      <c r="D36" s="1696" t="str">
        <f>'[2]إسترجاع الأموال '!B203</f>
        <v>خصم سبعة ( 07 ) يوم بسبب عطلة مرضية</v>
      </c>
      <c r="E36" s="1069" t="s">
        <v>565</v>
      </c>
      <c r="F36" s="1012"/>
      <c r="G36" s="1013"/>
      <c r="H36" s="1348"/>
    </row>
    <row r="37" spans="1:11" ht="9.75" customHeight="1">
      <c r="A37" s="1034"/>
      <c r="B37" s="1044"/>
      <c r="C37" s="1015"/>
      <c r="D37" s="1073"/>
      <c r="E37" s="1012"/>
      <c r="F37" s="1012"/>
      <c r="G37" s="1013"/>
      <c r="H37" s="1348"/>
      <c r="I37" s="1035"/>
      <c r="J37" s="1035"/>
      <c r="K37" s="1035"/>
    </row>
    <row r="38" spans="1:11" ht="24" thickBot="1">
      <c r="A38" s="1077"/>
      <c r="B38" s="1009">
        <f>IF(A38&gt;0,B35+1,B35)</f>
        <v>0</v>
      </c>
      <c r="C38" s="1010" t="str">
        <f>IF(A38=0,"",LOOKUP(A38,'ورقة العمل'!J:J,'ورقة العمل'!K:K))</f>
        <v/>
      </c>
      <c r="D38" s="1696" t="s">
        <v>700</v>
      </c>
      <c r="E38" s="1011" t="s">
        <v>680</v>
      </c>
      <c r="F38" s="1012"/>
      <c r="G38" s="1013">
        <f>IF(A38=0,0,LOOKUP(A38,'ورقة العمل'!J:J,'ورقة العمل'!P:P))</f>
        <v>0</v>
      </c>
      <c r="H38" s="1348" t="str">
        <f>LOOKUP(A38,'VAC-TCMP'!A:A,'VAC-TCMP'!AP:AP)</f>
        <v>عمود مساعد مكان التعيين</v>
      </c>
    </row>
    <row r="39" spans="1:11" ht="23.25">
      <c r="A39" s="1034"/>
      <c r="B39" s="1009"/>
      <c r="C39" s="1010"/>
      <c r="D39" s="1696" t="str">
        <f>'[2]إسترجاع الأموال '!B219</f>
        <v>السيــــد :</v>
      </c>
      <c r="E39" s="1069" t="s">
        <v>565</v>
      </c>
      <c r="F39" s="1012"/>
      <c r="G39" s="1013"/>
      <c r="H39" s="1348"/>
      <c r="I39" s="1035"/>
      <c r="J39" s="1035"/>
      <c r="K39" s="1035"/>
    </row>
    <row r="40" spans="1:11" ht="9.75" customHeight="1">
      <c r="A40" s="1034"/>
      <c r="B40" s="1044"/>
      <c r="C40" s="1015"/>
      <c r="D40" s="1073"/>
      <c r="E40" s="1012"/>
      <c r="F40" s="1012"/>
      <c r="G40" s="1013"/>
      <c r="H40" s="1348"/>
      <c r="I40" s="1035"/>
      <c r="J40" s="1035"/>
      <c r="K40" s="1035"/>
    </row>
    <row r="41" spans="1:11" ht="24" thickBot="1">
      <c r="A41" s="1077"/>
      <c r="B41" s="1009">
        <f>IF(A41&gt;0,B38+1,B38)</f>
        <v>0</v>
      </c>
      <c r="C41" s="1010" t="str">
        <f>IF(A41=0,"",LOOKUP(A41,'ورقة العمل'!J:J,'ورقة العمل'!K:K))</f>
        <v/>
      </c>
      <c r="D41" s="1696" t="s">
        <v>701</v>
      </c>
      <c r="E41" s="1011" t="s">
        <v>680</v>
      </c>
      <c r="F41" s="1012"/>
      <c r="G41" s="1013">
        <f>IF(A41=0,0,LOOKUP(A41,'ورقة العمل'!J:J,'ورقة العمل'!P:P))</f>
        <v>0</v>
      </c>
      <c r="H41" s="1348" t="str">
        <f>LOOKUP(A41,'VAC-TCMP'!A:A,'VAC-TCMP'!AP:AP)</f>
        <v>عمود مساعد مكان التعيين</v>
      </c>
    </row>
    <row r="42" spans="1:11" ht="23.25">
      <c r="A42" s="1034"/>
      <c r="B42" s="1009"/>
      <c r="C42" s="1010"/>
      <c r="D42" s="1696">
        <f>'[2]إسترجاع الأموال '!B223</f>
        <v>0</v>
      </c>
      <c r="E42" s="1069" t="s">
        <v>565</v>
      </c>
      <c r="F42" s="1012"/>
      <c r="G42" s="1013"/>
      <c r="H42" s="1348"/>
      <c r="I42" s="1035"/>
      <c r="J42" s="1035"/>
      <c r="K42" s="1035"/>
    </row>
    <row r="43" spans="1:11" ht="9.75" customHeight="1">
      <c r="A43" s="1034"/>
      <c r="B43" s="1044"/>
      <c r="C43" s="1015"/>
      <c r="D43" s="1073"/>
      <c r="E43" s="1012"/>
      <c r="F43" s="1012"/>
      <c r="G43" s="1013"/>
      <c r="H43" s="1348"/>
      <c r="I43" s="1035"/>
      <c r="J43" s="1035"/>
      <c r="K43" s="1035"/>
    </row>
    <row r="44" spans="1:11" ht="24" thickBot="1">
      <c r="A44" s="1077"/>
      <c r="B44" s="1009">
        <f>IF(A44&gt;0,B41+1,B41)</f>
        <v>0</v>
      </c>
      <c r="C44" s="1010" t="str">
        <f>IF(A44=0,"",LOOKUP(A44,'ورقة العمل'!J:J,'ورقة العمل'!K:K))</f>
        <v/>
      </c>
      <c r="D44" s="1696" t="s">
        <v>702</v>
      </c>
      <c r="E44" s="1011" t="s">
        <v>680</v>
      </c>
      <c r="F44" s="1012"/>
      <c r="G44" s="1013">
        <f>IF(A44=0,0,LOOKUP(A44,'ورقة العمل'!J:J,'ورقة العمل'!P:P))</f>
        <v>0</v>
      </c>
      <c r="H44" s="1348" t="str">
        <f>LOOKUP(A44,'VAC-TCMP'!A:A,'VAC-TCMP'!AP:AP)</f>
        <v>عمود مساعد مكان التعيين</v>
      </c>
    </row>
    <row r="45" spans="1:11" ht="23.25">
      <c r="A45" s="1034"/>
      <c r="B45" s="1009"/>
      <c r="C45" s="1010"/>
      <c r="D45" s="1696" t="str">
        <f>'[2]إسترجاع الأموال '!B226</f>
        <v>خصم يومين ( 02 ) يوم بسبب غياب غير شرعي</v>
      </c>
      <c r="E45" s="1069" t="s">
        <v>565</v>
      </c>
      <c r="F45" s="1012"/>
      <c r="G45" s="1013"/>
      <c r="H45" s="1014"/>
      <c r="I45" s="1035"/>
      <c r="J45" s="1035"/>
      <c r="K45" s="1035"/>
    </row>
    <row r="46" spans="1:11" ht="9.75" customHeight="1">
      <c r="A46" s="1034"/>
      <c r="B46" s="1017"/>
      <c r="C46" s="1015"/>
      <c r="D46" s="1018"/>
      <c r="E46" s="1018"/>
      <c r="F46" s="1018"/>
      <c r="G46" s="1013"/>
      <c r="H46" s="545"/>
      <c r="I46" s="1035"/>
      <c r="J46" s="1035"/>
      <c r="K46" s="1035"/>
    </row>
    <row r="47" spans="1:11" ht="27" customHeight="1">
      <c r="B47" s="1697" t="str">
        <f>CONCATENATE("أوقف هذا الجدول عند المبلغ : ",[1]!Arreta(G49))</f>
        <v>أوقف هذا الجدول عند المبلغ : مائة وأربعة وعشرون مليون وستمائة وإثنان وسبعون ألف وتسعمائة وخمسة وثلاثون دينار جزائري وتسعة وعشرون سنتيما</v>
      </c>
      <c r="C47" s="1697"/>
      <c r="D47" s="1697"/>
      <c r="E47" s="1697"/>
      <c r="F47" s="1039" t="s">
        <v>682</v>
      </c>
      <c r="G47" s="1019">
        <f>SUM(G10:G46)</f>
        <v>0</v>
      </c>
      <c r="H47" s="3"/>
      <c r="I47" s="1035"/>
      <c r="J47" s="1036"/>
      <c r="K47" s="1036"/>
    </row>
    <row r="48" spans="1:11" ht="27" customHeight="1">
      <c r="B48" s="1698"/>
      <c r="C48" s="1698"/>
      <c r="D48" s="1698"/>
      <c r="E48" s="1698"/>
      <c r="F48" s="1040" t="s">
        <v>683</v>
      </c>
      <c r="G48" s="1019">
        <f>M4</f>
        <v>124672935.29000001</v>
      </c>
      <c r="H48" s="3"/>
      <c r="I48" s="1035"/>
      <c r="J48" s="1036"/>
      <c r="K48" s="1037"/>
    </row>
    <row r="49" spans="2:11" ht="27" customHeight="1">
      <c r="B49" s="1698"/>
      <c r="C49" s="1698"/>
      <c r="D49" s="1698"/>
      <c r="E49" s="1698"/>
      <c r="F49" s="1004" t="s">
        <v>684</v>
      </c>
      <c r="G49" s="1019">
        <f>G48+G47</f>
        <v>124672935.29000001</v>
      </c>
      <c r="H49" s="3"/>
      <c r="I49" s="1035"/>
      <c r="J49" s="1035"/>
      <c r="K49" s="1035"/>
    </row>
    <row r="50" spans="2:11">
      <c r="B50" s="1020"/>
      <c r="C50" s="1021"/>
      <c r="D50" s="1022"/>
      <c r="E50" s="1023"/>
      <c r="F50" s="1024"/>
      <c r="G50" s="1025"/>
      <c r="H50" s="1026"/>
      <c r="I50" s="1035"/>
      <c r="J50" s="1035"/>
      <c r="K50" s="1035"/>
    </row>
    <row r="51" spans="2:11" ht="27.75">
      <c r="B51" s="447"/>
      <c r="C51" s="3"/>
      <c r="D51" s="1027"/>
      <c r="E51" s="1028"/>
      <c r="F51" s="1024"/>
      <c r="G51" s="1025"/>
      <c r="H51" s="1026"/>
    </row>
  </sheetData>
  <mergeCells count="17">
    <mergeCell ref="D32:D33"/>
    <mergeCell ref="B4:H4"/>
    <mergeCell ref="D5:E5"/>
    <mergeCell ref="D6:E6"/>
    <mergeCell ref="D11:D12"/>
    <mergeCell ref="D14:D15"/>
    <mergeCell ref="D17:D18"/>
    <mergeCell ref="D20:D21"/>
    <mergeCell ref="D23:D24"/>
    <mergeCell ref="D26:D27"/>
    <mergeCell ref="D29:D30"/>
    <mergeCell ref="E7:F7"/>
    <mergeCell ref="D35:D36"/>
    <mergeCell ref="D38:D39"/>
    <mergeCell ref="D41:D42"/>
    <mergeCell ref="D44:D45"/>
    <mergeCell ref="B47:E49"/>
  </mergeCells>
  <dataValidations count="1">
    <dataValidation type="list" allowBlank="1" showInputMessage="1" showErrorMessage="1" sqref="A11 A14 A17 A20 A23 A26 A29 A32 A35 A38 A41 A44">
      <formula1>'ورقة العمل'!R:R</formula1>
    </dataValidation>
  </dataValidations>
  <printOptions horizontalCentered="1"/>
  <pageMargins left="0" right="0.19685039370078741" top="0.19685039370078741" bottom="0.39370078740157483" header="0" footer="0"/>
  <pageSetup paperSize="9" scale="55" orientation="landscape" horizontalDpi="180" verticalDpi="180" r:id="rId1"/>
  <drawing r:id="rId2"/>
  <legacyDrawing r:id="rId3"/>
</worksheet>
</file>

<file path=xl/worksheets/sheet35.xml><?xml version="1.0" encoding="utf-8"?>
<worksheet xmlns="http://schemas.openxmlformats.org/spreadsheetml/2006/main" xmlns:r="http://schemas.openxmlformats.org/officeDocument/2006/relationships">
  <sheetPr codeName="Feuil4"/>
  <dimension ref="A1:AR499"/>
  <sheetViews>
    <sheetView rightToLeft="1" workbookViewId="0">
      <selection activeCell="D4" sqref="D4"/>
    </sheetView>
  </sheetViews>
  <sheetFormatPr baseColWidth="10" defaultRowHeight="18"/>
  <cols>
    <col min="1" max="1" width="6.140625" style="1" customWidth="1"/>
    <col min="2" max="2" width="19.85546875" style="1" customWidth="1"/>
    <col min="3" max="3" width="30.42578125" style="1" hidden="1" customWidth="1"/>
    <col min="4" max="4" width="28.28515625" style="1" customWidth="1"/>
    <col min="5" max="5" width="19.42578125" style="687" customWidth="1"/>
    <col min="6" max="7" width="13.7109375" style="688" customWidth="1"/>
    <col min="8" max="9" width="13.7109375" style="1095" customWidth="1"/>
    <col min="10" max="10" width="13.7109375" style="688" customWidth="1"/>
    <col min="11" max="11" width="21.28515625" style="821" customWidth="1"/>
    <col min="12" max="12" width="31.5703125" style="821" hidden="1" customWidth="1"/>
    <col min="13" max="13" width="32.5703125" style="821" customWidth="1"/>
    <col min="14" max="16" width="13.7109375" style="688" customWidth="1"/>
    <col min="17" max="18" width="13.7109375" style="1095" customWidth="1"/>
    <col min="19" max="20" width="11.42578125" style="1"/>
    <col min="21" max="22" width="15.42578125" style="1" customWidth="1"/>
    <col min="23" max="23" width="16.140625" style="1" customWidth="1"/>
    <col min="24" max="24" width="25.42578125" style="1" customWidth="1"/>
    <col min="25" max="25" width="11.42578125" style="1"/>
    <col min="26" max="26" width="22.5703125" style="1" bestFit="1" customWidth="1"/>
    <col min="27" max="27" width="21.85546875" style="1" bestFit="1" customWidth="1"/>
    <col min="28" max="28" width="23.28515625" style="1" customWidth="1"/>
    <col min="29" max="29" width="25.28515625" style="1" customWidth="1"/>
    <col min="30" max="36" width="20.140625" style="1" customWidth="1"/>
    <col min="37" max="38" width="22.5703125" style="1" customWidth="1"/>
    <col min="39" max="41" width="19.5703125" style="1" customWidth="1"/>
    <col min="42" max="42" width="25.140625" style="1" customWidth="1"/>
    <col min="43" max="43" width="15" style="1" customWidth="1"/>
    <col min="44" max="44" width="25.140625" style="1" customWidth="1"/>
    <col min="45" max="16384" width="11.42578125" style="1"/>
  </cols>
  <sheetData>
    <row r="1" spans="1:44" ht="58.5" customHeight="1" thickBot="1">
      <c r="A1" s="1082" t="s">
        <v>19</v>
      </c>
      <c r="B1" s="1082" t="s">
        <v>0</v>
      </c>
      <c r="C1" s="1082" t="s">
        <v>334</v>
      </c>
      <c r="D1" s="1082" t="s">
        <v>634</v>
      </c>
      <c r="E1" s="1083" t="s">
        <v>332</v>
      </c>
      <c r="F1" s="1084" t="s">
        <v>333</v>
      </c>
      <c r="G1" s="1084" t="s">
        <v>662</v>
      </c>
      <c r="H1" s="1084" t="s">
        <v>661</v>
      </c>
      <c r="I1" s="1084" t="s">
        <v>703</v>
      </c>
      <c r="J1" s="1080" t="s">
        <v>19</v>
      </c>
      <c r="K1" s="1080" t="s">
        <v>0</v>
      </c>
      <c r="L1" s="1093" t="s">
        <v>334</v>
      </c>
      <c r="M1" s="1093" t="s">
        <v>634</v>
      </c>
      <c r="N1" s="1081" t="s">
        <v>332</v>
      </c>
      <c r="O1" s="1080" t="s">
        <v>333</v>
      </c>
      <c r="P1" s="1080" t="s">
        <v>662</v>
      </c>
      <c r="Q1" s="1080" t="s">
        <v>661</v>
      </c>
      <c r="R1" s="1080" t="s">
        <v>703</v>
      </c>
      <c r="T1" s="814" t="s">
        <v>623</v>
      </c>
      <c r="U1" s="814" t="s">
        <v>624</v>
      </c>
      <c r="V1" s="814" t="s">
        <v>625</v>
      </c>
      <c r="W1" s="900"/>
      <c r="X1" s="902" t="s">
        <v>638</v>
      </c>
      <c r="Y1" s="823" t="s">
        <v>247</v>
      </c>
      <c r="Z1" s="824" t="s">
        <v>35</v>
      </c>
      <c r="AA1" s="824" t="s">
        <v>34</v>
      </c>
      <c r="AB1" s="823" t="s">
        <v>642</v>
      </c>
      <c r="AC1" s="823" t="s">
        <v>7</v>
      </c>
      <c r="AD1" s="823" t="s">
        <v>617</v>
      </c>
      <c r="AE1" s="823" t="s">
        <v>620</v>
      </c>
      <c r="AF1" s="823" t="s">
        <v>557</v>
      </c>
      <c r="AG1" s="823" t="s">
        <v>556</v>
      </c>
      <c r="AH1" s="823" t="s">
        <v>488</v>
      </c>
      <c r="AI1" s="823" t="s">
        <v>26</v>
      </c>
      <c r="AJ1" s="823" t="s">
        <v>635</v>
      </c>
      <c r="AK1" s="824" t="s">
        <v>565</v>
      </c>
      <c r="AL1" s="823" t="s">
        <v>643</v>
      </c>
      <c r="AM1" s="823" t="s">
        <v>639</v>
      </c>
      <c r="AN1" s="823" t="s">
        <v>640</v>
      </c>
      <c r="AO1" s="823" t="s">
        <v>641</v>
      </c>
      <c r="AP1" s="823" t="s">
        <v>652</v>
      </c>
      <c r="AQ1" s="823" t="s">
        <v>657</v>
      </c>
      <c r="AR1" s="823" t="s">
        <v>652</v>
      </c>
    </row>
    <row r="2" spans="1:44" ht="19.5" customHeight="1" thickBot="1">
      <c r="A2" s="1085">
        <f>'Base-D'!A2</f>
        <v>1</v>
      </c>
      <c r="B2" s="1085" t="str">
        <f>'Base-D'!AX2</f>
        <v>لللللللللللللللللللللل</v>
      </c>
      <c r="C2" s="1085" t="str">
        <f>LOOKUP(A2,'Base-D'!A:A,'Base-D'!BP:BP)</f>
        <v>مدير ولائي (مفتش رئيس)</v>
      </c>
      <c r="D2" s="1085" t="str">
        <f>'Base-D'!S2</f>
        <v>لبنك الوطني الجزائري</v>
      </c>
      <c r="E2" s="1086">
        <v>5000</v>
      </c>
      <c r="F2" s="1087"/>
      <c r="G2" s="1087">
        <f>LOOKUP(A2,'ETAT-PAY-PERM'!A:A,'ETAT-PAY-PERM'!J:J)</f>
        <v>0</v>
      </c>
      <c r="H2" s="1094">
        <f>IF(G2&gt;1,1,0)</f>
        <v>0</v>
      </c>
      <c r="I2" s="1094" t="str">
        <f>IF(H2=0,"",A2)</f>
        <v/>
      </c>
      <c r="J2" s="1089">
        <f>'ETAT-PAY-VACT'!A15</f>
        <v>1</v>
      </c>
      <c r="K2" s="1090" t="str">
        <f>'ETAT-PAY-VACT'!C15</f>
        <v>علي علي</v>
      </c>
      <c r="L2" s="1090" t="str">
        <f>LOOKUP(A2,'VAC-TCMP'!A:A,'VAC-TCMP'!D:D)</f>
        <v>عون الوقاية من المستوى الأول</v>
      </c>
      <c r="M2" s="1090" t="str">
        <f>'ETAT-PAY-VACT'!Y15</f>
        <v>بنك التنمية المحلية</v>
      </c>
      <c r="N2" s="1089">
        <v>5000</v>
      </c>
      <c r="O2" s="1089">
        <v>2</v>
      </c>
      <c r="P2" s="1089">
        <f>LOOKUP(J2,'ETAT-PAY-VACT'!A:A,'ETAT-PAY-VACT'!J:J)</f>
        <v>1830.73</v>
      </c>
      <c r="Q2" s="1096">
        <f>IF(P2&gt;1,1,0)</f>
        <v>1</v>
      </c>
      <c r="R2" s="1096">
        <f>IF(Q2=0,"",J2)</f>
        <v>1</v>
      </c>
      <c r="T2" s="815" t="s">
        <v>622</v>
      </c>
      <c r="U2" s="816">
        <v>22</v>
      </c>
      <c r="V2" s="816">
        <f>U2*5</f>
        <v>110</v>
      </c>
      <c r="W2" s="1747" t="s">
        <v>645</v>
      </c>
      <c r="X2" s="907" t="s">
        <v>550</v>
      </c>
      <c r="Y2" s="975">
        <f>الرئيسية!N9</f>
        <v>69</v>
      </c>
      <c r="Z2" s="908">
        <f>'ETAT-PAY-PERM'!O94</f>
        <v>457830</v>
      </c>
      <c r="AA2" s="908">
        <f>SUM('ETAT-PAY-PERM'!P94:W94)</f>
        <v>558028.5</v>
      </c>
      <c r="AB2" s="908">
        <f>'ETAT-PAY-PERM'!X94</f>
        <v>17735</v>
      </c>
      <c r="AC2" s="908">
        <f>'ETAT-PAY-PERM'!N94</f>
        <v>1033593.5</v>
      </c>
      <c r="AD2" s="908">
        <f>'ETAT-PAY-PERM'!H94</f>
        <v>91427.3</v>
      </c>
      <c r="AE2" s="908">
        <f>'ETAT-PAY-PERM'!I94</f>
        <v>97911.71</v>
      </c>
      <c r="AF2" s="908">
        <f>'ETAT-PAY-PERM'!M94</f>
        <v>3890.67</v>
      </c>
      <c r="AG2" s="908">
        <f>'ETAT-PAY-PERM'!L94</f>
        <v>0</v>
      </c>
      <c r="AH2" s="908">
        <f>'ETAT-PAY-PERM'!K94</f>
        <v>0</v>
      </c>
      <c r="AI2" s="908">
        <f>'ETAT-PAY-PERM'!J94</f>
        <v>35305.160000000003</v>
      </c>
      <c r="AJ2" s="908">
        <f>'ETAT-PAY-PERM'!G94</f>
        <v>35000</v>
      </c>
      <c r="AK2" s="908">
        <v>0</v>
      </c>
      <c r="AL2" s="908">
        <v>0</v>
      </c>
      <c r="AM2" s="908">
        <v>0</v>
      </c>
      <c r="AN2" s="908">
        <v>0</v>
      </c>
      <c r="AO2" s="908">
        <v>0</v>
      </c>
      <c r="AP2" s="908">
        <f>'ETAT-PAY-PERM'!N94-'ETAT-PAY-PERM'!X94-'ETAT-PAY-PERM'!AB94</f>
        <v>1015858.5</v>
      </c>
      <c r="AQ2" s="948">
        <f>COUNTIF('ETAT-PAY-PERM'!$Z$15:'ETAT-PAY-PERM'!$Z$92,'ETAT-PAY-PERM'!Z94)</f>
        <v>12</v>
      </c>
      <c r="AR2" s="908"/>
    </row>
    <row r="3" spans="1:44" ht="19.5" customHeight="1" thickBot="1">
      <c r="A3" s="1085">
        <f>'Base-D'!A3</f>
        <v>2</v>
      </c>
      <c r="B3" s="1085" t="str">
        <f>'Base-D'!AX3</f>
        <v>فففففففففففففففففففف</v>
      </c>
      <c r="C3" s="1085" t="str">
        <f>LOOKUP(A3,'Base-D'!A:A,'Base-D'!BP:BP)</f>
        <v>مدير ولائي (مفتش قسم)</v>
      </c>
      <c r="D3" s="1085" t="str">
        <f>'Base-D'!S3</f>
        <v>بنك الفلاحة و التنمية الريفية</v>
      </c>
      <c r="E3" s="1086">
        <v>5000</v>
      </c>
      <c r="F3" s="1087"/>
      <c r="G3" s="1087">
        <f>LOOKUP(A3,'ETAT-PAY-PERM'!A:A,'ETAT-PAY-PERM'!J:J)</f>
        <v>0</v>
      </c>
      <c r="H3" s="1094">
        <f t="shared" ref="H3:H66" si="0">IF(G3&gt;1,1,0)</f>
        <v>0</v>
      </c>
      <c r="I3" s="1094" t="str">
        <f t="shared" ref="I3:I66" si="1">IF(H3=0,"",A3)</f>
        <v/>
      </c>
      <c r="J3" s="1089">
        <f>'ETAT-PAY-VACT'!A16</f>
        <v>2</v>
      </c>
      <c r="K3" s="1090" t="str">
        <f>'ETAT-PAY-VACT'!C16</f>
        <v>أحمد بن أحمد</v>
      </c>
      <c r="L3" s="1090" t="str">
        <f>LOOKUP(A3,'VAC-TCMP'!A:A,'VAC-TCMP'!D:D)</f>
        <v>عون الوقاية من المستوى الأول</v>
      </c>
      <c r="M3" s="1090" t="str">
        <f>'ETAT-PAY-VACT'!Y16</f>
        <v>الخزينة الولائية</v>
      </c>
      <c r="N3" s="1089">
        <v>5000</v>
      </c>
      <c r="O3" s="1089">
        <v>1</v>
      </c>
      <c r="P3" s="1089">
        <f>LOOKUP(J3,'ETAT-PAY-VACT'!A:A,'ETAT-PAY-VACT'!J:J)</f>
        <v>860.26</v>
      </c>
      <c r="Q3" s="1096">
        <f t="shared" ref="Q3:Q66" si="2">IF(P3&gt;1,1,0)</f>
        <v>1</v>
      </c>
      <c r="R3" s="1096">
        <f t="shared" ref="R3:R66" si="3">IF(Q3=0,"",J3)</f>
        <v>2</v>
      </c>
      <c r="T3" s="815" t="s">
        <v>626</v>
      </c>
      <c r="U3" s="816">
        <v>20</v>
      </c>
      <c r="V3" s="816">
        <f t="shared" ref="V3:V13" si="4">U3*5</f>
        <v>100</v>
      </c>
      <c r="W3" s="1747"/>
      <c r="X3" s="907" t="s">
        <v>648</v>
      </c>
      <c r="Y3" s="907">
        <f>Y2+1</f>
        <v>70</v>
      </c>
      <c r="Z3" s="908">
        <f>'ETAT-PAY-PERM'!O99</f>
        <v>147520</v>
      </c>
      <c r="AA3" s="908">
        <f>SUM('ETAT-PAY-PERM'!P99:W99)</f>
        <v>249191.75</v>
      </c>
      <c r="AB3" s="908">
        <f>'ETAT-PAY-PERM'!X99</f>
        <v>4056.25</v>
      </c>
      <c r="AC3" s="908">
        <f>'ETAT-PAY-PERM'!N99</f>
        <v>400768</v>
      </c>
      <c r="AD3" s="908">
        <f>'ETAT-PAY-PERM'!H99</f>
        <v>34984.06</v>
      </c>
      <c r="AE3" s="908">
        <f>'ETAT-PAY-PERM'!I99</f>
        <v>44188.62</v>
      </c>
      <c r="AF3" s="908">
        <f>'ETAT-PAY-PERM'!M99</f>
        <v>4055.96</v>
      </c>
      <c r="AG3" s="908">
        <f>'ETAT-PAY-PERM'!L99</f>
        <v>2057.1799999999998</v>
      </c>
      <c r="AH3" s="908">
        <f>'ETAT-PAY-PERM'!K99</f>
        <v>9523.81</v>
      </c>
      <c r="AI3" s="908">
        <f>'ETAT-PAY-PERM'!J99</f>
        <v>0</v>
      </c>
      <c r="AJ3" s="908">
        <f>'ETAT-PAY-PERM'!G99</f>
        <v>10000</v>
      </c>
      <c r="AK3" s="908">
        <v>0</v>
      </c>
      <c r="AL3" s="908">
        <v>0</v>
      </c>
      <c r="AM3" s="908">
        <v>0</v>
      </c>
      <c r="AN3" s="908">
        <v>0</v>
      </c>
      <c r="AO3" s="908">
        <v>0</v>
      </c>
      <c r="AP3" s="908">
        <f>'ETAT-PAY-PERM'!N99-'ETAT-PAY-PERM'!X99-'ETAT-PAY-PERM'!AB99</f>
        <v>388711.75</v>
      </c>
      <c r="AQ3" s="948">
        <f>COUNTIF('ETAT-PAY-PERM'!Z15:'ETAT-PAY-PERM'!Z92,'ETAT-PAY-PERM'!Z99)</f>
        <v>3</v>
      </c>
      <c r="AR3" s="908"/>
    </row>
    <row r="4" spans="1:44" ht="19.5" customHeight="1" thickBot="1">
      <c r="A4" s="1085">
        <f>'Base-D'!A4</f>
        <v>3</v>
      </c>
      <c r="B4" s="1085" t="str">
        <f>'Base-D'!AX4</f>
        <v>يسلللللللسيييييييي</v>
      </c>
      <c r="C4" s="1085" t="str">
        <f>LOOKUP(A4,'Base-D'!A:A,'Base-D'!BP:BP)</f>
        <v xml:space="preserve"> مفتش قسم</v>
      </c>
      <c r="D4" s="1085" t="str">
        <f>'Base-D'!S4</f>
        <v>الحساب الجاري البريدي</v>
      </c>
      <c r="E4" s="1088"/>
      <c r="F4" s="1087"/>
      <c r="G4" s="1087">
        <f>LOOKUP(A4,'ETAT-PAY-PERM'!A:A,'ETAT-PAY-PERM'!J:J)</f>
        <v>0</v>
      </c>
      <c r="H4" s="1094">
        <f t="shared" si="0"/>
        <v>0</v>
      </c>
      <c r="I4" s="1094" t="str">
        <f t="shared" si="1"/>
        <v/>
      </c>
      <c r="J4" s="1089">
        <f>'ETAT-PAY-VACT'!A17</f>
        <v>3</v>
      </c>
      <c r="K4" s="1090" t="str">
        <f>'ETAT-PAY-VACT'!C17</f>
        <v>عبد الحميد بن عبد الحميد</v>
      </c>
      <c r="L4" s="1090" t="str">
        <f>LOOKUP(A4,'VAC-TCMP'!A:A,'VAC-TCMP'!D:D)</f>
        <v>سائق سيارة من المستوى الأول</v>
      </c>
      <c r="M4" s="1090" t="str">
        <f>'ETAT-PAY-VACT'!Y17</f>
        <v>الحساب الجاري البريدي</v>
      </c>
      <c r="N4" s="1089"/>
      <c r="O4" s="1089"/>
      <c r="P4" s="1089">
        <f>LOOKUP(J4,'ETAT-PAY-VACT'!A:A,'ETAT-PAY-VACT'!J:J)</f>
        <v>0</v>
      </c>
      <c r="Q4" s="1096">
        <f t="shared" si="2"/>
        <v>0</v>
      </c>
      <c r="R4" s="1096" t="str">
        <f t="shared" si="3"/>
        <v/>
      </c>
      <c r="T4" s="815" t="s">
        <v>627</v>
      </c>
      <c r="U4" s="816">
        <v>21</v>
      </c>
      <c r="V4" s="816">
        <f t="shared" si="4"/>
        <v>105</v>
      </c>
      <c r="W4" s="1747"/>
      <c r="X4" s="907" t="s">
        <v>649</v>
      </c>
      <c r="Y4" s="907">
        <f t="shared" ref="Y4:Y12" si="5">Y3+1</f>
        <v>71</v>
      </c>
      <c r="Z4" s="908">
        <f>'ETAT-PAY-PERM'!O105</f>
        <v>76000</v>
      </c>
      <c r="AA4" s="908">
        <f>SUM('ETAT-PAY-PERM'!P105:W105)</f>
        <v>164370</v>
      </c>
      <c r="AB4" s="908">
        <f>'ETAT-PAY-PERM'!X105</f>
        <v>0</v>
      </c>
      <c r="AC4" s="908">
        <f>'ETAT-PAY-PERM'!N105</f>
        <v>240370</v>
      </c>
      <c r="AD4" s="908">
        <f>'ETAT-PAY-PERM'!H105</f>
        <v>20913.3</v>
      </c>
      <c r="AE4" s="908">
        <f>'ETAT-PAY-PERM'!I105</f>
        <v>30081.17</v>
      </c>
      <c r="AF4" s="908">
        <f>'ETAT-PAY-PERM'!M105</f>
        <v>3485.55</v>
      </c>
      <c r="AG4" s="908">
        <f>'ETAT-PAY-PERM'!L105</f>
        <v>2323.6999999999998</v>
      </c>
      <c r="AH4" s="908">
        <f>'ETAT-PAY-PERM'!K105</f>
        <v>0</v>
      </c>
      <c r="AI4" s="908">
        <f>'ETAT-PAY-PERM'!J105</f>
        <v>0</v>
      </c>
      <c r="AJ4" s="908">
        <f>'ETAT-PAY-PERM'!G105</f>
        <v>5000</v>
      </c>
      <c r="AK4" s="908">
        <v>0</v>
      </c>
      <c r="AL4" s="908">
        <v>0</v>
      </c>
      <c r="AM4" s="908">
        <v>0</v>
      </c>
      <c r="AN4" s="908">
        <v>0</v>
      </c>
      <c r="AO4" s="908">
        <v>0</v>
      </c>
      <c r="AP4" s="908">
        <f>'ETAT-PAY-PERM'!N105-'ETAT-PAY-PERM'!X105-'ETAT-PAY-PERM'!AB105</f>
        <v>232370</v>
      </c>
      <c r="AQ4" s="948">
        <f>COUNTIF('ETAT-PAY-PERM'!$Z$15:'ETAT-PAY-PERM'!$Z$92,'ETAT-PAY-PERM'!Z105)</f>
        <v>1</v>
      </c>
      <c r="AR4" s="908"/>
    </row>
    <row r="5" spans="1:44" ht="18.75" thickBot="1">
      <c r="A5" s="1085">
        <f>'Base-D'!A5</f>
        <v>4</v>
      </c>
      <c r="B5" s="1085" t="str">
        <f>'Base-D'!AX5</f>
        <v>ررءرءؤرؤءرليسليسليسل</v>
      </c>
      <c r="C5" s="1085" t="str">
        <f>LOOKUP(A5,'Base-D'!A:A,'Base-D'!BP:BP)</f>
        <v>رئيس مصلحة (مفتش قسم)</v>
      </c>
      <c r="D5" s="1085" t="str">
        <f>'Base-D'!S5</f>
        <v>الخزينة الولائية</v>
      </c>
      <c r="E5" s="1086">
        <v>5000</v>
      </c>
      <c r="F5" s="1087"/>
      <c r="G5" s="1087">
        <f>LOOKUP(A5,'ETAT-PAY-PERM'!A:A,'ETAT-PAY-PERM'!J:J)</f>
        <v>0</v>
      </c>
      <c r="H5" s="1094">
        <f t="shared" si="0"/>
        <v>0</v>
      </c>
      <c r="I5" s="1094" t="str">
        <f t="shared" si="1"/>
        <v/>
      </c>
      <c r="J5" s="1089">
        <f>'ETAT-PAY-VACT'!A18</f>
        <v>4</v>
      </c>
      <c r="K5" s="1090" t="str">
        <f>'ETAT-PAY-VACT'!C18</f>
        <v>جمال بن جمال</v>
      </c>
      <c r="L5" s="1090" t="str">
        <f>LOOKUP(A5,'VAC-TCMP'!A:A,'VAC-TCMP'!D:D)</f>
        <v>سائق سيارة من المستوى الأول</v>
      </c>
      <c r="M5" s="1090" t="str">
        <f>'ETAT-PAY-VACT'!Y18</f>
        <v>الحساب الجاري البريدي</v>
      </c>
      <c r="N5" s="1089"/>
      <c r="O5" s="1089"/>
      <c r="P5" s="1089">
        <f>LOOKUP(J5,'ETAT-PAY-VACT'!A:A,'ETAT-PAY-VACT'!J:J)</f>
        <v>0</v>
      </c>
      <c r="Q5" s="1096">
        <f t="shared" si="2"/>
        <v>0</v>
      </c>
      <c r="R5" s="1096" t="str">
        <f t="shared" si="3"/>
        <v/>
      </c>
      <c r="T5" s="815" t="s">
        <v>628</v>
      </c>
      <c r="U5" s="816">
        <v>22</v>
      </c>
      <c r="V5" s="816">
        <f t="shared" si="4"/>
        <v>110</v>
      </c>
      <c r="W5" s="1747"/>
      <c r="X5" s="907" t="s">
        <v>561</v>
      </c>
      <c r="Y5" s="907">
        <f t="shared" si="5"/>
        <v>72</v>
      </c>
      <c r="Z5" s="908">
        <f>'ETAT-PAY-PERM'!O110</f>
        <v>142155</v>
      </c>
      <c r="AA5" s="908">
        <f>SUM('ETAT-PAY-PERM'!P110:W110)</f>
        <v>168303.5</v>
      </c>
      <c r="AB5" s="908">
        <f>'ETAT-PAY-PERM'!X110</f>
        <v>5867.5</v>
      </c>
      <c r="AC5" s="908">
        <f>'ETAT-PAY-PERM'!N110</f>
        <v>316326</v>
      </c>
      <c r="AD5" s="908">
        <f>'ETAT-PAY-PERM'!H110</f>
        <v>27941.27</v>
      </c>
      <c r="AE5" s="908">
        <f>'ETAT-PAY-PERM'!I110</f>
        <v>29047.88</v>
      </c>
      <c r="AF5" s="908">
        <f>'ETAT-PAY-PERM'!M110</f>
        <v>824.6</v>
      </c>
      <c r="AG5" s="908">
        <f>'ETAT-PAY-PERM'!L110</f>
        <v>0</v>
      </c>
      <c r="AH5" s="908">
        <f>'ETAT-PAY-PERM'!K110</f>
        <v>0</v>
      </c>
      <c r="AI5" s="908">
        <f>'ETAT-PAY-PERM'!J110</f>
        <v>0</v>
      </c>
      <c r="AJ5" s="908">
        <f>'ETAT-PAY-PERM'!G110</f>
        <v>20000</v>
      </c>
      <c r="AK5" s="908">
        <v>0</v>
      </c>
      <c r="AL5" s="908">
        <v>0</v>
      </c>
      <c r="AM5" s="908">
        <v>0</v>
      </c>
      <c r="AN5" s="908">
        <v>0</v>
      </c>
      <c r="AO5" s="908">
        <v>0</v>
      </c>
      <c r="AP5" s="908">
        <f>'ETAT-PAY-PERM'!N110-'ETAT-PAY-PERM'!X110-'ETAT-PAY-PERM'!AB110</f>
        <v>310458.5</v>
      </c>
      <c r="AQ5" s="948">
        <f>COUNTIF('ETAT-PAY-PERM'!$Z$15:'ETAT-PAY-PERM'!$Z$92,'ETAT-PAY-PERM'!Z110)</f>
        <v>4</v>
      </c>
      <c r="AR5" s="908"/>
    </row>
    <row r="6" spans="1:44" ht="18.75" thickBot="1">
      <c r="A6" s="1085">
        <f>'Base-D'!A6</f>
        <v>5</v>
      </c>
      <c r="B6" s="1085" t="str">
        <f>'Base-D'!AX6</f>
        <v>صثقصقثصقضشللبيسلبيشل</v>
      </c>
      <c r="C6" s="1085" t="str">
        <f>LOOKUP(A6,'Base-D'!A:A,'Base-D'!BP:BP)</f>
        <v>رئيس مصلحة (مفتش قسم)</v>
      </c>
      <c r="D6" s="1085" t="str">
        <f>'Base-D'!S6</f>
        <v>الخزينة الولائية</v>
      </c>
      <c r="E6" s="1088"/>
      <c r="F6" s="1087">
        <v>10</v>
      </c>
      <c r="G6" s="1087">
        <f>LOOKUP(A6,'ETAT-PAY-PERM'!A:A,'ETAT-PAY-PERM'!J:J)</f>
        <v>31566.14</v>
      </c>
      <c r="H6" s="1094">
        <f t="shared" si="0"/>
        <v>1</v>
      </c>
      <c r="I6" s="1094">
        <f t="shared" si="1"/>
        <v>5</v>
      </c>
      <c r="J6" s="1089">
        <f>'ETAT-PAY-VACT'!A19</f>
        <v>5</v>
      </c>
      <c r="K6" s="1090" t="str">
        <f>'ETAT-PAY-VACT'!C19</f>
        <v>سليمان بن سليمان</v>
      </c>
      <c r="L6" s="1090" t="str">
        <f>LOOKUP(A6,'VAC-TCMP'!A:A,'VAC-TCMP'!D:D)</f>
        <v>حارس</v>
      </c>
      <c r="M6" s="1090" t="str">
        <f>'ETAT-PAY-VACT'!Y19</f>
        <v>الحساب الجاري البريدي</v>
      </c>
      <c r="N6" s="1089">
        <v>5000</v>
      </c>
      <c r="O6" s="1089">
        <v>2</v>
      </c>
      <c r="P6" s="1089">
        <f>LOOKUP(J6,'ETAT-PAY-VACT'!A:A,'ETAT-PAY-VACT'!J:J)</f>
        <v>1523.81</v>
      </c>
      <c r="Q6" s="1096">
        <f t="shared" si="2"/>
        <v>1</v>
      </c>
      <c r="R6" s="1096">
        <f t="shared" si="3"/>
        <v>5</v>
      </c>
      <c r="T6" s="815" t="s">
        <v>621</v>
      </c>
      <c r="U6" s="816">
        <v>22</v>
      </c>
      <c r="V6" s="816">
        <f t="shared" si="4"/>
        <v>110</v>
      </c>
      <c r="W6" s="1747"/>
      <c r="X6" s="907" t="s">
        <v>562</v>
      </c>
      <c r="Y6" s="907">
        <f t="shared" si="5"/>
        <v>73</v>
      </c>
      <c r="Z6" s="908">
        <f>'ETAT-PAY-PERM'!O115</f>
        <v>831825</v>
      </c>
      <c r="AA6" s="908">
        <f>SUM('ETAT-PAY-PERM'!P115:W115)</f>
        <v>940968</v>
      </c>
      <c r="AB6" s="908">
        <f>'ETAT-PAY-PERM'!X115</f>
        <v>4056.25</v>
      </c>
      <c r="AC6" s="908">
        <f>'ETAT-PAY-PERM'!N115</f>
        <v>1880646.25</v>
      </c>
      <c r="AD6" s="908">
        <f>'ETAT-PAY-PERM'!H115</f>
        <v>167469.10999999999</v>
      </c>
      <c r="AE6" s="908">
        <f>'ETAT-PAY-PERM'!I115</f>
        <v>150590.32999999999</v>
      </c>
      <c r="AF6" s="908">
        <f>'ETAT-PAY-PERM'!M115</f>
        <v>4526.99</v>
      </c>
      <c r="AG6" s="908">
        <f>'ETAT-PAY-PERM'!L115</f>
        <v>0</v>
      </c>
      <c r="AH6" s="908">
        <f>'ETAT-PAY-PERM'!K115</f>
        <v>0</v>
      </c>
      <c r="AI6" s="908">
        <f>'ETAT-PAY-PERM'!J115</f>
        <v>55507.93</v>
      </c>
      <c r="AJ6" s="908">
        <f>'ETAT-PAY-PERM'!G115</f>
        <v>70000</v>
      </c>
      <c r="AK6" s="908">
        <v>0</v>
      </c>
      <c r="AL6" s="908">
        <v>0</v>
      </c>
      <c r="AM6" s="908">
        <v>0</v>
      </c>
      <c r="AN6" s="908">
        <v>0</v>
      </c>
      <c r="AO6" s="908">
        <v>0</v>
      </c>
      <c r="AP6" s="908">
        <f>'ETAT-PAY-PERM'!N115-'ETAT-PAY-PERM'!X115-'ETAT-PAY-PERM'!AB115</f>
        <v>1876590</v>
      </c>
      <c r="AQ6" s="948">
        <f>COUNTIF('ETAT-PAY-PERM'!$Z$15:'ETAT-PAY-PERM'!$Z$92,'ETAT-PAY-PERM'!Z115)</f>
        <v>29</v>
      </c>
      <c r="AR6" s="908"/>
    </row>
    <row r="7" spans="1:44" ht="18.75" customHeight="1" thickBot="1">
      <c r="A7" s="1085">
        <f>'Base-D'!A7</f>
        <v>6</v>
      </c>
      <c r="B7" s="1085" t="str">
        <f>'Base-D'!AX7</f>
        <v>صثقثصقثصقصثرسيبرشبيسب</v>
      </c>
      <c r="C7" s="1085" t="str">
        <f>LOOKUP(A7,'Base-D'!A:A,'Base-D'!BP:BP)</f>
        <v>رئيس مصلحة (متصرف رئيسي)</v>
      </c>
      <c r="D7" s="1085" t="str">
        <f>'Base-D'!S7</f>
        <v>الخزينة الولائية</v>
      </c>
      <c r="E7" s="1088"/>
      <c r="F7" s="1087"/>
      <c r="G7" s="1087">
        <f>LOOKUP(A7,'ETAT-PAY-PERM'!A:A,'ETAT-PAY-PERM'!J:J)</f>
        <v>0</v>
      </c>
      <c r="H7" s="1094">
        <f t="shared" si="0"/>
        <v>0</v>
      </c>
      <c r="I7" s="1094" t="str">
        <f t="shared" si="1"/>
        <v/>
      </c>
      <c r="J7" s="1089">
        <f>'ETAT-PAY-VACT'!A20</f>
        <v>6</v>
      </c>
      <c r="K7" s="1090" t="str">
        <f>'ETAT-PAY-VACT'!C20</f>
        <v>الوافي بن الوافي</v>
      </c>
      <c r="L7" s="1090" t="str">
        <f>LOOKUP(A7,'VAC-TCMP'!A:A,'VAC-TCMP'!D:D)</f>
        <v>حارس</v>
      </c>
      <c r="M7" s="1090" t="str">
        <f>'ETAT-PAY-VACT'!Y20</f>
        <v>بنك التنمية المحلية</v>
      </c>
      <c r="N7" s="1089">
        <v>5000</v>
      </c>
      <c r="O7" s="1089"/>
      <c r="P7" s="1089">
        <f>LOOKUP(J7,'ETAT-PAY-VACT'!A:A,'ETAT-PAY-VACT'!J:J)</f>
        <v>0</v>
      </c>
      <c r="Q7" s="1096">
        <f t="shared" si="2"/>
        <v>0</v>
      </c>
      <c r="R7" s="1096" t="str">
        <f t="shared" si="3"/>
        <v/>
      </c>
      <c r="T7" s="815" t="s">
        <v>629</v>
      </c>
      <c r="U7" s="816">
        <v>21</v>
      </c>
      <c r="V7" s="816">
        <f t="shared" si="4"/>
        <v>105</v>
      </c>
      <c r="W7" s="1748" t="s">
        <v>646</v>
      </c>
      <c r="X7" s="904" t="s">
        <v>561</v>
      </c>
      <c r="Y7" s="904">
        <f>'ETAT-SECSOC'!D11+1</f>
        <v>75</v>
      </c>
      <c r="Z7" s="905">
        <v>0</v>
      </c>
      <c r="AA7" s="905">
        <v>0</v>
      </c>
      <c r="AB7" s="905">
        <f>'ETAT-PAY-VACT'!W38</f>
        <v>13356.25</v>
      </c>
      <c r="AC7" s="905">
        <f>'ETAT-PAY-VACT'!N38</f>
        <v>194666.58</v>
      </c>
      <c r="AD7" s="905">
        <f>'ETAT-PAY-VACT'!K38</f>
        <v>17159.990000000002</v>
      </c>
      <c r="AE7" s="905">
        <f>'ETAT-PAY-VACT'!L38</f>
        <v>5930.8</v>
      </c>
      <c r="AF7" s="905">
        <f>'ETAT-PAY-VACT'!M38</f>
        <v>506.52</v>
      </c>
      <c r="AG7" s="905">
        <v>0</v>
      </c>
      <c r="AH7" s="905">
        <v>0</v>
      </c>
      <c r="AI7" s="905">
        <f>'ETAT-PAY-VACT'!J38</f>
        <v>4627.18</v>
      </c>
      <c r="AJ7" s="905">
        <f>'ETAT-PAY-VACT'!I38</f>
        <v>15000</v>
      </c>
      <c r="AK7" s="905">
        <f t="shared" ref="AK7:AK12" si="6">SUM(AM7:AO7,AC7)</f>
        <v>239994.16</v>
      </c>
      <c r="AL7" s="905">
        <f t="shared" ref="AL7:AL12" si="7">SUM(AM7:AO7,AD7)</f>
        <v>62487.57</v>
      </c>
      <c r="AM7" s="905">
        <f t="shared" ref="AM7:AM12" si="8">ROUND((AC7-AB7)*23.75%,2)</f>
        <v>43061.2</v>
      </c>
      <c r="AN7" s="905">
        <f t="shared" ref="AN7:AN12" si="9">ROUND((AC7-AB7)*1%,2)</f>
        <v>1813.1</v>
      </c>
      <c r="AO7" s="905">
        <f t="shared" ref="AO7:AO12" si="10">ROUND((AC7-AB7)*0.25%,2)</f>
        <v>453.28</v>
      </c>
      <c r="AP7" s="905">
        <f>'ETAT-PAY-VACT'!N38-'ETAT-PAY-VACT'!W38</f>
        <v>181310.33</v>
      </c>
      <c r="AQ7" s="949">
        <f>COUNTIF('ETAT-PAY-VACT'!Y15:Y37,'ETAT-PAY-VACT'!Y38)</f>
        <v>7</v>
      </c>
      <c r="AR7" s="905"/>
    </row>
    <row r="8" spans="1:44" ht="18.75" customHeight="1" thickBot="1">
      <c r="A8" s="1085">
        <f>'Base-D'!A8</f>
        <v>7</v>
      </c>
      <c r="B8" s="1085" t="str">
        <f>'Base-D'!AX8</f>
        <v>للللللللبيسلبيليبسل</v>
      </c>
      <c r="C8" s="1085" t="str">
        <f>LOOKUP(A8,'Base-D'!A:A,'Base-D'!BP:BP)</f>
        <v>رئيس مصلحة (متصرف)</v>
      </c>
      <c r="D8" s="1085" t="str">
        <f>'Base-D'!S8</f>
        <v>الحساب الجاري البريدي</v>
      </c>
      <c r="E8" s="1086"/>
      <c r="F8" s="1087"/>
      <c r="G8" s="1087">
        <f>LOOKUP(A8,'ETAT-PAY-PERM'!A:A,'ETAT-PAY-PERM'!J:J)</f>
        <v>0</v>
      </c>
      <c r="H8" s="1094">
        <f t="shared" si="0"/>
        <v>0</v>
      </c>
      <c r="I8" s="1094" t="str">
        <f t="shared" si="1"/>
        <v/>
      </c>
      <c r="J8" s="1089">
        <f>'ETAT-PAY-VACT'!A21</f>
        <v>7</v>
      </c>
      <c r="K8" s="1090" t="str">
        <f>'ETAT-PAY-VACT'!C21</f>
        <v>مصطفى بن مصطفى</v>
      </c>
      <c r="L8" s="1090" t="str">
        <f>LOOKUP(A8,'VAC-TCMP'!A:A,'VAC-TCMP'!D:D)</f>
        <v>حارس</v>
      </c>
      <c r="M8" s="1090" t="str">
        <f>'ETAT-PAY-VACT'!Y21</f>
        <v>بنك التنمية المحلية</v>
      </c>
      <c r="N8" s="1089">
        <v>5000</v>
      </c>
      <c r="O8" s="1089"/>
      <c r="P8" s="1089">
        <f>LOOKUP(J8,'ETAT-PAY-VACT'!A:A,'ETAT-PAY-VACT'!J:J)</f>
        <v>0</v>
      </c>
      <c r="Q8" s="1096">
        <f t="shared" si="2"/>
        <v>0</v>
      </c>
      <c r="R8" s="1096" t="str">
        <f t="shared" si="3"/>
        <v/>
      </c>
      <c r="T8" s="815" t="s">
        <v>630</v>
      </c>
      <c r="U8" s="816">
        <v>23</v>
      </c>
      <c r="V8" s="816">
        <f t="shared" si="4"/>
        <v>115</v>
      </c>
      <c r="W8" s="1748"/>
      <c r="X8" s="904" t="s">
        <v>550</v>
      </c>
      <c r="Y8" s="904">
        <f t="shared" si="5"/>
        <v>76</v>
      </c>
      <c r="Z8" s="905">
        <v>0</v>
      </c>
      <c r="AA8" s="905">
        <v>0</v>
      </c>
      <c r="AB8" s="905">
        <f>'ETAT-PAY-VACT'!W46</f>
        <v>11933.75</v>
      </c>
      <c r="AC8" s="905">
        <f>'ETAT-PAY-VACT'!N46</f>
        <v>118053.87</v>
      </c>
      <c r="AD8" s="905">
        <f>'ETAT-PAY-VACT'!K46</f>
        <v>10336.86</v>
      </c>
      <c r="AE8" s="905">
        <f>'ETAT-PAY-VACT'!L46</f>
        <v>3691.8</v>
      </c>
      <c r="AF8" s="905">
        <f>'ETAT-PAY-VACT'!M46</f>
        <v>0</v>
      </c>
      <c r="AG8" s="905">
        <v>0</v>
      </c>
      <c r="AH8" s="905">
        <v>0</v>
      </c>
      <c r="AI8" s="905">
        <f>'ETAT-PAY-VACT'!J46</f>
        <v>860.26</v>
      </c>
      <c r="AJ8" s="905">
        <f>'ETAT-PAY-VACT'!I46</f>
        <v>20000</v>
      </c>
      <c r="AK8" s="905">
        <f t="shared" si="6"/>
        <v>144583.9</v>
      </c>
      <c r="AL8" s="905">
        <f t="shared" si="7"/>
        <v>36866.89</v>
      </c>
      <c r="AM8" s="905">
        <f t="shared" si="8"/>
        <v>25203.53</v>
      </c>
      <c r="AN8" s="905">
        <f t="shared" si="9"/>
        <v>1061.2</v>
      </c>
      <c r="AO8" s="905">
        <f t="shared" si="10"/>
        <v>265.3</v>
      </c>
      <c r="AP8" s="905">
        <f>'ETAT-PAY-VACT'!N46-'ETAT-PAY-VACT'!W46</f>
        <v>106120.12</v>
      </c>
      <c r="AQ8" s="949">
        <f>COUNTIF('ETAT-PAY-VACT'!Y15:Y37,'ETAT-PAY-VACT'!Y46)</f>
        <v>4</v>
      </c>
      <c r="AR8" s="905"/>
    </row>
    <row r="9" spans="1:44" ht="18.75" customHeight="1" thickBot="1">
      <c r="A9" s="1085">
        <f>'Base-D'!A9</f>
        <v>8</v>
      </c>
      <c r="B9" s="1085" t="str">
        <f>'Base-D'!AX9</f>
        <v>ففففففففلللللللللللللل</v>
      </c>
      <c r="C9" s="1085" t="str">
        <f>LOOKUP(A9,'Base-D'!A:A,'Base-D'!BP:BP)</f>
        <v>محافظ عقاري (مفتش مركزي)</v>
      </c>
      <c r="D9" s="1085" t="str">
        <f>'Base-D'!S9</f>
        <v>بنك التنمية المحلية</v>
      </c>
      <c r="E9" s="1086">
        <v>5000</v>
      </c>
      <c r="F9" s="1087"/>
      <c r="G9" s="1087">
        <f>LOOKUP(A9,'ETAT-PAY-PERM'!A:A,'ETAT-PAY-PERM'!J:J)</f>
        <v>0</v>
      </c>
      <c r="H9" s="1094">
        <f t="shared" si="0"/>
        <v>0</v>
      </c>
      <c r="I9" s="1094" t="str">
        <f t="shared" si="1"/>
        <v/>
      </c>
      <c r="J9" s="1089">
        <f>'ETAT-PAY-VACT'!A22</f>
        <v>8</v>
      </c>
      <c r="K9" s="1090" t="str">
        <f>'ETAT-PAY-VACT'!C22</f>
        <v>سليم بن سليم</v>
      </c>
      <c r="L9" s="1090" t="str">
        <f>LOOKUP(A9,'VAC-TCMP'!A:A,'VAC-TCMP'!D:D)</f>
        <v>حارس</v>
      </c>
      <c r="M9" s="1090" t="str">
        <f>'ETAT-PAY-VACT'!Y22</f>
        <v>بنك التنمية المحلية</v>
      </c>
      <c r="N9" s="1089"/>
      <c r="O9" s="1089"/>
      <c r="P9" s="1089">
        <f>LOOKUP(J9,'ETAT-PAY-VACT'!A:A,'ETAT-PAY-VACT'!J:J)</f>
        <v>0</v>
      </c>
      <c r="Q9" s="1096">
        <f t="shared" si="2"/>
        <v>0</v>
      </c>
      <c r="R9" s="1096" t="str">
        <f t="shared" si="3"/>
        <v/>
      </c>
      <c r="T9" s="815" t="s">
        <v>566</v>
      </c>
      <c r="U9" s="816">
        <v>21</v>
      </c>
      <c r="V9" s="816">
        <f t="shared" si="4"/>
        <v>105</v>
      </c>
      <c r="W9" s="1748"/>
      <c r="X9" s="904" t="s">
        <v>562</v>
      </c>
      <c r="Y9" s="904">
        <f t="shared" si="5"/>
        <v>77</v>
      </c>
      <c r="Z9" s="905">
        <v>0</v>
      </c>
      <c r="AA9" s="905">
        <v>0</v>
      </c>
      <c r="AB9" s="905">
        <f>'ETAT-PAY-VACT'!W52</f>
        <v>17306.75</v>
      </c>
      <c r="AC9" s="905">
        <f>'ETAT-PAY-VACT'!N52</f>
        <v>282137.92</v>
      </c>
      <c r="AD9" s="905">
        <f>'ETAT-PAY-VACT'!K52</f>
        <v>24815.93</v>
      </c>
      <c r="AE9" s="905">
        <f>'ETAT-PAY-VACT'!L52</f>
        <v>7553</v>
      </c>
      <c r="AF9" s="905">
        <f>'ETAT-PAY-VACT'!M52</f>
        <v>0</v>
      </c>
      <c r="AG9" s="905">
        <v>0</v>
      </c>
      <c r="AH9" s="905">
        <v>0</v>
      </c>
      <c r="AI9" s="905">
        <f>'ETAT-PAY-VACT'!J52</f>
        <v>5688.08</v>
      </c>
      <c r="AJ9" s="905">
        <f>'ETAT-PAY-VACT'!I52</f>
        <v>30000</v>
      </c>
      <c r="AK9" s="905">
        <f t="shared" si="6"/>
        <v>348345.71</v>
      </c>
      <c r="AL9" s="905">
        <f t="shared" si="7"/>
        <v>91023.72</v>
      </c>
      <c r="AM9" s="905">
        <f t="shared" si="8"/>
        <v>62897.4</v>
      </c>
      <c r="AN9" s="905">
        <f t="shared" si="9"/>
        <v>2648.31</v>
      </c>
      <c r="AO9" s="905">
        <f t="shared" si="10"/>
        <v>662.08</v>
      </c>
      <c r="AP9" s="905">
        <f>'ETAT-PAY-VACT'!N52-'ETAT-PAY-VACT'!W52</f>
        <v>264831.17</v>
      </c>
      <c r="AQ9" s="949">
        <f>COUNTIF('ETAT-PAY-VACT'!Y15:Y37,'ETAT-PAY-VACT'!Y52)</f>
        <v>11</v>
      </c>
      <c r="AR9" s="905"/>
    </row>
    <row r="10" spans="1:44" ht="18.75" thickBot="1">
      <c r="A10" s="1085">
        <f>'Base-D'!A10</f>
        <v>9</v>
      </c>
      <c r="B10" s="1085" t="str">
        <f>'Base-D'!AX10</f>
        <v>سييييييييفففففففففففف</v>
      </c>
      <c r="C10" s="1085" t="str">
        <f>LOOKUP(A10,'Base-D'!A:A,'Base-D'!BP:BP)</f>
        <v>رئيس مفتشية (مفتش قسم)</v>
      </c>
      <c r="D10" s="1085" t="str">
        <f>'Base-D'!S10</f>
        <v>بنك الفلاحة و التنمية الريفية</v>
      </c>
      <c r="E10" s="1086"/>
      <c r="F10" s="1087"/>
      <c r="G10" s="1087">
        <f>LOOKUP(A10,'ETAT-PAY-PERM'!A:A,'ETAT-PAY-PERM'!J:J)</f>
        <v>0</v>
      </c>
      <c r="H10" s="1094">
        <f t="shared" si="0"/>
        <v>0</v>
      </c>
      <c r="I10" s="1094" t="str">
        <f t="shared" si="1"/>
        <v/>
      </c>
      <c r="J10" s="1089">
        <f>'ETAT-PAY-VACT'!A23</f>
        <v>9</v>
      </c>
      <c r="K10" s="1090" t="str">
        <f>'ETAT-PAY-VACT'!C23</f>
        <v>جميل بن جميل</v>
      </c>
      <c r="L10" s="1090" t="str">
        <f>LOOKUP(A10,'VAC-TCMP'!A:A,'VAC-TCMP'!D:D)</f>
        <v>حارس</v>
      </c>
      <c r="M10" s="1090" t="str">
        <f>'ETAT-PAY-VACT'!Y23</f>
        <v>الحساب الجاري البريدي</v>
      </c>
      <c r="N10" s="1089">
        <v>5000</v>
      </c>
      <c r="O10" s="1089"/>
      <c r="P10" s="1089">
        <f>LOOKUP(J10,'ETAT-PAY-VACT'!A:A,'ETAT-PAY-VACT'!J:J)</f>
        <v>0</v>
      </c>
      <c r="Q10" s="1096">
        <f t="shared" si="2"/>
        <v>0</v>
      </c>
      <c r="R10" s="1096" t="str">
        <f t="shared" si="3"/>
        <v/>
      </c>
      <c r="T10" s="815" t="s">
        <v>631</v>
      </c>
      <c r="U10" s="816">
        <v>22</v>
      </c>
      <c r="V10" s="816">
        <f t="shared" si="4"/>
        <v>110</v>
      </c>
      <c r="W10" s="1748" t="s">
        <v>647</v>
      </c>
      <c r="X10" s="903" t="s">
        <v>648</v>
      </c>
      <c r="Y10" s="903">
        <f>Y9+1</f>
        <v>78</v>
      </c>
      <c r="Z10" s="906">
        <v>0</v>
      </c>
      <c r="AA10" s="906">
        <v>0</v>
      </c>
      <c r="AB10" s="906">
        <f>'ETAT-PAY-VACT (2)'!W42</f>
        <v>311.25</v>
      </c>
      <c r="AC10" s="906">
        <f>'ETAT-PAY-VACT (2)'!N42</f>
        <v>16217.86</v>
      </c>
      <c r="AD10" s="906">
        <f>'ETAT-PAY-VACT (2)'!K42</f>
        <v>1459.61</v>
      </c>
      <c r="AE10" s="906">
        <f>'ETAT-PAY-VACT (2)'!L42</f>
        <v>0</v>
      </c>
      <c r="AF10" s="906">
        <f>'ETAT-PAY-VACT (2)'!M42</f>
        <v>0</v>
      </c>
      <c r="AG10" s="906">
        <v>0</v>
      </c>
      <c r="AH10" s="906">
        <v>0</v>
      </c>
      <c r="AI10" s="906">
        <f>'ETAT-PAY-VACT (2)'!J42</f>
        <v>481.57</v>
      </c>
      <c r="AJ10" s="906">
        <f>'ETAT-PAY-VACT (2)'!I42</f>
        <v>0</v>
      </c>
      <c r="AK10" s="906">
        <f t="shared" si="6"/>
        <v>20194.52</v>
      </c>
      <c r="AL10" s="906">
        <f t="shared" si="7"/>
        <v>5436.27</v>
      </c>
      <c r="AM10" s="906">
        <f t="shared" si="8"/>
        <v>3777.82</v>
      </c>
      <c r="AN10" s="906">
        <f t="shared" si="9"/>
        <v>159.07</v>
      </c>
      <c r="AO10" s="906">
        <f t="shared" si="10"/>
        <v>39.770000000000003</v>
      </c>
      <c r="AP10" s="906">
        <f>'ETAT-PAY-VACT (2)'!N42-'ETAT-PAY-VACT (2)'!W42</f>
        <v>15906.61</v>
      </c>
      <c r="AQ10" s="950">
        <f>COUNTIF('ETAT-PAY-VACT (2)'!Y15:Y21,'ETAT-PAY-VACT (2)'!Y42)</f>
        <v>1</v>
      </c>
      <c r="AR10" s="906"/>
    </row>
    <row r="11" spans="1:44" ht="18.75" thickBot="1">
      <c r="A11" s="1085">
        <f>'Base-D'!A11</f>
        <v>10</v>
      </c>
      <c r="B11" s="1085" t="str">
        <f>'Base-D'!AX11</f>
        <v>ليسليسليسليسللللللل</v>
      </c>
      <c r="C11" s="1085" t="str">
        <f>LOOKUP(A11,'Base-D'!A:A,'Base-D'!BP:BP)</f>
        <v>رئيس مفتشية (مفتش)</v>
      </c>
      <c r="D11" s="1085" t="str">
        <f>'Base-D'!S11</f>
        <v>الحساب الجاري البريدي</v>
      </c>
      <c r="E11" s="1086">
        <v>5000</v>
      </c>
      <c r="F11" s="1087"/>
      <c r="G11" s="1087">
        <f>LOOKUP(A11,'ETAT-PAY-PERM'!A:A,'ETAT-PAY-PERM'!J:J)</f>
        <v>0</v>
      </c>
      <c r="H11" s="1094">
        <f t="shared" si="0"/>
        <v>0</v>
      </c>
      <c r="I11" s="1094" t="str">
        <f t="shared" si="1"/>
        <v/>
      </c>
      <c r="J11" s="1089">
        <f>'ETAT-PAY-VACT'!A24</f>
        <v>10</v>
      </c>
      <c r="K11" s="1090" t="str">
        <f>'ETAT-PAY-VACT'!C24</f>
        <v>مبيىاكمتنيبىامني</v>
      </c>
      <c r="L11" s="1090" t="str">
        <f>LOOKUP(A11,'VAC-TCMP'!A:A,'VAC-TCMP'!D:D)</f>
        <v>حارس</v>
      </c>
      <c r="M11" s="1090" t="str">
        <f>'ETAT-PAY-VACT'!Y24</f>
        <v>بنك التنمية المحلية</v>
      </c>
      <c r="N11" s="1089"/>
      <c r="O11" s="1089"/>
      <c r="P11" s="1089">
        <f>LOOKUP(J11,'ETAT-PAY-VACT'!A:A,'ETAT-PAY-VACT'!J:J)</f>
        <v>0</v>
      </c>
      <c r="Q11" s="1096">
        <f t="shared" si="2"/>
        <v>0</v>
      </c>
      <c r="R11" s="1096" t="str">
        <f t="shared" si="3"/>
        <v/>
      </c>
      <c r="T11" s="815" t="s">
        <v>632</v>
      </c>
      <c r="U11" s="816">
        <v>23</v>
      </c>
      <c r="V11" s="816">
        <f t="shared" si="4"/>
        <v>115</v>
      </c>
      <c r="W11" s="1748"/>
      <c r="X11" s="903" t="s">
        <v>561</v>
      </c>
      <c r="Y11" s="903">
        <f t="shared" si="5"/>
        <v>79</v>
      </c>
      <c r="Z11" s="906">
        <v>0</v>
      </c>
      <c r="AA11" s="906">
        <v>0</v>
      </c>
      <c r="AB11" s="906">
        <f>'ETAT-PAY-VACT (2)'!W48</f>
        <v>0</v>
      </c>
      <c r="AC11" s="906">
        <f>'ETAT-PAY-VACT (2)'!N48</f>
        <v>61025.7</v>
      </c>
      <c r="AD11" s="906">
        <f>'ETAT-PAY-VACT (2)'!K48</f>
        <v>5492.3</v>
      </c>
      <c r="AE11" s="906">
        <f>'ETAT-PAY-VACT (2)'!L48</f>
        <v>0</v>
      </c>
      <c r="AF11" s="906">
        <f>'ETAT-PAY-VACT (2)'!M48</f>
        <v>0</v>
      </c>
      <c r="AG11" s="906">
        <v>0</v>
      </c>
      <c r="AH11" s="906">
        <v>0</v>
      </c>
      <c r="AI11" s="906">
        <f>'ETAT-PAY-VACT (2)'!J48</f>
        <v>45547</v>
      </c>
      <c r="AJ11" s="906">
        <f>'ETAT-PAY-VACT (2)'!I48</f>
        <v>20000</v>
      </c>
      <c r="AK11" s="906">
        <f t="shared" si="6"/>
        <v>76282.12</v>
      </c>
      <c r="AL11" s="906">
        <f t="shared" si="7"/>
        <v>20748.72</v>
      </c>
      <c r="AM11" s="906">
        <f t="shared" si="8"/>
        <v>14493.6</v>
      </c>
      <c r="AN11" s="906">
        <f t="shared" si="9"/>
        <v>610.26</v>
      </c>
      <c r="AO11" s="906">
        <f t="shared" si="10"/>
        <v>152.56</v>
      </c>
      <c r="AP11" s="906">
        <f>'ETAT-PAY-VACT (2)'!N48-'ETAT-PAY-VACT (2)'!W48</f>
        <v>61025.7</v>
      </c>
      <c r="AQ11" s="950">
        <f>COUNTIF('ETAT-PAY-VACT (2)'!Y15:Y21,'ETAT-PAY-VACT (2)'!Y48)</f>
        <v>2</v>
      </c>
      <c r="AR11" s="906"/>
    </row>
    <row r="12" spans="1:44" ht="18.75" thickBot="1">
      <c r="A12" s="1085">
        <f>'Base-D'!A12</f>
        <v>11</v>
      </c>
      <c r="B12" s="1085" t="str">
        <f>'Base-D'!AX12</f>
        <v>شللبيسلبيشلررءرءؤرؤءر</v>
      </c>
      <c r="C12" s="1085" t="str">
        <f>LOOKUP(A12,'Base-D'!A:A,'Base-D'!BP:BP)</f>
        <v>رئيس مفتشية (مفتش مركزي)</v>
      </c>
      <c r="D12" s="1085" t="str">
        <f>'Base-D'!S12</f>
        <v>الحساب الجاري البريدي</v>
      </c>
      <c r="E12" s="1086">
        <v>5000</v>
      </c>
      <c r="F12" s="1087"/>
      <c r="G12" s="1087">
        <f>LOOKUP(A12,'ETAT-PAY-PERM'!A:A,'ETAT-PAY-PERM'!J:J)</f>
        <v>0</v>
      </c>
      <c r="H12" s="1094">
        <f t="shared" si="0"/>
        <v>0</v>
      </c>
      <c r="I12" s="1094" t="str">
        <f t="shared" si="1"/>
        <v/>
      </c>
      <c r="J12" s="1089">
        <f>'ETAT-PAY-VACT'!A25</f>
        <v>11</v>
      </c>
      <c r="K12" s="1090" t="str">
        <f>'ETAT-PAY-VACT'!C25</f>
        <v>يمنباسىكامنىلبا</v>
      </c>
      <c r="L12" s="1090" t="str">
        <f>LOOKUP(A12,'VAC-TCMP'!A:A,'VAC-TCMP'!D:D)</f>
        <v>حارس</v>
      </c>
      <c r="M12" s="1090" t="str">
        <f>'ETAT-PAY-VACT'!Y25</f>
        <v>بنك التنمية المحلية</v>
      </c>
      <c r="N12" s="1089"/>
      <c r="O12" s="1089">
        <v>4</v>
      </c>
      <c r="P12" s="1089">
        <f>LOOKUP(J12,'ETAT-PAY-VACT'!A:A,'ETAT-PAY-VACT'!J:J)</f>
        <v>2796.45</v>
      </c>
      <c r="Q12" s="1096">
        <f t="shared" si="2"/>
        <v>1</v>
      </c>
      <c r="R12" s="1096">
        <f t="shared" si="3"/>
        <v>11</v>
      </c>
      <c r="T12" s="815" t="s">
        <v>633</v>
      </c>
      <c r="U12" s="816">
        <v>20</v>
      </c>
      <c r="V12" s="816">
        <f t="shared" si="4"/>
        <v>100</v>
      </c>
      <c r="W12" s="1748"/>
      <c r="X12" s="903" t="s">
        <v>562</v>
      </c>
      <c r="Y12" s="903">
        <f t="shared" si="5"/>
        <v>80</v>
      </c>
      <c r="Z12" s="906">
        <v>0</v>
      </c>
      <c r="AA12" s="906">
        <v>0</v>
      </c>
      <c r="AB12" s="906">
        <f>'ETAT-PAY-VACT (2)'!W54</f>
        <v>0</v>
      </c>
      <c r="AC12" s="906">
        <f>'ETAT-PAY-VACT (2)'!N54</f>
        <v>54113.14</v>
      </c>
      <c r="AD12" s="906">
        <f>'ETAT-PAY-VACT (2)'!K54</f>
        <v>4870.18</v>
      </c>
      <c r="AE12" s="906">
        <f>'ETAT-PAY-VACT (2)'!L54</f>
        <v>0</v>
      </c>
      <c r="AF12" s="906">
        <f>'ETAT-PAY-VACT (2)'!M54</f>
        <v>0</v>
      </c>
      <c r="AG12" s="906">
        <v>0</v>
      </c>
      <c r="AH12" s="906">
        <v>0</v>
      </c>
      <c r="AI12" s="906">
        <f>'ETAT-PAY-VACT (2)'!J54</f>
        <v>824.32</v>
      </c>
      <c r="AJ12" s="906">
        <f>'ETAT-PAY-VACT (2)'!I54</f>
        <v>10000</v>
      </c>
      <c r="AK12" s="906">
        <f t="shared" si="6"/>
        <v>67641.42</v>
      </c>
      <c r="AL12" s="906">
        <f t="shared" si="7"/>
        <v>18398.46</v>
      </c>
      <c r="AM12" s="906">
        <f t="shared" si="8"/>
        <v>12851.87</v>
      </c>
      <c r="AN12" s="906">
        <f t="shared" si="9"/>
        <v>541.13</v>
      </c>
      <c r="AO12" s="906">
        <f t="shared" si="10"/>
        <v>135.28</v>
      </c>
      <c r="AP12" s="906">
        <f>'ETAT-PAY-VACT (2)'!N54-'ETAT-PAY-VACT (2)'!W54</f>
        <v>54113.14</v>
      </c>
      <c r="AQ12" s="950">
        <f>COUNTIF('ETAT-PAY-VACT (2)'!Y15:Y21,'ETAT-PAY-VACT (2)'!Y54)</f>
        <v>4</v>
      </c>
      <c r="AR12" s="906"/>
    </row>
    <row r="13" spans="1:44" ht="18.75" thickBot="1">
      <c r="A13" s="1085">
        <f>'Base-D'!A13</f>
        <v>12</v>
      </c>
      <c r="B13" s="1085" t="str">
        <f>'Base-D'!AX13</f>
        <v>رسيبرشبيسبصثقصقثصقض</v>
      </c>
      <c r="C13" s="1085" t="str">
        <f>LOOKUP(A13,'Base-D'!A:A,'Base-D'!BP:BP)</f>
        <v>رئيس مكتب (مفتش رئيسي)</v>
      </c>
      <c r="D13" s="1085" t="str">
        <f>'Base-D'!S13</f>
        <v>الخزينة الولائية</v>
      </c>
      <c r="E13" s="1086">
        <v>5000</v>
      </c>
      <c r="F13" s="1087"/>
      <c r="G13" s="1087">
        <f>LOOKUP(A13,'ETAT-PAY-PERM'!A:A,'ETAT-PAY-PERM'!J:J)</f>
        <v>0</v>
      </c>
      <c r="H13" s="1094">
        <f t="shared" si="0"/>
        <v>0</v>
      </c>
      <c r="I13" s="1094" t="str">
        <f t="shared" si="1"/>
        <v/>
      </c>
      <c r="J13" s="1089">
        <f>'ETAT-PAY-VACT'!A26</f>
        <v>12</v>
      </c>
      <c r="K13" s="1090" t="str">
        <f>'ETAT-PAY-VACT'!C26</f>
        <v>مىلاورؤةلارؤوةلا</v>
      </c>
      <c r="L13" s="1090" t="str">
        <f>LOOKUP(A13,'VAC-TCMP'!A:A,'VAC-TCMP'!D:D)</f>
        <v>حارس</v>
      </c>
      <c r="M13" s="1090" t="str">
        <f>'ETAT-PAY-VACT'!Y26</f>
        <v>بنك التنمية المحلية</v>
      </c>
      <c r="N13" s="1089"/>
      <c r="O13" s="1089"/>
      <c r="P13" s="1089">
        <f>LOOKUP(J13,'ETAT-PAY-VACT'!A:A,'ETAT-PAY-VACT'!J:J)</f>
        <v>0</v>
      </c>
      <c r="Q13" s="1096">
        <f t="shared" si="2"/>
        <v>0</v>
      </c>
      <c r="R13" s="1096" t="str">
        <f t="shared" si="3"/>
        <v/>
      </c>
      <c r="T13" s="815" t="s">
        <v>564</v>
      </c>
      <c r="U13" s="816">
        <v>23</v>
      </c>
      <c r="V13" s="816">
        <f t="shared" si="4"/>
        <v>115</v>
      </c>
      <c r="W13" s="901"/>
      <c r="Y13" s="1">
        <v>1</v>
      </c>
      <c r="Z13" s="1">
        <f>Y13+1</f>
        <v>2</v>
      </c>
      <c r="AA13" s="1">
        <f t="shared" ref="AA13:AM13" si="11">Z13+1</f>
        <v>3</v>
      </c>
      <c r="AB13" s="1">
        <f t="shared" si="11"/>
        <v>4</v>
      </c>
      <c r="AC13" s="1">
        <f t="shared" si="11"/>
        <v>5</v>
      </c>
      <c r="AD13" s="1">
        <f t="shared" si="11"/>
        <v>6</v>
      </c>
      <c r="AE13" s="1">
        <f t="shared" si="11"/>
        <v>7</v>
      </c>
      <c r="AF13" s="1">
        <f t="shared" si="11"/>
        <v>8</v>
      </c>
      <c r="AG13" s="1">
        <f t="shared" si="11"/>
        <v>9</v>
      </c>
      <c r="AH13" s="1">
        <f t="shared" si="11"/>
        <v>10</v>
      </c>
      <c r="AI13" s="1">
        <f t="shared" si="11"/>
        <v>11</v>
      </c>
      <c r="AJ13" s="1">
        <f t="shared" si="11"/>
        <v>12</v>
      </c>
      <c r="AK13" s="1">
        <f t="shared" si="11"/>
        <v>13</v>
      </c>
      <c r="AL13" s="1">
        <f t="shared" si="11"/>
        <v>14</v>
      </c>
      <c r="AM13" s="1">
        <f t="shared" si="11"/>
        <v>15</v>
      </c>
      <c r="AN13" s="1">
        <f>AM13+1</f>
        <v>16</v>
      </c>
      <c r="AO13" s="1">
        <f>AN13+1</f>
        <v>17</v>
      </c>
      <c r="AP13" s="1">
        <f>AO13+1</f>
        <v>18</v>
      </c>
      <c r="AQ13" s="1">
        <f>AP13+1</f>
        <v>19</v>
      </c>
      <c r="AR13" s="1">
        <f>AQ13+1</f>
        <v>20</v>
      </c>
    </row>
    <row r="14" spans="1:44" ht="18.75" thickBot="1">
      <c r="A14" s="1085">
        <f>'Base-D'!A14</f>
        <v>13</v>
      </c>
      <c r="B14" s="1085" t="str">
        <f>'Base-D'!AX14</f>
        <v>بيسلبيليبسلصثقثصقثصقصث</v>
      </c>
      <c r="C14" s="1085" t="str">
        <f>LOOKUP(A14,'Base-D'!A:A,'Base-D'!BP:BP)</f>
        <v>رئيس مكتب (مفتش رئيسي)</v>
      </c>
      <c r="D14" s="1085" t="str">
        <f>'Base-D'!S14</f>
        <v>الخزينة الولائية</v>
      </c>
      <c r="E14" s="1086">
        <v>5000</v>
      </c>
      <c r="F14" s="1087"/>
      <c r="G14" s="1087">
        <f>LOOKUP(A14,'ETAT-PAY-PERM'!A:A,'ETAT-PAY-PERM'!J:J)</f>
        <v>0</v>
      </c>
      <c r="H14" s="1094">
        <f t="shared" si="0"/>
        <v>0</v>
      </c>
      <c r="I14" s="1094" t="str">
        <f t="shared" si="1"/>
        <v/>
      </c>
      <c r="J14" s="1089">
        <f>'ETAT-PAY-VACT'!A27</f>
        <v>13</v>
      </c>
      <c r="K14" s="1090" t="str">
        <f>'ETAT-PAY-VACT'!C27</f>
        <v>لالالالالالالا</v>
      </c>
      <c r="L14" s="1090" t="str">
        <f>LOOKUP(A14,'VAC-TCMP'!A:A,'VAC-TCMP'!D:D)</f>
        <v>حارس</v>
      </c>
      <c r="M14" s="1090" t="str">
        <f>'ETAT-PAY-VACT'!Y27</f>
        <v>الخزينة الولائية</v>
      </c>
      <c r="N14" s="1089">
        <v>5000</v>
      </c>
      <c r="O14" s="1089"/>
      <c r="P14" s="1089">
        <f>LOOKUP(J14,'ETAT-PAY-VACT'!A:A,'ETAT-PAY-VACT'!J:J)</f>
        <v>0</v>
      </c>
      <c r="Q14" s="1096">
        <f t="shared" si="2"/>
        <v>0</v>
      </c>
      <c r="R14" s="1096" t="str">
        <f t="shared" si="3"/>
        <v/>
      </c>
      <c r="AM14" s="822"/>
    </row>
    <row r="15" spans="1:44" ht="18.75" thickBot="1">
      <c r="A15" s="1085">
        <f>'Base-D'!A15</f>
        <v>14</v>
      </c>
      <c r="B15" s="1085" t="str">
        <f>'Base-D'!AX15</f>
        <v>لللللللللللللللللللللل</v>
      </c>
      <c r="C15" s="1085" t="str">
        <f>LOOKUP(A15,'Base-D'!A:A,'Base-D'!BP:BP)</f>
        <v>رئيس مكتب (مفتش رئيسي)</v>
      </c>
      <c r="D15" s="1085" t="str">
        <f>'Base-D'!S15</f>
        <v>الحساب الجاري البريدي</v>
      </c>
      <c r="E15" s="1086"/>
      <c r="F15" s="1087"/>
      <c r="G15" s="1087">
        <f>LOOKUP(A15,'ETAT-PAY-PERM'!A:A,'ETAT-PAY-PERM'!J:J)</f>
        <v>0</v>
      </c>
      <c r="H15" s="1094">
        <f t="shared" si="0"/>
        <v>0</v>
      </c>
      <c r="I15" s="1094" t="str">
        <f t="shared" si="1"/>
        <v/>
      </c>
      <c r="J15" s="1089">
        <f>'ETAT-PAY-VACT'!A28</f>
        <v>14</v>
      </c>
      <c r="K15" s="1090" t="str">
        <f>'ETAT-PAY-VACT'!C28</f>
        <v>لللللللللل</v>
      </c>
      <c r="L15" s="1090" t="str">
        <f>LOOKUP(A15,'VAC-TCMP'!A:A,'VAC-TCMP'!D:D)</f>
        <v>حارس</v>
      </c>
      <c r="M15" s="1090" t="str">
        <f>'ETAT-PAY-VACT'!Y28</f>
        <v>الخزينة الولائية</v>
      </c>
      <c r="N15" s="1089">
        <v>5000</v>
      </c>
      <c r="O15" s="1089"/>
      <c r="P15" s="1089">
        <f>LOOKUP(J15,'ETAT-PAY-VACT'!A:A,'ETAT-PAY-VACT'!J:J)</f>
        <v>0</v>
      </c>
      <c r="Q15" s="1096">
        <f t="shared" si="2"/>
        <v>0</v>
      </c>
      <c r="R15" s="1096" t="str">
        <f t="shared" si="3"/>
        <v/>
      </c>
    </row>
    <row r="16" spans="1:44" ht="18.75" thickBot="1">
      <c r="A16" s="1085">
        <f>'Base-D'!A16</f>
        <v>15</v>
      </c>
      <c r="B16" s="1085" t="str">
        <f>'Base-D'!AX16</f>
        <v>فففففففففففففففففففف</v>
      </c>
      <c r="C16" s="1085" t="str">
        <f>LOOKUP(A16,'Base-D'!A:A,'Base-D'!BP:BP)</f>
        <v>رئيس مكتب (مفتش رئيسي)</v>
      </c>
      <c r="D16" s="1085" t="str">
        <f>'Base-D'!S16</f>
        <v>الحساب الجاري البريدي</v>
      </c>
      <c r="E16" s="1086"/>
      <c r="F16" s="1087"/>
      <c r="G16" s="1087">
        <f>LOOKUP(A16,'ETAT-PAY-PERM'!A:A,'ETAT-PAY-PERM'!J:J)</f>
        <v>0</v>
      </c>
      <c r="H16" s="1094">
        <f t="shared" si="0"/>
        <v>0</v>
      </c>
      <c r="I16" s="1094" t="str">
        <f t="shared" si="1"/>
        <v/>
      </c>
      <c r="J16" s="1089">
        <f>'ETAT-PAY-VACT'!A29</f>
        <v>15</v>
      </c>
      <c r="K16" s="1090" t="str">
        <f>'ETAT-PAY-VACT'!C29</f>
        <v>قثققققثثقققثققثقث</v>
      </c>
      <c r="L16" s="1090" t="str">
        <f>LOOKUP(A16,'VAC-TCMP'!A:A,'VAC-TCMP'!D:D)</f>
        <v>حارس</v>
      </c>
      <c r="M16" s="1090" t="str">
        <f>'ETAT-PAY-VACT'!Y29</f>
        <v>الحساب الجاري البريدي</v>
      </c>
      <c r="N16" s="1089">
        <v>5000</v>
      </c>
      <c r="O16" s="1089">
        <v>5</v>
      </c>
      <c r="P16" s="1089">
        <f>LOOKUP(J16,'ETAT-PAY-VACT'!A:A,'ETAT-PAY-VACT'!J:J)</f>
        <v>3474.67</v>
      </c>
      <c r="Q16" s="1096">
        <f t="shared" si="2"/>
        <v>1</v>
      </c>
      <c r="R16" s="1096">
        <f t="shared" si="3"/>
        <v>15</v>
      </c>
    </row>
    <row r="17" spans="1:18" ht="18.75" thickBot="1">
      <c r="A17" s="1085">
        <f>'Base-D'!A17</f>
        <v>16</v>
      </c>
      <c r="B17" s="1085" t="str">
        <f>'Base-D'!AX17</f>
        <v>يسلللللللسيييييييي</v>
      </c>
      <c r="C17" s="1085" t="str">
        <f>LOOKUP(A17,'Base-D'!A:A,'Base-D'!BP:BP)</f>
        <v>رئيس مكتب (مفتش)</v>
      </c>
      <c r="D17" s="1085" t="str">
        <f>'Base-D'!S17</f>
        <v>الحساب الجاري البريدي</v>
      </c>
      <c r="E17" s="1086">
        <v>5000</v>
      </c>
      <c r="F17" s="1087"/>
      <c r="G17" s="1087">
        <f>LOOKUP(A17,'ETAT-PAY-PERM'!A:A,'ETAT-PAY-PERM'!J:J)</f>
        <v>0</v>
      </c>
      <c r="H17" s="1094">
        <f t="shared" si="0"/>
        <v>0</v>
      </c>
      <c r="I17" s="1094" t="str">
        <f t="shared" si="1"/>
        <v/>
      </c>
      <c r="J17" s="1089">
        <f>'ETAT-PAY-VACT'!A30</f>
        <v>16</v>
      </c>
      <c r="K17" s="1090" t="str">
        <f>'ETAT-PAY-VACT'!C30</f>
        <v>لبلبيليبلبيلبيلبي</v>
      </c>
      <c r="L17" s="1090" t="str">
        <f>LOOKUP(A17,'VAC-TCMP'!A:A,'VAC-TCMP'!D:D)</f>
        <v>حارس</v>
      </c>
      <c r="M17" s="1090" t="str">
        <f>'ETAT-PAY-VACT'!Y30</f>
        <v>الحساب الجاري البريدي</v>
      </c>
      <c r="N17" s="1089">
        <v>5000</v>
      </c>
      <c r="O17" s="1089"/>
      <c r="P17" s="1089">
        <f>LOOKUP(J17,'ETAT-PAY-VACT'!A:A,'ETAT-PAY-VACT'!J:J)</f>
        <v>0</v>
      </c>
      <c r="Q17" s="1096">
        <f t="shared" si="2"/>
        <v>0</v>
      </c>
      <c r="R17" s="1096" t="str">
        <f t="shared" si="3"/>
        <v/>
      </c>
    </row>
    <row r="18" spans="1:18" ht="18.75" thickBot="1">
      <c r="A18" s="1085">
        <f>'Base-D'!A18</f>
        <v>17</v>
      </c>
      <c r="B18" s="1085" t="str">
        <f>'Base-D'!AX18</f>
        <v>ررءرءؤرؤءرليسليسليسل</v>
      </c>
      <c r="C18" s="1085" t="str">
        <f>LOOKUP(A18,'Base-D'!A:A,'Base-D'!BP:BP)</f>
        <v xml:space="preserve"> مفتش</v>
      </c>
      <c r="D18" s="1085" t="str">
        <f>'Base-D'!S18</f>
        <v>الخزينة الولائية</v>
      </c>
      <c r="E18" s="1086">
        <v>5000</v>
      </c>
      <c r="F18" s="1087"/>
      <c r="G18" s="1087">
        <f>LOOKUP(A18,'ETAT-PAY-PERM'!A:A,'ETAT-PAY-PERM'!J:J)</f>
        <v>0</v>
      </c>
      <c r="H18" s="1094">
        <f t="shared" si="0"/>
        <v>0</v>
      </c>
      <c r="I18" s="1094" t="str">
        <f t="shared" si="1"/>
        <v/>
      </c>
      <c r="J18" s="1089">
        <f>'ETAT-PAY-VACT'!A31</f>
        <v>17</v>
      </c>
      <c r="K18" s="1090" t="str">
        <f>'ETAT-PAY-VACT'!C31</f>
        <v>ؤوةلاىرؤزولاى</v>
      </c>
      <c r="L18" s="1090" t="str">
        <f>LOOKUP(A18,'VAC-TCMP'!A:A,'VAC-TCMP'!D:D)</f>
        <v>حارس</v>
      </c>
      <c r="M18" s="1090" t="str">
        <f>'ETAT-PAY-VACT'!Y31</f>
        <v>الحساب الجاري البريدي</v>
      </c>
      <c r="N18" s="1089"/>
      <c r="O18" s="1089"/>
      <c r="P18" s="1089">
        <f>LOOKUP(J18,'ETAT-PAY-VACT'!A:A,'ETAT-PAY-VACT'!J:J)</f>
        <v>0</v>
      </c>
      <c r="Q18" s="1096">
        <f t="shared" si="2"/>
        <v>0</v>
      </c>
      <c r="R18" s="1096" t="str">
        <f t="shared" si="3"/>
        <v/>
      </c>
    </row>
    <row r="19" spans="1:18" ht="18.75" thickBot="1">
      <c r="A19" s="1085">
        <f>'Base-D'!A19</f>
        <v>18</v>
      </c>
      <c r="B19" s="1085" t="str">
        <f>'Base-D'!AX19</f>
        <v>صثقصقثصقضشللبيسلبيشل</v>
      </c>
      <c r="C19" s="1085" t="str">
        <f>LOOKUP(A19,'Base-D'!A:A,'Base-D'!BP:BP)</f>
        <v>رئيس مكتب (متصرف رئيسي)</v>
      </c>
      <c r="D19" s="1085" t="str">
        <f>'Base-D'!S19</f>
        <v>الحساب الجاري البريدي</v>
      </c>
      <c r="E19" s="1086">
        <v>5000</v>
      </c>
      <c r="F19" s="1087"/>
      <c r="G19" s="1087">
        <f>LOOKUP(A19,'ETAT-PAY-PERM'!A:A,'ETAT-PAY-PERM'!J:J)</f>
        <v>0</v>
      </c>
      <c r="H19" s="1094">
        <f t="shared" si="0"/>
        <v>0</v>
      </c>
      <c r="I19" s="1094" t="str">
        <f t="shared" si="1"/>
        <v/>
      </c>
      <c r="J19" s="1089">
        <f>'ETAT-PAY-VACT'!A32</f>
        <v>18</v>
      </c>
      <c r="K19" s="1090" t="str">
        <f>'ETAT-PAY-VACT'!C32</f>
        <v>ةوزرؤىلاوةزىؤرء</v>
      </c>
      <c r="L19" s="1090" t="str">
        <f>LOOKUP(A19,'VAC-TCMP'!A:A,'VAC-TCMP'!D:D)</f>
        <v>حارس</v>
      </c>
      <c r="M19" s="1090" t="str">
        <f>'ETAT-PAY-VACT'!Y32</f>
        <v>الحساب الجاري البريدي</v>
      </c>
      <c r="N19" s="1089"/>
      <c r="O19" s="1089"/>
      <c r="P19" s="1089">
        <f>LOOKUP(J19,'ETAT-PAY-VACT'!A:A,'ETAT-PAY-VACT'!J:J)</f>
        <v>0</v>
      </c>
      <c r="Q19" s="1096">
        <f t="shared" si="2"/>
        <v>0</v>
      </c>
      <c r="R19" s="1096" t="str">
        <f t="shared" si="3"/>
        <v/>
      </c>
    </row>
    <row r="20" spans="1:18" ht="18.75" thickBot="1">
      <c r="A20" s="1085">
        <f>'Base-D'!A20</f>
        <v>19</v>
      </c>
      <c r="B20" s="1085" t="str">
        <f>'Base-D'!AX20</f>
        <v>صثقثصقثصقصثرسيبرشبيسب</v>
      </c>
      <c r="C20" s="1085" t="str">
        <f>LOOKUP(A20,'Base-D'!A:A,'Base-D'!BP:BP)</f>
        <v>رئيس قسم (مفتش)</v>
      </c>
      <c r="D20" s="1085" t="str">
        <f>'Base-D'!S20</f>
        <v>الخزينة الولائية</v>
      </c>
      <c r="E20" s="1086">
        <v>5000</v>
      </c>
      <c r="F20" s="1087">
        <v>2</v>
      </c>
      <c r="G20" s="1087">
        <f>LOOKUP(A20,'ETAT-PAY-PERM'!A:A,'ETAT-PAY-PERM'!J:J)</f>
        <v>3739.02</v>
      </c>
      <c r="H20" s="1094">
        <f t="shared" si="0"/>
        <v>1</v>
      </c>
      <c r="I20" s="1094">
        <f t="shared" si="1"/>
        <v>19</v>
      </c>
      <c r="J20" s="1089">
        <f>'ETAT-PAY-VACT'!A33</f>
        <v>19</v>
      </c>
      <c r="K20" s="1090" t="str">
        <f>'ETAT-PAY-VACT'!C33</f>
        <v>ظوزةلاؤءروةلارؤلا</v>
      </c>
      <c r="L20" s="1090" t="str">
        <f>LOOKUP(A20,'VAC-TCMP'!A:A,'VAC-TCMP'!D:D)</f>
        <v>حارس</v>
      </c>
      <c r="M20" s="1090" t="str">
        <f>'ETAT-PAY-VACT'!Y33</f>
        <v>الحساب الجاري البريدي</v>
      </c>
      <c r="N20" s="1089">
        <v>5000</v>
      </c>
      <c r="O20" s="1089">
        <v>1</v>
      </c>
      <c r="P20" s="1089">
        <f>LOOKUP(J20,'ETAT-PAY-VACT'!A:A,'ETAT-PAY-VACT'!J:J)</f>
        <v>689.6</v>
      </c>
      <c r="Q20" s="1096">
        <f t="shared" si="2"/>
        <v>1</v>
      </c>
      <c r="R20" s="1096">
        <f t="shared" si="3"/>
        <v>19</v>
      </c>
    </row>
    <row r="21" spans="1:18" ht="18.75" thickBot="1">
      <c r="A21" s="1085">
        <f>'Base-D'!A21</f>
        <v>20</v>
      </c>
      <c r="B21" s="1085" t="str">
        <f>'Base-D'!AX21</f>
        <v>للللللللبيسلبيليبسل</v>
      </c>
      <c r="C21" s="1085" t="str">
        <f>LOOKUP(A21,'Base-D'!A:A,'Base-D'!BP:BP)</f>
        <v>رئيس قسم (مفتش)</v>
      </c>
      <c r="D21" s="1085" t="str">
        <f>'Base-D'!S21</f>
        <v>الخزينة الولائية</v>
      </c>
      <c r="E21" s="1086">
        <v>5000</v>
      </c>
      <c r="F21" s="1087"/>
      <c r="G21" s="1087">
        <f>LOOKUP(A21,'ETAT-PAY-PERM'!A:A,'ETAT-PAY-PERM'!J:J)</f>
        <v>0</v>
      </c>
      <c r="H21" s="1094">
        <f t="shared" si="0"/>
        <v>0</v>
      </c>
      <c r="I21" s="1094" t="str">
        <f t="shared" si="1"/>
        <v/>
      </c>
      <c r="J21" s="1089">
        <f>'ETAT-PAY-VACT'!A34</f>
        <v>20</v>
      </c>
      <c r="K21" s="1090" t="str">
        <f>'ETAT-PAY-VACT'!C34</f>
        <v>ؤرزوءظةلانتكلمسنات</v>
      </c>
      <c r="L21" s="1090" t="str">
        <f>LOOKUP(A21,'VAC-TCMP'!A:A,'VAC-TCMP'!D:D)</f>
        <v>حارس</v>
      </c>
      <c r="M21" s="1090" t="str">
        <f>'ETAT-PAY-VACT'!Y34</f>
        <v>الحساب الجاري البريدي</v>
      </c>
      <c r="N21" s="1089">
        <v>5000</v>
      </c>
      <c r="O21" s="1089"/>
      <c r="P21" s="1089">
        <f>LOOKUP(J21,'ETAT-PAY-VACT'!A:A,'ETAT-PAY-VACT'!J:J)</f>
        <v>0</v>
      </c>
      <c r="Q21" s="1096">
        <f t="shared" si="2"/>
        <v>0</v>
      </c>
      <c r="R21" s="1096" t="str">
        <f t="shared" si="3"/>
        <v/>
      </c>
    </row>
    <row r="22" spans="1:18" ht="18.75" thickBot="1">
      <c r="A22" s="1085">
        <f>'Base-D'!A22</f>
        <v>21</v>
      </c>
      <c r="B22" s="1085" t="str">
        <f>'Base-D'!AX22</f>
        <v>ففففففففلللللللللللللل</v>
      </c>
      <c r="C22" s="1085" t="str">
        <f>LOOKUP(A22,'Base-D'!A:A,'Base-D'!BP:BP)</f>
        <v>رئيس قسم (مفتش)</v>
      </c>
      <c r="D22" s="1085" t="str">
        <f>'Base-D'!S22</f>
        <v>الحساب الجاري البريدي</v>
      </c>
      <c r="E22" s="1086"/>
      <c r="F22" s="1087"/>
      <c r="G22" s="1087">
        <f>LOOKUP(A22,'ETAT-PAY-PERM'!A:A,'ETAT-PAY-PERM'!J:J)</f>
        <v>0</v>
      </c>
      <c r="H22" s="1094">
        <f t="shared" si="0"/>
        <v>0</v>
      </c>
      <c r="I22" s="1094" t="str">
        <f t="shared" si="1"/>
        <v/>
      </c>
      <c r="J22" s="1089">
        <f>'ETAT-PAY-VACT'!A35</f>
        <v>21</v>
      </c>
      <c r="K22" s="1090" t="str">
        <f>'ETAT-PAY-VACT'!C35</f>
        <v>منؤرءىلارؤ نمؤلارنلا</v>
      </c>
      <c r="L22" s="1090" t="str">
        <f>LOOKUP(A22,'VAC-TCMP'!A:A,'VAC-TCMP'!D:D)</f>
        <v>حارس</v>
      </c>
      <c r="M22" s="1090" t="str">
        <f>'ETAT-PAY-VACT'!Y35</f>
        <v>الخزينة الولائية</v>
      </c>
      <c r="N22" s="1089">
        <v>5000</v>
      </c>
      <c r="O22" s="1089"/>
      <c r="P22" s="1089">
        <f>LOOKUP(J22,'ETAT-PAY-VACT'!A:A,'ETAT-PAY-VACT'!J:J)</f>
        <v>0</v>
      </c>
      <c r="Q22" s="1096">
        <f t="shared" si="2"/>
        <v>0</v>
      </c>
      <c r="R22" s="1096" t="str">
        <f t="shared" si="3"/>
        <v/>
      </c>
    </row>
    <row r="23" spans="1:18" ht="18.75" thickBot="1">
      <c r="A23" s="1085">
        <f>'Base-D'!A23</f>
        <v>22</v>
      </c>
      <c r="B23" s="1085" t="str">
        <f>'Base-D'!AX23</f>
        <v>سييييييييفففففففففففف</v>
      </c>
      <c r="C23" s="1085" t="str">
        <f>LOOKUP(A23,'Base-D'!A:A,'Base-D'!BP:BP)</f>
        <v>رئيس قسم (مفتش)</v>
      </c>
      <c r="D23" s="1085" t="str">
        <f>'Base-D'!S23</f>
        <v>الحساب الجاري البريدي</v>
      </c>
      <c r="E23" s="1086">
        <v>5000</v>
      </c>
      <c r="F23" s="1087"/>
      <c r="G23" s="1087">
        <f>LOOKUP(A23,'ETAT-PAY-PERM'!A:A,'ETAT-PAY-PERM'!J:J)</f>
        <v>0</v>
      </c>
      <c r="H23" s="1094">
        <f t="shared" si="0"/>
        <v>0</v>
      </c>
      <c r="I23" s="1094" t="str">
        <f t="shared" si="1"/>
        <v/>
      </c>
      <c r="J23" s="1089">
        <f>'ETAT-PAY-VACT'!A36</f>
        <v>22</v>
      </c>
      <c r="K23" s="1090" t="str">
        <f>'ETAT-PAY-VACT'!C36</f>
        <v>ةوىلاؤةرءلاىزوؤةىروةى</v>
      </c>
      <c r="L23" s="1090" t="str">
        <f>LOOKUP(A23,'VAC-TCMP'!A:A,'VAC-TCMP'!D:D)</f>
        <v>حارس</v>
      </c>
      <c r="M23" s="1090" t="str">
        <f>'ETAT-PAY-VACT'!Y36</f>
        <v>الحساب الجاري البريدي</v>
      </c>
      <c r="N23" s="1089"/>
      <c r="O23" s="1089"/>
      <c r="P23" s="1089">
        <f>LOOKUP(J23,'ETAT-PAY-VACT'!A:A,'ETAT-PAY-VACT'!J:J)</f>
        <v>0</v>
      </c>
      <c r="Q23" s="1096">
        <f t="shared" si="2"/>
        <v>0</v>
      </c>
      <c r="R23" s="1096" t="str">
        <f t="shared" si="3"/>
        <v/>
      </c>
    </row>
    <row r="24" spans="1:18" ht="18.75" thickBot="1">
      <c r="A24" s="1085">
        <f>'Base-D'!A24</f>
        <v>23</v>
      </c>
      <c r="B24" s="1085" t="str">
        <f>'Base-D'!AX24</f>
        <v>ليسليسليسليسللللللل</v>
      </c>
      <c r="C24" s="1085" t="str">
        <f>LOOKUP(A24,'Base-D'!A:A,'Base-D'!BP:BP)</f>
        <v>رئيس قسم (مفتش)</v>
      </c>
      <c r="D24" s="1085" t="str">
        <f>'Base-D'!S24</f>
        <v>الحساب الجاري البريدي</v>
      </c>
      <c r="E24" s="1086"/>
      <c r="F24" s="1087"/>
      <c r="G24" s="1087">
        <f>LOOKUP(A24,'ETAT-PAY-PERM'!A:A,'ETAT-PAY-PERM'!J:J)</f>
        <v>0</v>
      </c>
      <c r="H24" s="1094">
        <f t="shared" si="0"/>
        <v>0</v>
      </c>
      <c r="I24" s="1094" t="str">
        <f t="shared" si="1"/>
        <v/>
      </c>
      <c r="J24" s="1091">
        <f>'ETAT-PAY-VACT (2)'!A15</f>
        <v>23</v>
      </c>
      <c r="K24" s="1092" t="str">
        <f>'ETAT-PAY-VACT (2)'!C15</f>
        <v>زنتؤءىلاورؤةىلازوةءؤرىلا</v>
      </c>
      <c r="L24" s="1092" t="str">
        <f>LOOKUP(A24,'VAC-TCMP'!A:A,'VAC-TCMP'!D:D)</f>
        <v>عامل مهني من المستوى الأول</v>
      </c>
      <c r="M24" s="1092" t="str">
        <f>'ETAT-PAY-VACT (2)'!Y15</f>
        <v>بنك الفلاحة و التنمية الريفية</v>
      </c>
      <c r="N24" s="1091"/>
      <c r="O24" s="1091">
        <v>1</v>
      </c>
      <c r="P24" s="1091">
        <f>LOOKUP(J24,'ETAT-PAY-VACT (2)'!A:A,'ETAT-PAY-VACT (2)'!J:J)</f>
        <v>481.57</v>
      </c>
      <c r="Q24" s="1097">
        <f>IF(P24&gt;1,1,0)</f>
        <v>1</v>
      </c>
      <c r="R24" s="1097">
        <f t="shared" si="3"/>
        <v>23</v>
      </c>
    </row>
    <row r="25" spans="1:18" ht="18.75" thickBot="1">
      <c r="A25" s="1085">
        <f>'Base-D'!A25</f>
        <v>24</v>
      </c>
      <c r="B25" s="1085" t="str">
        <f>'Base-D'!AX25</f>
        <v>شللبيسلبيشلررءرءؤرؤءر</v>
      </c>
      <c r="C25" s="1085" t="str">
        <f>LOOKUP(A25,'Base-D'!A:A,'Base-D'!BP:BP)</f>
        <v>رئيس قسم (مراقب)</v>
      </c>
      <c r="D25" s="1085" t="str">
        <f>'Base-D'!S25</f>
        <v>الخزينة الولائية</v>
      </c>
      <c r="E25" s="1088"/>
      <c r="F25" s="1087"/>
      <c r="G25" s="1087">
        <f>LOOKUP(A25,'ETAT-PAY-PERM'!A:A,'ETAT-PAY-PERM'!J:J)</f>
        <v>0</v>
      </c>
      <c r="H25" s="1094">
        <f t="shared" si="0"/>
        <v>0</v>
      </c>
      <c r="I25" s="1094" t="str">
        <f t="shared" si="1"/>
        <v/>
      </c>
      <c r="J25" s="1091">
        <f>'ETAT-PAY-VACT (2)'!A16</f>
        <v>24</v>
      </c>
      <c r="K25" s="1092" t="str">
        <f>'ETAT-PAY-VACT (2)'!C16</f>
        <v>نتيمسلابىلاكؤرمتنىلا</v>
      </c>
      <c r="L25" s="1092" t="str">
        <f>LOOKUP(A25,'VAC-TCMP'!A:A,'VAC-TCMP'!D:D)</f>
        <v>عامل مهني من المستوى الأول</v>
      </c>
      <c r="M25" s="1092" t="str">
        <f>'ETAT-PAY-VACT (2)'!Y16</f>
        <v>بنك التنمية المحلية</v>
      </c>
      <c r="N25" s="1089">
        <v>5000</v>
      </c>
      <c r="O25" s="1091">
        <v>2</v>
      </c>
      <c r="P25" s="1091">
        <f>LOOKUP(J25,'ETAT-PAY-VACT (2)'!A:A,'ETAT-PAY-VACT (2)'!J:J)</f>
        <v>965</v>
      </c>
      <c r="Q25" s="1097">
        <f t="shared" ref="Q25:Q30" si="12">IF(P25&gt;1,1,0)</f>
        <v>1</v>
      </c>
      <c r="R25" s="1097">
        <f t="shared" si="3"/>
        <v>24</v>
      </c>
    </row>
    <row r="26" spans="1:18" ht="18.75" thickBot="1">
      <c r="A26" s="1085">
        <f>'Base-D'!A26</f>
        <v>25</v>
      </c>
      <c r="B26" s="1085" t="str">
        <f>'Base-D'!AX26</f>
        <v>رسيبرشبيسبصثقصقثصقض</v>
      </c>
      <c r="C26" s="1085" t="str">
        <f>LOOKUP(A26,'Base-D'!A:A,'Base-D'!BP:BP)</f>
        <v>رئيس قسم (مراقب)</v>
      </c>
      <c r="D26" s="1085" t="str">
        <f>'Base-D'!S26</f>
        <v>الحساب الجاري البريدي</v>
      </c>
      <c r="E26" s="1086">
        <v>5000</v>
      </c>
      <c r="F26" s="1087"/>
      <c r="G26" s="1087">
        <f>LOOKUP(A26,'ETAT-PAY-PERM'!A:A,'ETAT-PAY-PERM'!J:J)</f>
        <v>0</v>
      </c>
      <c r="H26" s="1094">
        <f t="shared" si="0"/>
        <v>0</v>
      </c>
      <c r="I26" s="1094" t="str">
        <f t="shared" si="1"/>
        <v/>
      </c>
      <c r="J26" s="1091">
        <f>'ETAT-PAY-VACT (2)'!A17</f>
        <v>25</v>
      </c>
      <c r="K26" s="1092" t="str">
        <f>'ETAT-PAY-VACT (2)'!C17</f>
        <v>ةىروؤزلاىؤرءزوةلا</v>
      </c>
      <c r="L26" s="1092" t="str">
        <f>LOOKUP(A26,'VAC-TCMP'!A:A,'VAC-TCMP'!D:D)</f>
        <v>عامل مهني من المستوى الأول</v>
      </c>
      <c r="M26" s="1092" t="str">
        <f>'ETAT-PAY-VACT (2)'!Y17</f>
        <v>بنك التنمية المحلية</v>
      </c>
      <c r="N26" s="1089">
        <v>5000</v>
      </c>
      <c r="O26" s="1091"/>
      <c r="P26" s="1091">
        <f>LOOKUP(J26,'ETAT-PAY-VACT (2)'!A:A,'ETAT-PAY-VACT (2)'!J:J)</f>
        <v>0</v>
      </c>
      <c r="Q26" s="1097">
        <f t="shared" si="12"/>
        <v>0</v>
      </c>
      <c r="R26" s="1097" t="str">
        <f t="shared" si="3"/>
        <v/>
      </c>
    </row>
    <row r="27" spans="1:18" ht="18.75" thickBot="1">
      <c r="A27" s="1085">
        <f>'Base-D'!A27</f>
        <v>26</v>
      </c>
      <c r="B27" s="1085" t="str">
        <f>'Base-D'!AX27</f>
        <v>بيسلبيليبسلصثقثصقثصقصث</v>
      </c>
      <c r="C27" s="1085" t="str">
        <f>LOOKUP(A27,'Base-D'!A:A,'Base-D'!BP:BP)</f>
        <v>أمين صندوق (مفتش)</v>
      </c>
      <c r="D27" s="1085" t="str">
        <f>'Base-D'!S27</f>
        <v>بنك الفلاحة و التنمية الريفية</v>
      </c>
      <c r="E27" s="1086">
        <v>5000</v>
      </c>
      <c r="F27" s="1087"/>
      <c r="G27" s="1087">
        <f>LOOKUP(A27,'ETAT-PAY-PERM'!A:A,'ETAT-PAY-PERM'!J:J)</f>
        <v>0</v>
      </c>
      <c r="H27" s="1094">
        <f t="shared" si="0"/>
        <v>0</v>
      </c>
      <c r="I27" s="1094" t="str">
        <f t="shared" si="1"/>
        <v/>
      </c>
      <c r="J27" s="1091">
        <f>'ETAT-PAY-VACT (2)'!A18</f>
        <v>26</v>
      </c>
      <c r="K27" s="1092" t="str">
        <f>'ETAT-PAY-VACT (2)'!C18</f>
        <v>منتكبالاسماتلطبات</v>
      </c>
      <c r="L27" s="1092" t="str">
        <f>LOOKUP(A27,'VAC-TCMP'!A:A,'VAC-TCMP'!D:D)</f>
        <v>عامل مهني من المستوى الأول</v>
      </c>
      <c r="M27" s="1092" t="str">
        <f>'ETAT-PAY-VACT (2)'!Y18</f>
        <v>الحساب الجاري البريدي</v>
      </c>
      <c r="N27" s="1089">
        <v>5000</v>
      </c>
      <c r="O27" s="1091"/>
      <c r="P27" s="1091">
        <f>LOOKUP(J27,'ETAT-PAY-VACT (2)'!A:A,'ETAT-PAY-VACT (2)'!J:J)</f>
        <v>0</v>
      </c>
      <c r="Q27" s="1097">
        <f t="shared" si="12"/>
        <v>0</v>
      </c>
      <c r="R27" s="1097" t="str">
        <f t="shared" si="3"/>
        <v/>
      </c>
    </row>
    <row r="28" spans="1:18" ht="18.75" thickBot="1">
      <c r="A28" s="1085">
        <f>'Base-D'!A28</f>
        <v>27</v>
      </c>
      <c r="B28" s="1085" t="str">
        <f>'Base-D'!AX28</f>
        <v>لللللللللللللللللللللل</v>
      </c>
      <c r="C28" s="1085" t="str">
        <f>LOOKUP(A28,'Base-D'!A:A,'Base-D'!BP:BP)</f>
        <v xml:space="preserve"> مراقب</v>
      </c>
      <c r="D28" s="1085" t="str">
        <f>'Base-D'!S28</f>
        <v>بنك التنمية المحلية</v>
      </c>
      <c r="E28" s="1086">
        <v>5000</v>
      </c>
      <c r="F28" s="1087"/>
      <c r="G28" s="1087">
        <f>LOOKUP(A28,'ETAT-PAY-PERM'!A:A,'ETAT-PAY-PERM'!J:J)</f>
        <v>0</v>
      </c>
      <c r="H28" s="1094">
        <f t="shared" si="0"/>
        <v>0</v>
      </c>
      <c r="I28" s="1094" t="str">
        <f t="shared" si="1"/>
        <v/>
      </c>
      <c r="J28" s="1091">
        <f>'ETAT-PAY-VACT (2)'!A19</f>
        <v>27</v>
      </c>
      <c r="K28" s="1092" t="str">
        <f>'ETAT-PAY-VACT (2)'!C19</f>
        <v>كسمنتيبسشكيمنلتميبسل</v>
      </c>
      <c r="L28" s="1092" t="str">
        <f>LOOKUP(A28,'VAC-TCMP'!A:A,'VAC-TCMP'!D:D)</f>
        <v>عامل مهني من المستوى الأول</v>
      </c>
      <c r="M28" s="1092" t="str">
        <f>'ETAT-PAY-VACT (2)'!Y19</f>
        <v>الحساب الجاري البريدي</v>
      </c>
      <c r="N28" s="1089">
        <v>5000</v>
      </c>
      <c r="O28" s="1091">
        <v>2</v>
      </c>
      <c r="P28" s="1091">
        <f>LOOKUP(J28,'ETAT-PAY-VACT (2)'!A:A,'ETAT-PAY-VACT (2)'!J:J)</f>
        <v>824.32</v>
      </c>
      <c r="Q28" s="1097">
        <f t="shared" si="12"/>
        <v>1</v>
      </c>
      <c r="R28" s="1097">
        <f t="shared" si="3"/>
        <v>27</v>
      </c>
    </row>
    <row r="29" spans="1:18" ht="18.75" thickBot="1">
      <c r="A29" s="1085">
        <f>'Base-D'!A29</f>
        <v>28</v>
      </c>
      <c r="B29" s="1085" t="str">
        <f>'Base-D'!AX29</f>
        <v>فففففففففففففففففففف</v>
      </c>
      <c r="C29" s="1085" t="str">
        <f>LOOKUP(A29,'Base-D'!A:A,'Base-D'!BP:BP)</f>
        <v xml:space="preserve"> متصرف رئيسي</v>
      </c>
      <c r="D29" s="1085" t="str">
        <f>'Base-D'!S29</f>
        <v>بنك التنمية المحلية</v>
      </c>
      <c r="E29" s="1086">
        <v>5000</v>
      </c>
      <c r="F29" s="1087"/>
      <c r="G29" s="1087">
        <f>LOOKUP(A29,'ETAT-PAY-PERM'!A:A,'ETAT-PAY-PERM'!J:J)</f>
        <v>0</v>
      </c>
      <c r="H29" s="1094">
        <f t="shared" si="0"/>
        <v>0</v>
      </c>
      <c r="I29" s="1094" t="str">
        <f t="shared" si="1"/>
        <v/>
      </c>
      <c r="J29" s="1091">
        <f>'ETAT-PAY-VACT (2)'!A20</f>
        <v>28</v>
      </c>
      <c r="K29" s="1092" t="str">
        <f>'ETAT-PAY-VACT (2)'!C20</f>
        <v>نتبلشبنيمتلنمبيل</v>
      </c>
      <c r="L29" s="1092" t="str">
        <f>LOOKUP(A29,'VAC-TCMP'!A:A,'VAC-TCMP'!D:D)</f>
        <v>عامل مهني من المستوى الأول</v>
      </c>
      <c r="M29" s="1092" t="str">
        <f>'ETAT-PAY-VACT (2)'!Y20</f>
        <v>الحساب الجاري البريدي</v>
      </c>
      <c r="N29" s="1091"/>
      <c r="O29" s="1091"/>
      <c r="P29" s="1091">
        <f>LOOKUP(J29,'ETAT-PAY-VACT (2)'!A:A,'ETAT-PAY-VACT (2)'!J:J)</f>
        <v>0</v>
      </c>
      <c r="Q29" s="1097">
        <f t="shared" si="12"/>
        <v>0</v>
      </c>
      <c r="R29" s="1097" t="str">
        <f t="shared" si="3"/>
        <v/>
      </c>
    </row>
    <row r="30" spans="1:18" ht="18.75" thickBot="1">
      <c r="A30" s="1085">
        <f>'Base-D'!A30</f>
        <v>29</v>
      </c>
      <c r="B30" s="1085" t="str">
        <f>'Base-D'!AX30</f>
        <v>يسلللللللسيييييييي</v>
      </c>
      <c r="C30" s="1085" t="str">
        <f>LOOKUP(A30,'Base-D'!A:A,'Base-D'!BP:BP)</f>
        <v xml:space="preserve"> مهندس رئيسي في إ الآلي</v>
      </c>
      <c r="D30" s="1085" t="str">
        <f>'Base-D'!S30</f>
        <v>الخزينة الولائية</v>
      </c>
      <c r="E30" s="1088"/>
      <c r="F30" s="1087"/>
      <c r="G30" s="1087">
        <f>LOOKUP(A30,'ETAT-PAY-PERM'!A:A,'ETAT-PAY-PERM'!J:J)</f>
        <v>0</v>
      </c>
      <c r="H30" s="1094">
        <f t="shared" si="0"/>
        <v>0</v>
      </c>
      <c r="I30" s="1094" t="str">
        <f t="shared" si="1"/>
        <v/>
      </c>
      <c r="J30" s="1091">
        <f>'ETAT-PAY-VACT (2)'!A21</f>
        <v>29</v>
      </c>
      <c r="K30" s="1092" t="str">
        <f>'ETAT-PAY-VACT (2)'!C21</f>
        <v>منيبتطلنبيشتطتمنتل</v>
      </c>
      <c r="L30" s="1092" t="str">
        <f>LOOKUP(A30,'VAC-TCMP'!A:A,'VAC-TCMP'!D:D)</f>
        <v>عامل مهني من المستوى الأول</v>
      </c>
      <c r="M30" s="1092" t="str">
        <f>'ETAT-PAY-VACT (2)'!Y21</f>
        <v>الحساب الجاري البريدي</v>
      </c>
      <c r="N30" s="1091"/>
      <c r="O30" s="1091"/>
      <c r="P30" s="1091">
        <f>LOOKUP(J30,'ETAT-PAY-VACT (2)'!A:A,'ETAT-PAY-VACT (2)'!J:J)</f>
        <v>0</v>
      </c>
      <c r="Q30" s="1097">
        <f t="shared" si="12"/>
        <v>0</v>
      </c>
      <c r="R30" s="1097" t="str">
        <f t="shared" si="3"/>
        <v/>
      </c>
    </row>
    <row r="31" spans="1:18" ht="18.75" thickBot="1">
      <c r="A31" s="1085">
        <f>'Base-D'!A31</f>
        <v>30</v>
      </c>
      <c r="B31" s="1085" t="str">
        <f>'Base-D'!AX31</f>
        <v>ررءرءؤرؤءرليسليسليسل</v>
      </c>
      <c r="C31" s="1085" t="str">
        <f>LOOKUP(A31,'Base-D'!A:A,'Base-D'!BP:BP)</f>
        <v xml:space="preserve"> متصرف محلل</v>
      </c>
      <c r="D31" s="1085" t="str">
        <f>'Base-D'!S31</f>
        <v>الحساب الجاري البريدي</v>
      </c>
      <c r="E31" s="1086"/>
      <c r="F31" s="1087"/>
      <c r="G31" s="1087">
        <f>LOOKUP(A31,'ETAT-PAY-PERM'!A:A,'ETAT-PAY-PERM'!J:J)</f>
        <v>0</v>
      </c>
      <c r="H31" s="1094">
        <f t="shared" si="0"/>
        <v>0</v>
      </c>
      <c r="I31" s="1094" t="str">
        <f t="shared" si="1"/>
        <v/>
      </c>
      <c r="P31" s="688">
        <f>LOOKUP(J31,'ETAT-PAY-PERM'!J:J,'ETAT-PAY-PERM'!S:S)</f>
        <v>0</v>
      </c>
      <c r="Q31" s="1095">
        <f t="shared" si="2"/>
        <v>0</v>
      </c>
      <c r="R31" s="1095" t="str">
        <f t="shared" si="3"/>
        <v/>
      </c>
    </row>
    <row r="32" spans="1:18" ht="18.75" thickBot="1">
      <c r="A32" s="1085">
        <f>'Base-D'!A32</f>
        <v>31</v>
      </c>
      <c r="B32" s="1085" t="str">
        <f>'Base-D'!AX32</f>
        <v>صثقصقثصقضشللبيسلبيشل</v>
      </c>
      <c r="C32" s="1085" t="str">
        <f>LOOKUP(A32,'Base-D'!A:A,'Base-D'!BP:BP)</f>
        <v xml:space="preserve"> مفتش رئيسي</v>
      </c>
      <c r="D32" s="1085" t="str">
        <f>'Base-D'!S32</f>
        <v>الحساب الجاري البريدي</v>
      </c>
      <c r="E32" s="1088"/>
      <c r="F32" s="1087">
        <v>20</v>
      </c>
      <c r="G32" s="1087">
        <f>LOOKUP(A32,'ETAT-PAY-PERM'!A:A,'ETAT-PAY-PERM'!J:J)</f>
        <v>40138.129999999997</v>
      </c>
      <c r="H32" s="1094">
        <f t="shared" si="0"/>
        <v>1</v>
      </c>
      <c r="I32" s="1094">
        <f t="shared" si="1"/>
        <v>31</v>
      </c>
      <c r="P32" s="688">
        <f>LOOKUP(J32,'ETAT-PAY-PERM'!J:J,'ETAT-PAY-PERM'!S:S)</f>
        <v>0</v>
      </c>
      <c r="Q32" s="1095">
        <f t="shared" si="2"/>
        <v>0</v>
      </c>
      <c r="R32" s="1095" t="str">
        <f t="shared" si="3"/>
        <v/>
      </c>
    </row>
    <row r="33" spans="1:18" ht="18.75" thickBot="1">
      <c r="A33" s="1085">
        <f>'Base-D'!A33</f>
        <v>32</v>
      </c>
      <c r="B33" s="1085" t="str">
        <f>'Base-D'!AX33</f>
        <v>صثقثصقثصقصثرسيبرشبيسب</v>
      </c>
      <c r="C33" s="1085" t="str">
        <f>LOOKUP(A33,'Base-D'!A:A,'Base-D'!BP:BP)</f>
        <v xml:space="preserve"> مفتش رئيسي</v>
      </c>
      <c r="D33" s="1085" t="str">
        <f>'Base-D'!S33</f>
        <v>الحساب الجاري البريدي</v>
      </c>
      <c r="E33" s="1086">
        <v>5000</v>
      </c>
      <c r="F33" s="1087"/>
      <c r="G33" s="1087">
        <f>LOOKUP(A33,'ETAT-PAY-PERM'!A:A,'ETAT-PAY-PERM'!J:J)</f>
        <v>0</v>
      </c>
      <c r="H33" s="1094">
        <f t="shared" si="0"/>
        <v>0</v>
      </c>
      <c r="I33" s="1094" t="str">
        <f t="shared" si="1"/>
        <v/>
      </c>
      <c r="P33" s="688">
        <f>LOOKUP(J33,'ETAT-PAY-PERM'!J:J,'ETAT-PAY-PERM'!S:S)</f>
        <v>0</v>
      </c>
      <c r="Q33" s="1095">
        <f t="shared" si="2"/>
        <v>0</v>
      </c>
      <c r="R33" s="1095" t="str">
        <f t="shared" si="3"/>
        <v/>
      </c>
    </row>
    <row r="34" spans="1:18" ht="18.75" thickBot="1">
      <c r="A34" s="1085">
        <f>'Base-D'!A34</f>
        <v>33</v>
      </c>
      <c r="B34" s="1085" t="str">
        <f>'Base-D'!AX34</f>
        <v>للللللللبيسلبيليبسل</v>
      </c>
      <c r="C34" s="1085" t="str">
        <f>LOOKUP(A34,'Base-D'!A:A,'Base-D'!BP:BP)</f>
        <v>رئيس مكتب (متصرف)</v>
      </c>
      <c r="D34" s="1085" t="str">
        <f>'Base-D'!S34</f>
        <v>الحساب الجاري البريدي</v>
      </c>
      <c r="E34" s="1086"/>
      <c r="F34" s="1087">
        <v>7</v>
      </c>
      <c r="G34" s="1087">
        <f>LOOKUP(A34,'ETAT-PAY-PERM'!A:A,'ETAT-PAY-PERM'!J:J)</f>
        <v>13031.06</v>
      </c>
      <c r="H34" s="1094">
        <f t="shared" si="0"/>
        <v>1</v>
      </c>
      <c r="I34" s="1094">
        <f t="shared" si="1"/>
        <v>33</v>
      </c>
      <c r="P34" s="688">
        <f>LOOKUP(J34,'ETAT-PAY-PERM'!J:J,'ETAT-PAY-PERM'!S:S)</f>
        <v>0</v>
      </c>
      <c r="Q34" s="1095">
        <f t="shared" si="2"/>
        <v>0</v>
      </c>
      <c r="R34" s="1095" t="str">
        <f t="shared" si="3"/>
        <v/>
      </c>
    </row>
    <row r="35" spans="1:18" ht="18.75" thickBot="1">
      <c r="A35" s="1085">
        <f>'Base-D'!A35</f>
        <v>34</v>
      </c>
      <c r="B35" s="1085" t="str">
        <f>'Base-D'!AX35</f>
        <v>ففففففففلللللللللللللل</v>
      </c>
      <c r="C35" s="1085" t="str">
        <f>LOOKUP(A35,'Base-D'!A:A,'Base-D'!BP:BP)</f>
        <v xml:space="preserve"> متصرف</v>
      </c>
      <c r="D35" s="1085" t="str">
        <f>'Base-D'!S35</f>
        <v>الحساب الجاري البريدي</v>
      </c>
      <c r="E35" s="1086">
        <v>5000</v>
      </c>
      <c r="F35" s="1087"/>
      <c r="G35" s="1087">
        <f>LOOKUP(A35,'ETAT-PAY-PERM'!A:A,'ETAT-PAY-PERM'!J:J)</f>
        <v>0</v>
      </c>
      <c r="H35" s="1094">
        <f t="shared" si="0"/>
        <v>0</v>
      </c>
      <c r="I35" s="1094" t="str">
        <f t="shared" si="1"/>
        <v/>
      </c>
      <c r="P35" s="688">
        <f>LOOKUP(J35,'ETAT-PAY-PERM'!J:J,'ETAT-PAY-PERM'!S:S)</f>
        <v>0</v>
      </c>
      <c r="Q35" s="1095">
        <f t="shared" si="2"/>
        <v>0</v>
      </c>
      <c r="R35" s="1095" t="str">
        <f t="shared" si="3"/>
        <v/>
      </c>
    </row>
    <row r="36" spans="1:18" ht="18.75" thickBot="1">
      <c r="A36" s="1085">
        <f>'Base-D'!A36</f>
        <v>35</v>
      </c>
      <c r="B36" s="1085" t="str">
        <f>'Base-D'!AX36</f>
        <v>سييييييييفففففففففففف</v>
      </c>
      <c r="C36" s="1085" t="str">
        <f>LOOKUP(A36,'Base-D'!A:A,'Base-D'!BP:BP)</f>
        <v xml:space="preserve"> متصرف</v>
      </c>
      <c r="D36" s="1085" t="str">
        <f>'Base-D'!S36</f>
        <v>الحساب الجاري البريدي</v>
      </c>
      <c r="E36" s="1086"/>
      <c r="F36" s="1087"/>
      <c r="G36" s="1087">
        <f>LOOKUP(A36,'ETAT-PAY-PERM'!A:A,'ETAT-PAY-PERM'!J:J)</f>
        <v>0</v>
      </c>
      <c r="H36" s="1094">
        <f t="shared" si="0"/>
        <v>0</v>
      </c>
      <c r="I36" s="1094" t="str">
        <f t="shared" si="1"/>
        <v/>
      </c>
      <c r="P36" s="688">
        <f>LOOKUP(J36,'ETAT-PAY-PERM'!J:J,'ETAT-PAY-PERM'!S:S)</f>
        <v>0</v>
      </c>
      <c r="Q36" s="1095">
        <f t="shared" si="2"/>
        <v>0</v>
      </c>
      <c r="R36" s="1095" t="str">
        <f t="shared" si="3"/>
        <v/>
      </c>
    </row>
    <row r="37" spans="1:18" ht="18.75" thickBot="1">
      <c r="A37" s="1085">
        <f>'Base-D'!A37</f>
        <v>36</v>
      </c>
      <c r="B37" s="1085" t="str">
        <f>'Base-D'!AX37</f>
        <v>ليسليسليسليسللللللل</v>
      </c>
      <c r="C37" s="1085" t="str">
        <f>LOOKUP(A37,'Base-D'!A:A,'Base-D'!BP:BP)</f>
        <v xml:space="preserve"> متصرف</v>
      </c>
      <c r="D37" s="1085" t="str">
        <f>'Base-D'!S37</f>
        <v>الحساب الجاري البريدي</v>
      </c>
      <c r="E37" s="1086"/>
      <c r="F37" s="1087"/>
      <c r="G37" s="1087">
        <f>LOOKUP(A37,'ETAT-PAY-PERM'!A:A,'ETAT-PAY-PERM'!J:J)</f>
        <v>0</v>
      </c>
      <c r="H37" s="1094">
        <f t="shared" si="0"/>
        <v>0</v>
      </c>
      <c r="I37" s="1094" t="str">
        <f t="shared" si="1"/>
        <v/>
      </c>
      <c r="P37" s="688">
        <f>LOOKUP(J37,'ETAT-PAY-PERM'!J:J,'ETAT-PAY-PERM'!S:S)</f>
        <v>0</v>
      </c>
      <c r="Q37" s="1095">
        <f t="shared" si="2"/>
        <v>0</v>
      </c>
      <c r="R37" s="1095" t="str">
        <f t="shared" si="3"/>
        <v/>
      </c>
    </row>
    <row r="38" spans="1:18" ht="18.75" thickBot="1">
      <c r="A38" s="1085">
        <f>'Base-D'!A38</f>
        <v>37</v>
      </c>
      <c r="B38" s="1085" t="str">
        <f>'Base-D'!AX38</f>
        <v>شللبيسلبيشلررءرءؤرؤءر</v>
      </c>
      <c r="C38" s="1085" t="str">
        <f>LOOKUP(A38,'Base-D'!A:A,'Base-D'!BP:BP)</f>
        <v xml:space="preserve"> وثائقي أمين محفوظات رئيسي</v>
      </c>
      <c r="D38" s="1085" t="str">
        <f>'Base-D'!S38</f>
        <v>الخزينة الولائية</v>
      </c>
      <c r="E38" s="1086">
        <v>5000</v>
      </c>
      <c r="F38" s="1087"/>
      <c r="G38" s="1087">
        <f>LOOKUP(A38,'ETAT-PAY-PERM'!A:A,'ETAT-PAY-PERM'!J:J)</f>
        <v>0</v>
      </c>
      <c r="H38" s="1094">
        <f t="shared" si="0"/>
        <v>0</v>
      </c>
      <c r="I38" s="1094" t="str">
        <f t="shared" si="1"/>
        <v/>
      </c>
      <c r="P38" s="688">
        <f>LOOKUP(J38,'ETAT-PAY-PERM'!J:J,'ETAT-PAY-PERM'!S:S)</f>
        <v>0</v>
      </c>
      <c r="Q38" s="1095">
        <f t="shared" si="2"/>
        <v>0</v>
      </c>
      <c r="R38" s="1095" t="str">
        <f t="shared" si="3"/>
        <v/>
      </c>
    </row>
    <row r="39" spans="1:18" ht="18.75" thickBot="1">
      <c r="A39" s="1085">
        <f>'Base-D'!A39</f>
        <v>38</v>
      </c>
      <c r="B39" s="1085" t="str">
        <f>'Base-D'!AX39</f>
        <v>رسيبرشبيسبصثقصقثصقض</v>
      </c>
      <c r="C39" s="1085" t="str">
        <f>LOOKUP(A39,'Base-D'!A:A,'Base-D'!BP:BP)</f>
        <v xml:space="preserve"> مساعد مهندس مستوى 1 في إ الآلي</v>
      </c>
      <c r="D39" s="1085" t="str">
        <f>'Base-D'!S39</f>
        <v>الخزينة الولائية</v>
      </c>
      <c r="E39" s="1088"/>
      <c r="F39" s="1087"/>
      <c r="G39" s="1087">
        <f>LOOKUP(A39,'ETAT-PAY-PERM'!A:A,'ETAT-PAY-PERM'!J:J)</f>
        <v>0</v>
      </c>
      <c r="H39" s="1094">
        <f t="shared" si="0"/>
        <v>0</v>
      </c>
      <c r="I39" s="1094" t="str">
        <f t="shared" si="1"/>
        <v/>
      </c>
      <c r="P39" s="688">
        <f>LOOKUP(J39,'ETAT-PAY-PERM'!J:J,'ETAT-PAY-PERM'!S:S)</f>
        <v>0</v>
      </c>
      <c r="Q39" s="1095">
        <f t="shared" si="2"/>
        <v>0</v>
      </c>
      <c r="R39" s="1095" t="str">
        <f t="shared" si="3"/>
        <v/>
      </c>
    </row>
    <row r="40" spans="1:18" ht="18.75" thickBot="1">
      <c r="A40" s="1085">
        <f>'Base-D'!A40</f>
        <v>39</v>
      </c>
      <c r="B40" s="1085" t="str">
        <f>'Base-D'!AX40</f>
        <v>بيسلبيليبسلصثقثصقثصقصث</v>
      </c>
      <c r="C40" s="1085" t="str">
        <f>LOOKUP(A40,'Base-D'!A:A,'Base-D'!BP:BP)</f>
        <v xml:space="preserve"> مساعد مهندس مستوى 1 في إ الآلي</v>
      </c>
      <c r="D40" s="1085" t="str">
        <f>'Base-D'!S40</f>
        <v>الحساب الجاري البريدي</v>
      </c>
      <c r="E40" s="1086">
        <v>5000</v>
      </c>
      <c r="F40" s="1087"/>
      <c r="G40" s="1087">
        <f>LOOKUP(A40,'ETAT-PAY-PERM'!A:A,'ETAT-PAY-PERM'!J:J)</f>
        <v>0</v>
      </c>
      <c r="H40" s="1094">
        <f t="shared" si="0"/>
        <v>0</v>
      </c>
      <c r="I40" s="1094" t="str">
        <f t="shared" si="1"/>
        <v/>
      </c>
      <c r="P40" s="688">
        <f>LOOKUP(J40,'ETAT-PAY-PERM'!J:J,'ETAT-PAY-PERM'!S:S)</f>
        <v>0</v>
      </c>
      <c r="Q40" s="1095">
        <f t="shared" si="2"/>
        <v>0</v>
      </c>
      <c r="R40" s="1095" t="str">
        <f t="shared" si="3"/>
        <v/>
      </c>
    </row>
    <row r="41" spans="1:18" ht="18.75" thickBot="1">
      <c r="A41" s="1085">
        <f>'Base-D'!A41</f>
        <v>40</v>
      </c>
      <c r="B41" s="1085" t="str">
        <f>'Base-D'!AX41</f>
        <v>لللللللللللللللللللللل</v>
      </c>
      <c r="C41" s="1085" t="str">
        <f>LOOKUP(A41,'Base-D'!A:A,'Base-D'!BP:BP)</f>
        <v xml:space="preserve"> تقني سامي في إ الآلي</v>
      </c>
      <c r="D41" s="1085" t="str">
        <f>'Base-D'!S41</f>
        <v>الحساب الجاري البريدي</v>
      </c>
      <c r="E41" s="1086">
        <v>5000</v>
      </c>
      <c r="F41" s="1087"/>
      <c r="G41" s="1087">
        <f>LOOKUP(A41,'ETAT-PAY-PERM'!A:A,'ETAT-PAY-PERM'!J:J)</f>
        <v>0</v>
      </c>
      <c r="H41" s="1094">
        <f t="shared" si="0"/>
        <v>0</v>
      </c>
      <c r="I41" s="1094" t="str">
        <f t="shared" si="1"/>
        <v/>
      </c>
      <c r="P41" s="688">
        <f>LOOKUP(J41,'ETAT-PAY-PERM'!J:J,'ETAT-PAY-PERM'!S:S)</f>
        <v>0</v>
      </c>
      <c r="Q41" s="1095">
        <f t="shared" si="2"/>
        <v>0</v>
      </c>
      <c r="R41" s="1095" t="str">
        <f t="shared" si="3"/>
        <v/>
      </c>
    </row>
    <row r="42" spans="1:18" ht="18.75" thickBot="1">
      <c r="A42" s="1085">
        <f>'Base-D'!A42</f>
        <v>41</v>
      </c>
      <c r="B42" s="1085" t="str">
        <f>'Base-D'!AX42</f>
        <v>فففففففففففففففففففف</v>
      </c>
      <c r="C42" s="1085" t="str">
        <f>LOOKUP(A42,'Base-D'!A:A,'Base-D'!BP:BP)</f>
        <v xml:space="preserve"> تقني سامي في إ الآلي</v>
      </c>
      <c r="D42" s="1085" t="str">
        <f>'Base-D'!S42</f>
        <v>الحساب الجاري البريدي</v>
      </c>
      <c r="E42" s="1086">
        <v>5000</v>
      </c>
      <c r="F42" s="1087"/>
      <c r="G42" s="1087">
        <f>LOOKUP(A42,'ETAT-PAY-PERM'!A:A,'ETAT-PAY-PERM'!J:J)</f>
        <v>0</v>
      </c>
      <c r="H42" s="1094">
        <f t="shared" si="0"/>
        <v>0</v>
      </c>
      <c r="I42" s="1094" t="str">
        <f t="shared" si="1"/>
        <v/>
      </c>
      <c r="P42" s="688">
        <f>LOOKUP(J42,'ETAT-PAY-PERM'!J:J,'ETAT-PAY-PERM'!S:S)</f>
        <v>0</v>
      </c>
      <c r="Q42" s="1095">
        <f t="shared" si="2"/>
        <v>0</v>
      </c>
      <c r="R42" s="1095" t="str">
        <f t="shared" si="3"/>
        <v/>
      </c>
    </row>
    <row r="43" spans="1:18" ht="18.75" thickBot="1">
      <c r="A43" s="1085">
        <f>'Base-D'!A43</f>
        <v>42</v>
      </c>
      <c r="B43" s="1085" t="str">
        <f>'Base-D'!AX43</f>
        <v>يسلللللللسيييييييي</v>
      </c>
      <c r="C43" s="1085" t="str">
        <f>LOOKUP(A43,'Base-D'!A:A,'Base-D'!BP:BP)</f>
        <v xml:space="preserve"> تقني سامي في إ الآلي</v>
      </c>
      <c r="D43" s="1085" t="str">
        <f>'Base-D'!S43</f>
        <v>الحساب الجاري البريدي</v>
      </c>
      <c r="E43" s="1086"/>
      <c r="F43" s="1087"/>
      <c r="G43" s="1087">
        <f>LOOKUP(A43,'ETAT-PAY-PERM'!A:A,'ETAT-PAY-PERM'!J:J)</f>
        <v>0</v>
      </c>
      <c r="H43" s="1094">
        <f t="shared" si="0"/>
        <v>0</v>
      </c>
      <c r="I43" s="1094" t="str">
        <f t="shared" si="1"/>
        <v/>
      </c>
      <c r="P43" s="688">
        <f>LOOKUP(J43,'ETAT-PAY-PERM'!J:J,'ETAT-PAY-PERM'!S:S)</f>
        <v>0</v>
      </c>
      <c r="Q43" s="1095">
        <f t="shared" si="2"/>
        <v>0</v>
      </c>
      <c r="R43" s="1095" t="str">
        <f t="shared" si="3"/>
        <v/>
      </c>
    </row>
    <row r="44" spans="1:18" ht="18.75" thickBot="1">
      <c r="A44" s="1085">
        <f>'Base-D'!A44</f>
        <v>43</v>
      </c>
      <c r="B44" s="1085" t="str">
        <f>'Base-D'!AX44</f>
        <v>ررءرءؤرؤءرلللللللللللللل</v>
      </c>
      <c r="C44" s="1085" t="str">
        <f>LOOKUP(A44,'Base-D'!A:A,'Base-D'!BP:BP)</f>
        <v xml:space="preserve"> ملحق رئيسي للإدارة</v>
      </c>
      <c r="D44" s="1085" t="str">
        <f>'Base-D'!S44</f>
        <v>بنك التنمية المحلية</v>
      </c>
      <c r="E44" s="1086">
        <v>5000</v>
      </c>
      <c r="F44" s="1087"/>
      <c r="G44" s="1087">
        <f>LOOKUP(A44,'ETAT-PAY-PERM'!A:A,'ETAT-PAY-PERM'!J:J)</f>
        <v>0</v>
      </c>
      <c r="H44" s="1094">
        <f t="shared" si="0"/>
        <v>0</v>
      </c>
      <c r="I44" s="1094" t="str">
        <f t="shared" si="1"/>
        <v/>
      </c>
      <c r="P44" s="688">
        <f>LOOKUP(J44,'ETAT-PAY-PERM'!J:J,'ETAT-PAY-PERM'!S:S)</f>
        <v>0</v>
      </c>
      <c r="Q44" s="1095">
        <f t="shared" si="2"/>
        <v>0</v>
      </c>
      <c r="R44" s="1095" t="str">
        <f t="shared" si="3"/>
        <v/>
      </c>
    </row>
    <row r="45" spans="1:18" ht="18.75" thickBot="1">
      <c r="A45" s="1085">
        <f>'Base-D'!A45</f>
        <v>44</v>
      </c>
      <c r="B45" s="1085" t="str">
        <f>'Base-D'!AX45</f>
        <v>صثقصقثصقضفففففففففففف</v>
      </c>
      <c r="C45" s="1085" t="str">
        <f>LOOKUP(A45,'Base-D'!A:A,'Base-D'!BP:BP)</f>
        <v xml:space="preserve"> مفتش</v>
      </c>
      <c r="D45" s="1085" t="str">
        <f>'Base-D'!S45</f>
        <v>الحساب الجاري البريدي</v>
      </c>
      <c r="E45" s="1086"/>
      <c r="F45" s="1087"/>
      <c r="G45" s="1087">
        <f>LOOKUP(A45,'ETAT-PAY-PERM'!A:A,'ETAT-PAY-PERM'!J:J)</f>
        <v>0</v>
      </c>
      <c r="H45" s="1094">
        <f t="shared" si="0"/>
        <v>0</v>
      </c>
      <c r="I45" s="1094" t="str">
        <f t="shared" si="1"/>
        <v/>
      </c>
      <c r="P45" s="688">
        <f>LOOKUP(J45,'ETAT-PAY-PERM'!J:J,'ETAT-PAY-PERM'!S:S)</f>
        <v>0</v>
      </c>
      <c r="Q45" s="1095">
        <f t="shared" si="2"/>
        <v>0</v>
      </c>
      <c r="R45" s="1095" t="str">
        <f t="shared" si="3"/>
        <v/>
      </c>
    </row>
    <row r="46" spans="1:18" ht="18.75" thickBot="1">
      <c r="A46" s="1085">
        <f>'Base-D'!A46</f>
        <v>45</v>
      </c>
      <c r="B46" s="1085" t="str">
        <f>'Base-D'!AX46</f>
        <v>صثقثصقثصقصثيسللللللل</v>
      </c>
      <c r="C46" s="1085" t="str">
        <f>LOOKUP(A46,'Base-D'!A:A,'Base-D'!BP:BP)</f>
        <v xml:space="preserve"> مفتش</v>
      </c>
      <c r="D46" s="1085" t="str">
        <f>'Base-D'!S46</f>
        <v>الحساب الجاري البريدي</v>
      </c>
      <c r="E46" s="1086"/>
      <c r="F46" s="1087"/>
      <c r="G46" s="1087">
        <f>LOOKUP(A46,'ETAT-PAY-PERM'!A:A,'ETAT-PAY-PERM'!J:J)</f>
        <v>0</v>
      </c>
      <c r="H46" s="1094">
        <f t="shared" si="0"/>
        <v>0</v>
      </c>
      <c r="I46" s="1094" t="str">
        <f t="shared" si="1"/>
        <v/>
      </c>
      <c r="P46" s="688">
        <f>LOOKUP(J46,'ETAT-PAY-PERM'!J:J,'ETAT-PAY-PERM'!S:S)</f>
        <v>0</v>
      </c>
      <c r="Q46" s="1095">
        <f t="shared" si="2"/>
        <v>0</v>
      </c>
      <c r="R46" s="1095" t="str">
        <f t="shared" si="3"/>
        <v/>
      </c>
    </row>
    <row r="47" spans="1:18" ht="18.75" thickBot="1">
      <c r="A47" s="1085">
        <f>'Base-D'!A47</f>
        <v>46</v>
      </c>
      <c r="B47" s="1085" t="str">
        <f>'Base-D'!AX47</f>
        <v>للللللللررءرءؤرؤءر</v>
      </c>
      <c r="C47" s="1085" t="str">
        <f>LOOKUP(A47,'Base-D'!A:A,'Base-D'!BP:BP)</f>
        <v xml:space="preserve"> مفتش</v>
      </c>
      <c r="D47" s="1085" t="str">
        <f>'Base-D'!S47</f>
        <v>الحساب الجاري البريدي</v>
      </c>
      <c r="E47" s="1086"/>
      <c r="F47" s="1087"/>
      <c r="G47" s="1087">
        <f>LOOKUP(A47,'ETAT-PAY-PERM'!A:A,'ETAT-PAY-PERM'!J:J)</f>
        <v>0</v>
      </c>
      <c r="H47" s="1094">
        <f t="shared" si="0"/>
        <v>0</v>
      </c>
      <c r="I47" s="1094" t="str">
        <f t="shared" si="1"/>
        <v/>
      </c>
      <c r="P47" s="688">
        <f>LOOKUP(J47,'ETAT-PAY-PERM'!J:J,'ETAT-PAY-PERM'!S:S)</f>
        <v>0</v>
      </c>
      <c r="Q47" s="1095">
        <f t="shared" si="2"/>
        <v>0</v>
      </c>
      <c r="R47" s="1095" t="str">
        <f t="shared" si="3"/>
        <v/>
      </c>
    </row>
    <row r="48" spans="1:18" ht="18.75" thickBot="1">
      <c r="A48" s="1085">
        <f>'Base-D'!A48</f>
        <v>47</v>
      </c>
      <c r="B48" s="1085" t="str">
        <f>'Base-D'!AX48</f>
        <v>ففففففففصثقصقثصقض</v>
      </c>
      <c r="C48" s="1085" t="str">
        <f>LOOKUP(A48,'Base-D'!A:A,'Base-D'!BP:BP)</f>
        <v xml:space="preserve"> ملحق رئيسي للإدارة</v>
      </c>
      <c r="D48" s="1085" t="str">
        <f>'Base-D'!S48</f>
        <v>الحساب الجاري البريدي</v>
      </c>
      <c r="E48" s="1086">
        <v>5000</v>
      </c>
      <c r="F48" s="1087"/>
      <c r="G48" s="1087">
        <f>LOOKUP(A48,'ETAT-PAY-PERM'!A:A,'ETAT-PAY-PERM'!J:J)</f>
        <v>0</v>
      </c>
      <c r="H48" s="1094">
        <f t="shared" si="0"/>
        <v>0</v>
      </c>
      <c r="I48" s="1094" t="str">
        <f t="shared" si="1"/>
        <v/>
      </c>
      <c r="P48" s="688">
        <f>LOOKUP(J48,'ETAT-PAY-PERM'!J:J,'ETAT-PAY-PERM'!S:S)</f>
        <v>0</v>
      </c>
      <c r="Q48" s="1095">
        <f t="shared" si="2"/>
        <v>0</v>
      </c>
      <c r="R48" s="1095" t="str">
        <f t="shared" si="3"/>
        <v/>
      </c>
    </row>
    <row r="49" spans="1:18" ht="18.75" thickBot="1">
      <c r="A49" s="1085">
        <f>'Base-D'!A49</f>
        <v>48</v>
      </c>
      <c r="B49" s="1085" t="str">
        <f>'Base-D'!AX49</f>
        <v>سييييييييصثقثصقثصقصث</v>
      </c>
      <c r="C49" s="1085" t="str">
        <f>LOOKUP(A49,'Base-D'!A:A,'Base-D'!BP:BP)</f>
        <v xml:space="preserve"> ملحق رئيسي للإدارة</v>
      </c>
      <c r="D49" s="1085" t="str">
        <f>'Base-D'!S49</f>
        <v>الحساب الجاري البريدي</v>
      </c>
      <c r="E49" s="1086">
        <v>5000</v>
      </c>
      <c r="F49" s="1087">
        <v>2</v>
      </c>
      <c r="G49" s="1087">
        <f>LOOKUP(A49,'ETAT-PAY-PERM'!A:A,'ETAT-PAY-PERM'!J:J)</f>
        <v>2338.7399999999998</v>
      </c>
      <c r="H49" s="1094">
        <f t="shared" si="0"/>
        <v>1</v>
      </c>
      <c r="I49" s="1094">
        <f t="shared" si="1"/>
        <v>48</v>
      </c>
      <c r="P49" s="688">
        <f>LOOKUP(J49,'ETAT-PAY-PERM'!J:J,'ETAT-PAY-PERM'!S:S)</f>
        <v>0</v>
      </c>
      <c r="Q49" s="1095">
        <f t="shared" si="2"/>
        <v>0</v>
      </c>
      <c r="R49" s="1095" t="str">
        <f t="shared" si="3"/>
        <v/>
      </c>
    </row>
    <row r="50" spans="1:18" ht="18.75" thickBot="1">
      <c r="A50" s="1085">
        <f>'Base-D'!A50</f>
        <v>49</v>
      </c>
      <c r="B50" s="1085" t="str">
        <f>'Base-D'!AX50</f>
        <v>ليسليسليسللللللللل</v>
      </c>
      <c r="C50" s="1085" t="str">
        <f>LOOKUP(A50,'Base-D'!A:A,'Base-D'!BP:BP)</f>
        <v>رئيس حضيرة (سائق سيارة من الصنف الأول)</v>
      </c>
      <c r="D50" s="1085" t="str">
        <f>'Base-D'!S50</f>
        <v>الحساب الجاري البريدي</v>
      </c>
      <c r="E50" s="1086">
        <v>5000</v>
      </c>
      <c r="F50" s="1087"/>
      <c r="G50" s="1087">
        <f>LOOKUP(A50,'ETAT-PAY-PERM'!A:A,'ETAT-PAY-PERM'!J:J)</f>
        <v>0</v>
      </c>
      <c r="H50" s="1094">
        <f t="shared" si="0"/>
        <v>0</v>
      </c>
      <c r="I50" s="1094" t="str">
        <f t="shared" si="1"/>
        <v/>
      </c>
      <c r="P50" s="688">
        <f>LOOKUP(J50,'ETAT-PAY-PERM'!J:J,'ETAT-PAY-PERM'!S:S)</f>
        <v>0</v>
      </c>
      <c r="Q50" s="1095">
        <f t="shared" si="2"/>
        <v>0</v>
      </c>
      <c r="R50" s="1095" t="str">
        <f t="shared" si="3"/>
        <v/>
      </c>
    </row>
    <row r="51" spans="1:18" ht="18.75" thickBot="1">
      <c r="A51" s="1085">
        <f>'Base-D'!A51</f>
        <v>50</v>
      </c>
      <c r="B51" s="1085" t="str">
        <f>'Base-D'!AX51</f>
        <v/>
      </c>
      <c r="C51" s="1085" t="e">
        <f>LOOKUP(A51,'Base-D'!A:A,'Base-D'!BP:BP)</f>
        <v>#N/A</v>
      </c>
      <c r="D51" s="1085">
        <f>'Base-D'!S51</f>
        <v>0</v>
      </c>
      <c r="E51" s="1086"/>
      <c r="F51" s="1087"/>
      <c r="G51" s="1087" t="e">
        <f>LOOKUP(A51,'ETAT-PAY-PERM'!A:A,'ETAT-PAY-PERM'!J:J)</f>
        <v>#N/A</v>
      </c>
      <c r="H51" s="1094" t="e">
        <f t="shared" si="0"/>
        <v>#N/A</v>
      </c>
      <c r="I51" s="1094" t="e">
        <f t="shared" si="1"/>
        <v>#N/A</v>
      </c>
      <c r="P51" s="688">
        <f>LOOKUP(J51,'ETAT-PAY-PERM'!J:J,'ETAT-PAY-PERM'!S:S)</f>
        <v>0</v>
      </c>
      <c r="Q51" s="1095">
        <f t="shared" si="2"/>
        <v>0</v>
      </c>
      <c r="R51" s="1095" t="str">
        <f t="shared" si="3"/>
        <v/>
      </c>
    </row>
    <row r="52" spans="1:18" ht="18.75" thickBot="1">
      <c r="A52" s="1085">
        <f>'Base-D'!A52</f>
        <v>51</v>
      </c>
      <c r="B52" s="1085" t="str">
        <f>'Base-D'!AX52</f>
        <v/>
      </c>
      <c r="C52" s="1085" t="e">
        <f>LOOKUP(A52,'Base-D'!A:A,'Base-D'!BP:BP)</f>
        <v>#N/A</v>
      </c>
      <c r="D52" s="1085">
        <f>'Base-D'!S52</f>
        <v>0</v>
      </c>
      <c r="E52" s="1086"/>
      <c r="F52" s="1087"/>
      <c r="G52" s="1087" t="e">
        <f>LOOKUP(A52,'ETAT-PAY-PERM'!A:A,'ETAT-PAY-PERM'!J:J)</f>
        <v>#N/A</v>
      </c>
      <c r="H52" s="1094" t="e">
        <f t="shared" si="0"/>
        <v>#N/A</v>
      </c>
      <c r="I52" s="1094" t="e">
        <f t="shared" si="1"/>
        <v>#N/A</v>
      </c>
      <c r="P52" s="688">
        <f>LOOKUP(J52,'ETAT-PAY-PERM'!J:J,'ETAT-PAY-PERM'!S:S)</f>
        <v>0</v>
      </c>
      <c r="Q52" s="1095">
        <f t="shared" si="2"/>
        <v>0</v>
      </c>
      <c r="R52" s="1095" t="str">
        <f t="shared" si="3"/>
        <v/>
      </c>
    </row>
    <row r="53" spans="1:18" ht="18.75" thickBot="1">
      <c r="A53" s="1085">
        <f>'Base-D'!A53</f>
        <v>52</v>
      </c>
      <c r="B53" s="1085" t="str">
        <f>'Base-D'!AX53</f>
        <v/>
      </c>
      <c r="C53" s="1085" t="e">
        <f>LOOKUP(A53,'Base-D'!A:A,'Base-D'!BP:BP)</f>
        <v>#N/A</v>
      </c>
      <c r="D53" s="1085">
        <f>'Base-D'!S53</f>
        <v>0</v>
      </c>
      <c r="E53" s="1086"/>
      <c r="F53" s="1087"/>
      <c r="G53" s="1087" t="e">
        <f>LOOKUP(A53,'ETAT-PAY-PERM'!A:A,'ETAT-PAY-PERM'!J:J)</f>
        <v>#N/A</v>
      </c>
      <c r="H53" s="1094" t="e">
        <f t="shared" si="0"/>
        <v>#N/A</v>
      </c>
      <c r="I53" s="1094" t="e">
        <f t="shared" si="1"/>
        <v>#N/A</v>
      </c>
      <c r="P53" s="688">
        <f>LOOKUP(J53,'ETAT-PAY-PERM'!J:J,'ETAT-PAY-PERM'!S:S)</f>
        <v>0</v>
      </c>
      <c r="Q53" s="1095">
        <f t="shared" si="2"/>
        <v>0</v>
      </c>
      <c r="R53" s="1095" t="str">
        <f t="shared" si="3"/>
        <v/>
      </c>
    </row>
    <row r="54" spans="1:18" ht="18.75" thickBot="1">
      <c r="A54" s="1085">
        <f>'Base-D'!A54</f>
        <v>53</v>
      </c>
      <c r="B54" s="1085" t="str">
        <f>'Base-D'!AX54</f>
        <v/>
      </c>
      <c r="C54" s="1085" t="e">
        <f>LOOKUP(A54,'Base-D'!A:A,'Base-D'!BP:BP)</f>
        <v>#N/A</v>
      </c>
      <c r="D54" s="1085">
        <f>'Base-D'!S54</f>
        <v>0</v>
      </c>
      <c r="E54" s="1086"/>
      <c r="F54" s="1087"/>
      <c r="G54" s="1087" t="e">
        <f>LOOKUP(A54,'ETAT-PAY-PERM'!A:A,'ETAT-PAY-PERM'!J:J)</f>
        <v>#N/A</v>
      </c>
      <c r="H54" s="1094" t="e">
        <f t="shared" si="0"/>
        <v>#N/A</v>
      </c>
      <c r="I54" s="1094" t="e">
        <f t="shared" si="1"/>
        <v>#N/A</v>
      </c>
      <c r="P54" s="688">
        <f>LOOKUP(J54,'ETAT-PAY-PERM'!J:J,'ETAT-PAY-PERM'!S:S)</f>
        <v>0</v>
      </c>
      <c r="Q54" s="1095">
        <f t="shared" si="2"/>
        <v>0</v>
      </c>
      <c r="R54" s="1095" t="str">
        <f t="shared" si="3"/>
        <v/>
      </c>
    </row>
    <row r="55" spans="1:18" ht="18.75" thickBot="1">
      <c r="A55" s="1085">
        <f>'Base-D'!A55</f>
        <v>54</v>
      </c>
      <c r="B55" s="1085" t="str">
        <f>'Base-D'!AX55</f>
        <v/>
      </c>
      <c r="C55" s="1085" t="e">
        <f>LOOKUP(A55,'Base-D'!A:A,'Base-D'!BP:BP)</f>
        <v>#N/A</v>
      </c>
      <c r="D55" s="1085">
        <f>'Base-D'!S55</f>
        <v>0</v>
      </c>
      <c r="E55" s="1086"/>
      <c r="F55" s="1087"/>
      <c r="G55" s="1087" t="e">
        <f>LOOKUP(A55,'ETAT-PAY-PERM'!A:A,'ETAT-PAY-PERM'!J:J)</f>
        <v>#N/A</v>
      </c>
      <c r="H55" s="1094" t="e">
        <f t="shared" si="0"/>
        <v>#N/A</v>
      </c>
      <c r="I55" s="1094" t="e">
        <f t="shared" si="1"/>
        <v>#N/A</v>
      </c>
      <c r="P55" s="688">
        <f>LOOKUP(J55,'ETAT-PAY-PERM'!J:J,'ETAT-PAY-PERM'!S:S)</f>
        <v>0</v>
      </c>
      <c r="Q55" s="1095">
        <f t="shared" si="2"/>
        <v>0</v>
      </c>
      <c r="R55" s="1095" t="str">
        <f t="shared" si="3"/>
        <v/>
      </c>
    </row>
    <row r="56" spans="1:18" ht="18.75" thickBot="1">
      <c r="A56" s="1085">
        <f>'Base-D'!A56</f>
        <v>55</v>
      </c>
      <c r="B56" s="1085" t="str">
        <f>'Base-D'!AX56</f>
        <v/>
      </c>
      <c r="C56" s="1085" t="e">
        <f>LOOKUP(A56,'Base-D'!A:A,'Base-D'!BP:BP)</f>
        <v>#N/A</v>
      </c>
      <c r="D56" s="1085">
        <f>'Base-D'!S56</f>
        <v>0</v>
      </c>
      <c r="E56" s="1086"/>
      <c r="F56" s="1087"/>
      <c r="G56" s="1087" t="e">
        <f>LOOKUP(A56,'ETAT-PAY-PERM'!A:A,'ETAT-PAY-PERM'!J:J)</f>
        <v>#N/A</v>
      </c>
      <c r="H56" s="1094" t="e">
        <f t="shared" si="0"/>
        <v>#N/A</v>
      </c>
      <c r="I56" s="1094" t="e">
        <f t="shared" si="1"/>
        <v>#N/A</v>
      </c>
      <c r="P56" s="688">
        <f>LOOKUP(J56,'ETAT-PAY-PERM'!J:J,'ETAT-PAY-PERM'!S:S)</f>
        <v>0</v>
      </c>
      <c r="Q56" s="1095">
        <f t="shared" si="2"/>
        <v>0</v>
      </c>
      <c r="R56" s="1095" t="str">
        <f t="shared" si="3"/>
        <v/>
      </c>
    </row>
    <row r="57" spans="1:18" ht="18.75" thickBot="1">
      <c r="A57" s="1085">
        <f>'Base-D'!A57</f>
        <v>56</v>
      </c>
      <c r="B57" s="1085" t="str">
        <f>'Base-D'!AX57</f>
        <v/>
      </c>
      <c r="C57" s="1085" t="e">
        <f>LOOKUP(A57,'Base-D'!A:A,'Base-D'!BP:BP)</f>
        <v>#N/A</v>
      </c>
      <c r="D57" s="1085">
        <f>'Base-D'!S57</f>
        <v>0</v>
      </c>
      <c r="E57" s="1088"/>
      <c r="F57" s="1087"/>
      <c r="G57" s="1087" t="e">
        <f>LOOKUP(A57,'ETAT-PAY-PERM'!A:A,'ETAT-PAY-PERM'!J:J)</f>
        <v>#N/A</v>
      </c>
      <c r="H57" s="1094" t="e">
        <f t="shared" si="0"/>
        <v>#N/A</v>
      </c>
      <c r="I57" s="1094" t="e">
        <f t="shared" si="1"/>
        <v>#N/A</v>
      </c>
      <c r="P57" s="688">
        <f>LOOKUP(J57,'ETAT-PAY-PERM'!J:J,'ETAT-PAY-PERM'!S:S)</f>
        <v>0</v>
      </c>
      <c r="Q57" s="1095">
        <f t="shared" si="2"/>
        <v>0</v>
      </c>
      <c r="R57" s="1095" t="str">
        <f t="shared" si="3"/>
        <v/>
      </c>
    </row>
    <row r="58" spans="1:18" ht="18.75" thickBot="1">
      <c r="A58" s="1085">
        <f>'Base-D'!A58</f>
        <v>57</v>
      </c>
      <c r="B58" s="1085" t="str">
        <f>'Base-D'!AX58</f>
        <v/>
      </c>
      <c r="C58" s="1085" t="e">
        <f>LOOKUP(A58,'Base-D'!A:A,'Base-D'!BP:BP)</f>
        <v>#N/A</v>
      </c>
      <c r="D58" s="1085">
        <f>'Base-D'!S58</f>
        <v>0</v>
      </c>
      <c r="E58" s="1088"/>
      <c r="F58" s="1087"/>
      <c r="G58" s="1087" t="e">
        <f>LOOKUP(A58,'ETAT-PAY-PERM'!A:A,'ETAT-PAY-PERM'!J:J)</f>
        <v>#N/A</v>
      </c>
      <c r="H58" s="1094" t="e">
        <f t="shared" si="0"/>
        <v>#N/A</v>
      </c>
      <c r="I58" s="1094" t="e">
        <f t="shared" si="1"/>
        <v>#N/A</v>
      </c>
      <c r="P58" s="688">
        <f>LOOKUP(J58,'ETAT-PAY-PERM'!J:J,'ETAT-PAY-PERM'!S:S)</f>
        <v>0</v>
      </c>
      <c r="Q58" s="1095">
        <f t="shared" si="2"/>
        <v>0</v>
      </c>
      <c r="R58" s="1095" t="str">
        <f t="shared" si="3"/>
        <v/>
      </c>
    </row>
    <row r="59" spans="1:18" ht="18.75" thickBot="1">
      <c r="A59" s="1085">
        <f>'Base-D'!A59</f>
        <v>58</v>
      </c>
      <c r="B59" s="1085" t="str">
        <f>'Base-D'!AX59</f>
        <v/>
      </c>
      <c r="C59" s="1085" t="e">
        <f>LOOKUP(A59,'Base-D'!A:A,'Base-D'!BP:BP)</f>
        <v>#N/A</v>
      </c>
      <c r="D59" s="1085">
        <f>'Base-D'!S59</f>
        <v>0</v>
      </c>
      <c r="E59" s="1086"/>
      <c r="F59" s="1087"/>
      <c r="G59" s="1087" t="e">
        <f>LOOKUP(A59,'ETAT-PAY-PERM'!A:A,'ETAT-PAY-PERM'!J:J)</f>
        <v>#N/A</v>
      </c>
      <c r="H59" s="1094" t="e">
        <f t="shared" si="0"/>
        <v>#N/A</v>
      </c>
      <c r="I59" s="1094" t="e">
        <f t="shared" si="1"/>
        <v>#N/A</v>
      </c>
      <c r="P59" s="688">
        <f>LOOKUP(J59,'ETAT-PAY-PERM'!J:J,'ETAT-PAY-PERM'!S:S)</f>
        <v>0</v>
      </c>
      <c r="Q59" s="1095">
        <f t="shared" si="2"/>
        <v>0</v>
      </c>
      <c r="R59" s="1095" t="str">
        <f t="shared" si="3"/>
        <v/>
      </c>
    </row>
    <row r="60" spans="1:18" ht="18.75" thickBot="1">
      <c r="A60" s="1085">
        <f>'Base-D'!A60</f>
        <v>59</v>
      </c>
      <c r="B60" s="1085" t="str">
        <f>'Base-D'!AX60</f>
        <v/>
      </c>
      <c r="C60" s="1085" t="e">
        <f>LOOKUP(A60,'Base-D'!A:A,'Base-D'!BP:BP)</f>
        <v>#N/A</v>
      </c>
      <c r="D60" s="1085">
        <f>'Base-D'!S60</f>
        <v>0</v>
      </c>
      <c r="E60" s="1086"/>
      <c r="F60" s="1087"/>
      <c r="G60" s="1087" t="e">
        <f>LOOKUP(A60,'ETAT-PAY-PERM'!A:A,'ETAT-PAY-PERM'!J:J)</f>
        <v>#N/A</v>
      </c>
      <c r="H60" s="1094" t="e">
        <f t="shared" si="0"/>
        <v>#N/A</v>
      </c>
      <c r="I60" s="1094" t="e">
        <f t="shared" si="1"/>
        <v>#N/A</v>
      </c>
      <c r="P60" s="688">
        <f>LOOKUP(J60,'ETAT-PAY-PERM'!J:J,'ETAT-PAY-PERM'!S:S)</f>
        <v>0</v>
      </c>
      <c r="Q60" s="1095">
        <f t="shared" si="2"/>
        <v>0</v>
      </c>
      <c r="R60" s="1095" t="str">
        <f t="shared" si="3"/>
        <v/>
      </c>
    </row>
    <row r="61" spans="1:18" ht="18.75" thickBot="1">
      <c r="A61" s="1085">
        <f>'Base-D'!A61</f>
        <v>60</v>
      </c>
      <c r="B61" s="1085" t="str">
        <f>'Base-D'!AX61</f>
        <v/>
      </c>
      <c r="C61" s="1085" t="e">
        <f>LOOKUP(A61,'Base-D'!A:A,'Base-D'!BP:BP)</f>
        <v>#N/A</v>
      </c>
      <c r="D61" s="1085">
        <f>'Base-D'!S61</f>
        <v>0</v>
      </c>
      <c r="E61" s="1086"/>
      <c r="F61" s="1087"/>
      <c r="G61" s="1087" t="e">
        <f>LOOKUP(A61,'ETAT-PAY-PERM'!A:A,'ETAT-PAY-PERM'!J:J)</f>
        <v>#N/A</v>
      </c>
      <c r="H61" s="1094" t="e">
        <f t="shared" si="0"/>
        <v>#N/A</v>
      </c>
      <c r="I61" s="1094" t="e">
        <f t="shared" si="1"/>
        <v>#N/A</v>
      </c>
      <c r="P61" s="688">
        <f>LOOKUP(J61,'ETAT-PAY-PERM'!J:J,'ETAT-PAY-PERM'!S:S)</f>
        <v>0</v>
      </c>
      <c r="Q61" s="1095">
        <f t="shared" si="2"/>
        <v>0</v>
      </c>
      <c r="R61" s="1095" t="str">
        <f t="shared" si="3"/>
        <v/>
      </c>
    </row>
    <row r="62" spans="1:18" ht="18.75" thickBot="1">
      <c r="A62" s="1085">
        <f>'Base-D'!A62</f>
        <v>61</v>
      </c>
      <c r="B62" s="1085" t="str">
        <f>'Base-D'!AX62</f>
        <v/>
      </c>
      <c r="C62" s="1085" t="e">
        <f>LOOKUP(A62,'Base-D'!A:A,'Base-D'!BP:BP)</f>
        <v>#N/A</v>
      </c>
      <c r="D62" s="1085">
        <f>'Base-D'!S62</f>
        <v>0</v>
      </c>
      <c r="E62" s="1086"/>
      <c r="F62" s="1087"/>
      <c r="G62" s="1087" t="e">
        <f>LOOKUP(A62,'ETAT-PAY-PERM'!A:A,'ETAT-PAY-PERM'!J:J)</f>
        <v>#N/A</v>
      </c>
      <c r="H62" s="1094" t="e">
        <f t="shared" si="0"/>
        <v>#N/A</v>
      </c>
      <c r="I62" s="1094" t="e">
        <f t="shared" si="1"/>
        <v>#N/A</v>
      </c>
      <c r="P62" s="688">
        <f>LOOKUP(J62,'ETAT-PAY-PERM'!J:J,'ETAT-PAY-PERM'!S:S)</f>
        <v>0</v>
      </c>
      <c r="Q62" s="1095">
        <f t="shared" si="2"/>
        <v>0</v>
      </c>
      <c r="R62" s="1095" t="str">
        <f t="shared" si="3"/>
        <v/>
      </c>
    </row>
    <row r="63" spans="1:18" ht="18.75" thickBot="1">
      <c r="A63" s="1085">
        <f>'Base-D'!A63</f>
        <v>62</v>
      </c>
      <c r="B63" s="1085" t="str">
        <f>'Base-D'!AX63</f>
        <v/>
      </c>
      <c r="C63" s="1085" t="e">
        <f>LOOKUP(A63,'Base-D'!A:A,'Base-D'!BP:BP)</f>
        <v>#N/A</v>
      </c>
      <c r="D63" s="1085">
        <f>'Base-D'!S63</f>
        <v>0</v>
      </c>
      <c r="E63" s="1086"/>
      <c r="F63" s="1087"/>
      <c r="G63" s="1087" t="e">
        <f>LOOKUP(A63,'ETAT-PAY-PERM'!A:A,'ETAT-PAY-PERM'!J:J)</f>
        <v>#N/A</v>
      </c>
      <c r="H63" s="1094" t="e">
        <f t="shared" si="0"/>
        <v>#N/A</v>
      </c>
      <c r="I63" s="1094" t="e">
        <f t="shared" si="1"/>
        <v>#N/A</v>
      </c>
      <c r="P63" s="688">
        <f>LOOKUP(J63,'ETAT-PAY-PERM'!J:J,'ETAT-PAY-PERM'!S:S)</f>
        <v>0</v>
      </c>
      <c r="Q63" s="1095">
        <f t="shared" si="2"/>
        <v>0</v>
      </c>
      <c r="R63" s="1095" t="str">
        <f t="shared" si="3"/>
        <v/>
      </c>
    </row>
    <row r="64" spans="1:18" ht="18.75" thickBot="1">
      <c r="A64" s="1085">
        <f>'Base-D'!A64</f>
        <v>63</v>
      </c>
      <c r="B64" s="1085" t="str">
        <f>'Base-D'!AX64</f>
        <v/>
      </c>
      <c r="C64" s="1085" t="e">
        <f>LOOKUP(A64,'Base-D'!A:A,'Base-D'!BP:BP)</f>
        <v>#N/A</v>
      </c>
      <c r="D64" s="1085">
        <f>'Base-D'!S64</f>
        <v>0</v>
      </c>
      <c r="E64" s="1086"/>
      <c r="F64" s="1087"/>
      <c r="G64" s="1087" t="e">
        <f>LOOKUP(A64,'ETAT-PAY-PERM'!A:A,'ETAT-PAY-PERM'!J:J)</f>
        <v>#N/A</v>
      </c>
      <c r="H64" s="1094" t="e">
        <f t="shared" si="0"/>
        <v>#N/A</v>
      </c>
      <c r="I64" s="1094" t="e">
        <f t="shared" si="1"/>
        <v>#N/A</v>
      </c>
      <c r="P64" s="688">
        <f>LOOKUP(J64,'ETAT-PAY-PERM'!J:J,'ETAT-PAY-PERM'!S:S)</f>
        <v>0</v>
      </c>
      <c r="Q64" s="1095">
        <f t="shared" si="2"/>
        <v>0</v>
      </c>
      <c r="R64" s="1095" t="str">
        <f t="shared" si="3"/>
        <v/>
      </c>
    </row>
    <row r="65" spans="1:18" ht="18.75" thickBot="1">
      <c r="A65" s="1085">
        <f>'Base-D'!A65</f>
        <v>64</v>
      </c>
      <c r="B65" s="1085" t="str">
        <f>'Base-D'!AX65</f>
        <v/>
      </c>
      <c r="C65" s="1085" t="e">
        <f>LOOKUP(A65,'Base-D'!A:A,'Base-D'!BP:BP)</f>
        <v>#N/A</v>
      </c>
      <c r="D65" s="1085">
        <f>'Base-D'!S65</f>
        <v>0</v>
      </c>
      <c r="E65" s="1086"/>
      <c r="F65" s="1087"/>
      <c r="G65" s="1087" t="e">
        <f>LOOKUP(A65,'ETAT-PAY-PERM'!A:A,'ETAT-PAY-PERM'!J:J)</f>
        <v>#N/A</v>
      </c>
      <c r="H65" s="1094" t="e">
        <f t="shared" si="0"/>
        <v>#N/A</v>
      </c>
      <c r="I65" s="1094" t="e">
        <f t="shared" si="1"/>
        <v>#N/A</v>
      </c>
      <c r="P65" s="688">
        <f>LOOKUP(J65,'ETAT-PAY-PERM'!J:J,'ETAT-PAY-PERM'!S:S)</f>
        <v>0</v>
      </c>
      <c r="Q65" s="1095">
        <f t="shared" si="2"/>
        <v>0</v>
      </c>
      <c r="R65" s="1095" t="str">
        <f t="shared" si="3"/>
        <v/>
      </c>
    </row>
    <row r="66" spans="1:18" ht="18.75" thickBot="1">
      <c r="A66" s="1085">
        <f>'Base-D'!A66</f>
        <v>65</v>
      </c>
      <c r="B66" s="1085" t="str">
        <f>'Base-D'!AX66</f>
        <v/>
      </c>
      <c r="C66" s="1085" t="e">
        <f>LOOKUP(A66,'Base-D'!A:A,'Base-D'!BP:BP)</f>
        <v>#N/A</v>
      </c>
      <c r="D66" s="1085">
        <f>'Base-D'!S66</f>
        <v>0</v>
      </c>
      <c r="E66" s="1086"/>
      <c r="F66" s="1087"/>
      <c r="G66" s="1087" t="e">
        <f>LOOKUP(A66,'ETAT-PAY-PERM'!A:A,'ETAT-PAY-PERM'!J:J)</f>
        <v>#N/A</v>
      </c>
      <c r="H66" s="1094" t="e">
        <f t="shared" si="0"/>
        <v>#N/A</v>
      </c>
      <c r="I66" s="1094" t="e">
        <f t="shared" si="1"/>
        <v>#N/A</v>
      </c>
      <c r="P66" s="688">
        <f>LOOKUP(J66,'ETAT-PAY-PERM'!J:J,'ETAT-PAY-PERM'!S:S)</f>
        <v>0</v>
      </c>
      <c r="Q66" s="1095">
        <f t="shared" si="2"/>
        <v>0</v>
      </c>
      <c r="R66" s="1095" t="str">
        <f t="shared" si="3"/>
        <v/>
      </c>
    </row>
    <row r="67" spans="1:18" ht="18.75" thickBot="1">
      <c r="A67" s="1085">
        <f>'Base-D'!A67</f>
        <v>66</v>
      </c>
      <c r="B67" s="1085" t="str">
        <f>'Base-D'!AX67</f>
        <v/>
      </c>
      <c r="C67" s="1085" t="e">
        <f>LOOKUP(A67,'Base-D'!A:A,'Base-D'!BP:BP)</f>
        <v>#N/A</v>
      </c>
      <c r="D67" s="1085">
        <f>'Base-D'!S67</f>
        <v>0</v>
      </c>
      <c r="E67" s="1086"/>
      <c r="F67" s="1087"/>
      <c r="G67" s="1087" t="e">
        <f>LOOKUP(A67,'ETAT-PAY-PERM'!A:A,'ETAT-PAY-PERM'!J:J)</f>
        <v>#N/A</v>
      </c>
      <c r="H67" s="1094" t="e">
        <f t="shared" ref="H67:H130" si="13">IF(G67&gt;1,1,0)</f>
        <v>#N/A</v>
      </c>
      <c r="I67" s="1094" t="e">
        <f t="shared" ref="I67:I130" si="14">IF(H67=0,"",A67)</f>
        <v>#N/A</v>
      </c>
      <c r="P67" s="688">
        <f>LOOKUP(J67,'ETAT-PAY-PERM'!J:J,'ETAT-PAY-PERM'!S:S)</f>
        <v>0</v>
      </c>
      <c r="Q67" s="1095">
        <f t="shared" ref="Q67:Q130" si="15">IF(P67&gt;1,1,0)</f>
        <v>0</v>
      </c>
      <c r="R67" s="1095" t="str">
        <f t="shared" ref="R67:R130" si="16">IF(Q67=0,"",J67)</f>
        <v/>
      </c>
    </row>
    <row r="68" spans="1:18" ht="18.75" thickBot="1">
      <c r="A68" s="1085">
        <f>'Base-D'!A68</f>
        <v>67</v>
      </c>
      <c r="B68" s="1085" t="str">
        <f>'Base-D'!AX68</f>
        <v/>
      </c>
      <c r="C68" s="1085" t="e">
        <f>LOOKUP(A68,'Base-D'!A:A,'Base-D'!BP:BP)</f>
        <v>#N/A</v>
      </c>
      <c r="D68" s="1085">
        <f>'Base-D'!S68</f>
        <v>0</v>
      </c>
      <c r="E68" s="1086"/>
      <c r="F68" s="1087"/>
      <c r="G68" s="1087" t="e">
        <f>LOOKUP(A68,'ETAT-PAY-PERM'!A:A,'ETAT-PAY-PERM'!J:J)</f>
        <v>#N/A</v>
      </c>
      <c r="H68" s="1094" t="e">
        <f t="shared" si="13"/>
        <v>#N/A</v>
      </c>
      <c r="I68" s="1094" t="e">
        <f t="shared" si="14"/>
        <v>#N/A</v>
      </c>
      <c r="P68" s="688">
        <f>LOOKUP(J68,'ETAT-PAY-PERM'!J:J,'ETAT-PAY-PERM'!S:S)</f>
        <v>0</v>
      </c>
      <c r="Q68" s="1095">
        <f t="shared" si="15"/>
        <v>0</v>
      </c>
      <c r="R68" s="1095" t="str">
        <f t="shared" si="16"/>
        <v/>
      </c>
    </row>
    <row r="69" spans="1:18" ht="18.75" thickBot="1">
      <c r="A69" s="1085">
        <f>'Base-D'!A69</f>
        <v>68</v>
      </c>
      <c r="B69" s="1085" t="str">
        <f>'Base-D'!AX69</f>
        <v/>
      </c>
      <c r="C69" s="1085" t="e">
        <f>LOOKUP(A69,'Base-D'!A:A,'Base-D'!BP:BP)</f>
        <v>#N/A</v>
      </c>
      <c r="D69" s="1085">
        <f>'Base-D'!S69</f>
        <v>0</v>
      </c>
      <c r="E69" s="1086"/>
      <c r="F69" s="1087"/>
      <c r="G69" s="1087" t="e">
        <f>LOOKUP(A69,'ETAT-PAY-PERM'!A:A,'ETAT-PAY-PERM'!J:J)</f>
        <v>#N/A</v>
      </c>
      <c r="H69" s="1094" t="e">
        <f t="shared" si="13"/>
        <v>#N/A</v>
      </c>
      <c r="I69" s="1094" t="e">
        <f t="shared" si="14"/>
        <v>#N/A</v>
      </c>
      <c r="P69" s="688">
        <f>LOOKUP(J69,'ETAT-PAY-PERM'!J:J,'ETAT-PAY-PERM'!S:S)</f>
        <v>0</v>
      </c>
      <c r="Q69" s="1095">
        <f t="shared" si="15"/>
        <v>0</v>
      </c>
      <c r="R69" s="1095" t="str">
        <f t="shared" si="16"/>
        <v/>
      </c>
    </row>
    <row r="70" spans="1:18" ht="18.75" thickBot="1">
      <c r="A70" s="1085">
        <f>'Base-D'!A70</f>
        <v>69</v>
      </c>
      <c r="B70" s="1085" t="str">
        <f>'Base-D'!AX70</f>
        <v/>
      </c>
      <c r="C70" s="1085" t="e">
        <f>LOOKUP(A70,'Base-D'!A:A,'Base-D'!BP:BP)</f>
        <v>#N/A</v>
      </c>
      <c r="D70" s="1085">
        <f>'Base-D'!S70</f>
        <v>0</v>
      </c>
      <c r="E70" s="1088"/>
      <c r="F70" s="1087"/>
      <c r="G70" s="1087" t="e">
        <f>LOOKUP(A70,'ETAT-PAY-PERM'!A:A,'ETAT-PAY-PERM'!J:J)</f>
        <v>#N/A</v>
      </c>
      <c r="H70" s="1094" t="e">
        <f t="shared" si="13"/>
        <v>#N/A</v>
      </c>
      <c r="I70" s="1094" t="e">
        <f t="shared" si="14"/>
        <v>#N/A</v>
      </c>
      <c r="P70" s="688">
        <f>LOOKUP(J70,'ETAT-PAY-PERM'!J:J,'ETAT-PAY-PERM'!S:S)</f>
        <v>0</v>
      </c>
      <c r="Q70" s="1095">
        <f t="shared" si="15"/>
        <v>0</v>
      </c>
      <c r="R70" s="1095" t="str">
        <f t="shared" si="16"/>
        <v/>
      </c>
    </row>
    <row r="71" spans="1:18" ht="18.75" thickBot="1">
      <c r="A71" s="1085">
        <f>'Base-D'!A71</f>
        <v>70</v>
      </c>
      <c r="B71" s="1085" t="str">
        <f>'Base-D'!AX71</f>
        <v/>
      </c>
      <c r="C71" s="1085" t="e">
        <f>LOOKUP(A71,'Base-D'!A:A,'Base-D'!BP:BP)</f>
        <v>#N/A</v>
      </c>
      <c r="D71" s="1085">
        <f>'Base-D'!S71</f>
        <v>0</v>
      </c>
      <c r="E71" s="1086"/>
      <c r="F71" s="1087"/>
      <c r="G71" s="1087" t="e">
        <f>LOOKUP(A71,'ETAT-PAY-PERM'!A:A,'ETAT-PAY-PERM'!J:J)</f>
        <v>#N/A</v>
      </c>
      <c r="H71" s="1094" t="e">
        <f t="shared" si="13"/>
        <v>#N/A</v>
      </c>
      <c r="I71" s="1094" t="e">
        <f t="shared" si="14"/>
        <v>#N/A</v>
      </c>
      <c r="P71" s="688">
        <f>LOOKUP(J71,'ETAT-PAY-PERM'!J:J,'ETAT-PAY-PERM'!S:S)</f>
        <v>0</v>
      </c>
      <c r="Q71" s="1095">
        <f t="shared" si="15"/>
        <v>0</v>
      </c>
      <c r="R71" s="1095" t="str">
        <f t="shared" si="16"/>
        <v/>
      </c>
    </row>
    <row r="72" spans="1:18" ht="18.75" thickBot="1">
      <c r="A72" s="1085">
        <f>'Base-D'!A72</f>
        <v>71</v>
      </c>
      <c r="B72" s="1085" t="str">
        <f>'Base-D'!AX72</f>
        <v/>
      </c>
      <c r="C72" s="1085" t="e">
        <f>LOOKUP(A72,'Base-D'!A:A,'Base-D'!BP:BP)</f>
        <v>#N/A</v>
      </c>
      <c r="D72" s="1085">
        <f>'Base-D'!S72</f>
        <v>0</v>
      </c>
      <c r="E72" s="1086"/>
      <c r="F72" s="1087"/>
      <c r="G72" s="1087" t="e">
        <f>LOOKUP(A72,'ETAT-PAY-PERM'!A:A,'ETAT-PAY-PERM'!J:J)</f>
        <v>#N/A</v>
      </c>
      <c r="H72" s="1094" t="e">
        <f t="shared" si="13"/>
        <v>#N/A</v>
      </c>
      <c r="I72" s="1094" t="e">
        <f t="shared" si="14"/>
        <v>#N/A</v>
      </c>
      <c r="P72" s="688">
        <f>LOOKUP(J72,'ETAT-PAY-PERM'!J:J,'ETAT-PAY-PERM'!S:S)</f>
        <v>0</v>
      </c>
      <c r="Q72" s="1095">
        <f t="shared" si="15"/>
        <v>0</v>
      </c>
      <c r="R72" s="1095" t="str">
        <f t="shared" si="16"/>
        <v/>
      </c>
    </row>
    <row r="73" spans="1:18" ht="18.75" thickBot="1">
      <c r="A73" s="1085">
        <f>'Base-D'!A73</f>
        <v>72</v>
      </c>
      <c r="B73" s="1085" t="str">
        <f>'Base-D'!AX73</f>
        <v/>
      </c>
      <c r="C73" s="1085" t="e">
        <f>LOOKUP(A73,'Base-D'!A:A,'Base-D'!BP:BP)</f>
        <v>#N/A</v>
      </c>
      <c r="D73" s="1085">
        <f>'Base-D'!S73</f>
        <v>0</v>
      </c>
      <c r="E73" s="1086"/>
      <c r="F73" s="1087"/>
      <c r="G73" s="1087" t="e">
        <f>LOOKUP(A73,'ETAT-PAY-PERM'!A:A,'ETAT-PAY-PERM'!J:J)</f>
        <v>#N/A</v>
      </c>
      <c r="H73" s="1094" t="e">
        <f t="shared" si="13"/>
        <v>#N/A</v>
      </c>
      <c r="I73" s="1094" t="e">
        <f t="shared" si="14"/>
        <v>#N/A</v>
      </c>
      <c r="P73" s="688">
        <f>LOOKUP(J73,'ETAT-PAY-PERM'!J:J,'ETAT-PAY-PERM'!S:S)</f>
        <v>0</v>
      </c>
      <c r="Q73" s="1095">
        <f t="shared" si="15"/>
        <v>0</v>
      </c>
      <c r="R73" s="1095" t="str">
        <f t="shared" si="16"/>
        <v/>
      </c>
    </row>
    <row r="74" spans="1:18" ht="18.75" thickBot="1">
      <c r="A74" s="1085">
        <f>'Base-D'!A74</f>
        <v>73</v>
      </c>
      <c r="B74" s="1085" t="str">
        <f>'Base-D'!AX74</f>
        <v/>
      </c>
      <c r="C74" s="1085" t="e">
        <f>LOOKUP(A74,'Base-D'!A:A,'Base-D'!BP:BP)</f>
        <v>#N/A</v>
      </c>
      <c r="D74" s="1085">
        <f>'Base-D'!S74</f>
        <v>0</v>
      </c>
      <c r="E74" s="1086"/>
      <c r="F74" s="1087"/>
      <c r="G74" s="1087" t="e">
        <f>LOOKUP(A74,'ETAT-PAY-PERM'!A:A,'ETAT-PAY-PERM'!J:J)</f>
        <v>#N/A</v>
      </c>
      <c r="H74" s="1094" t="e">
        <f t="shared" si="13"/>
        <v>#N/A</v>
      </c>
      <c r="I74" s="1094" t="e">
        <f t="shared" si="14"/>
        <v>#N/A</v>
      </c>
      <c r="P74" s="688">
        <f>LOOKUP(J74,'ETAT-PAY-PERM'!J:J,'ETAT-PAY-PERM'!S:S)</f>
        <v>0</v>
      </c>
      <c r="Q74" s="1095">
        <f t="shared" si="15"/>
        <v>0</v>
      </c>
      <c r="R74" s="1095" t="str">
        <f t="shared" si="16"/>
        <v/>
      </c>
    </row>
    <row r="75" spans="1:18" ht="18.75" thickBot="1">
      <c r="A75" s="1085">
        <f>'Base-D'!A75</f>
        <v>74</v>
      </c>
      <c r="B75" s="1085" t="str">
        <f>'Base-D'!AX75</f>
        <v/>
      </c>
      <c r="C75" s="1085" t="e">
        <f>LOOKUP(A75,'Base-D'!A:A,'Base-D'!BP:BP)</f>
        <v>#N/A</v>
      </c>
      <c r="D75" s="1085">
        <f>'Base-D'!S75</f>
        <v>0</v>
      </c>
      <c r="E75" s="1088"/>
      <c r="F75" s="1087"/>
      <c r="G75" s="1087" t="e">
        <f>LOOKUP(A75,'ETAT-PAY-PERM'!A:A,'ETAT-PAY-PERM'!J:J)</f>
        <v>#N/A</v>
      </c>
      <c r="H75" s="1094" t="e">
        <f t="shared" si="13"/>
        <v>#N/A</v>
      </c>
      <c r="I75" s="1094" t="e">
        <f t="shared" si="14"/>
        <v>#N/A</v>
      </c>
      <c r="P75" s="688">
        <f>LOOKUP(J75,'ETAT-PAY-PERM'!J:J,'ETAT-PAY-PERM'!S:S)</f>
        <v>0</v>
      </c>
      <c r="Q75" s="1095">
        <f t="shared" si="15"/>
        <v>0</v>
      </c>
      <c r="R75" s="1095" t="str">
        <f t="shared" si="16"/>
        <v/>
      </c>
    </row>
    <row r="76" spans="1:18" ht="18.75" thickBot="1">
      <c r="A76" s="1085">
        <f>'Base-D'!A76</f>
        <v>75</v>
      </c>
      <c r="B76" s="1085" t="str">
        <f>'Base-D'!AX76</f>
        <v/>
      </c>
      <c r="C76" s="1085" t="e">
        <f>LOOKUP(A76,'Base-D'!A:A,'Base-D'!BP:BP)</f>
        <v>#N/A</v>
      </c>
      <c r="D76" s="1085">
        <f>'Base-D'!S76</f>
        <v>0</v>
      </c>
      <c r="E76" s="1088"/>
      <c r="F76" s="1087"/>
      <c r="G76" s="1087" t="e">
        <f>LOOKUP(A76,'ETAT-PAY-PERM'!A:A,'ETAT-PAY-PERM'!J:J)</f>
        <v>#N/A</v>
      </c>
      <c r="H76" s="1094" t="e">
        <f t="shared" si="13"/>
        <v>#N/A</v>
      </c>
      <c r="I76" s="1094" t="e">
        <f t="shared" si="14"/>
        <v>#N/A</v>
      </c>
      <c r="P76" s="688">
        <f>LOOKUP(J76,'ETAT-PAY-PERM'!J:J,'ETAT-PAY-PERM'!S:S)</f>
        <v>0</v>
      </c>
      <c r="Q76" s="1095">
        <f t="shared" si="15"/>
        <v>0</v>
      </c>
      <c r="R76" s="1095" t="str">
        <f t="shared" si="16"/>
        <v/>
      </c>
    </row>
    <row r="77" spans="1:18" ht="18.75" thickBot="1">
      <c r="A77" s="1085">
        <f>'Base-D'!A77</f>
        <v>76</v>
      </c>
      <c r="B77" s="1085" t="str">
        <f>'Base-D'!AX77</f>
        <v/>
      </c>
      <c r="C77" s="1085" t="e">
        <f>LOOKUP(A77,'Base-D'!A:A,'Base-D'!BP:BP)</f>
        <v>#N/A</v>
      </c>
      <c r="D77" s="1085">
        <f>'Base-D'!S77</f>
        <v>0</v>
      </c>
      <c r="E77" s="1088"/>
      <c r="F77" s="1087"/>
      <c r="G77" s="1087" t="e">
        <f>LOOKUP(A77,'ETAT-PAY-PERM'!A:A,'ETAT-PAY-PERM'!J:J)</f>
        <v>#N/A</v>
      </c>
      <c r="H77" s="1094" t="e">
        <f t="shared" si="13"/>
        <v>#N/A</v>
      </c>
      <c r="I77" s="1094" t="e">
        <f t="shared" si="14"/>
        <v>#N/A</v>
      </c>
      <c r="P77" s="688">
        <f>LOOKUP(J77,'ETAT-PAY-PERM'!J:J,'ETAT-PAY-PERM'!S:S)</f>
        <v>0</v>
      </c>
      <c r="Q77" s="1095">
        <f t="shared" si="15"/>
        <v>0</v>
      </c>
      <c r="R77" s="1095" t="str">
        <f t="shared" si="16"/>
        <v/>
      </c>
    </row>
    <row r="78" spans="1:18" ht="18.75" thickBot="1">
      <c r="A78" s="1085">
        <f>'Base-D'!A78</f>
        <v>77</v>
      </c>
      <c r="B78" s="1085" t="str">
        <f>'Base-D'!AX78</f>
        <v/>
      </c>
      <c r="C78" s="1085" t="e">
        <f>LOOKUP(A78,'Base-D'!A:A,'Base-D'!BP:BP)</f>
        <v>#N/A</v>
      </c>
      <c r="D78" s="1085">
        <f>'Base-D'!S78</f>
        <v>0</v>
      </c>
      <c r="E78" s="1086"/>
      <c r="F78" s="1087"/>
      <c r="G78" s="1087" t="e">
        <f>LOOKUP(A78,'ETAT-PAY-PERM'!A:A,'ETAT-PAY-PERM'!J:J)</f>
        <v>#N/A</v>
      </c>
      <c r="H78" s="1094" t="e">
        <f t="shared" si="13"/>
        <v>#N/A</v>
      </c>
      <c r="I78" s="1094" t="e">
        <f t="shared" si="14"/>
        <v>#N/A</v>
      </c>
      <c r="P78" s="688">
        <f>LOOKUP(J78,'ETAT-PAY-PERM'!J:J,'ETAT-PAY-PERM'!S:S)</f>
        <v>0</v>
      </c>
      <c r="Q78" s="1095">
        <f t="shared" si="15"/>
        <v>0</v>
      </c>
      <c r="R78" s="1095" t="str">
        <f t="shared" si="16"/>
        <v/>
      </c>
    </row>
    <row r="79" spans="1:18" ht="18.75" thickBot="1">
      <c r="A79" s="1085">
        <f>'Base-D'!A79</f>
        <v>78</v>
      </c>
      <c r="B79" s="1085" t="str">
        <f>'Base-D'!AX79</f>
        <v/>
      </c>
      <c r="C79" s="1085" t="e">
        <f>LOOKUP(A79,'Base-D'!A:A,'Base-D'!BP:BP)</f>
        <v>#N/A</v>
      </c>
      <c r="D79" s="1085">
        <f>'Base-D'!S79</f>
        <v>0</v>
      </c>
      <c r="E79" s="1088"/>
      <c r="F79" s="1087"/>
      <c r="G79" s="1087" t="e">
        <f>LOOKUP(A79,'ETAT-PAY-PERM'!A:A,'ETAT-PAY-PERM'!J:J)</f>
        <v>#N/A</v>
      </c>
      <c r="H79" s="1094" t="e">
        <f t="shared" si="13"/>
        <v>#N/A</v>
      </c>
      <c r="I79" s="1094" t="e">
        <f t="shared" si="14"/>
        <v>#N/A</v>
      </c>
      <c r="P79" s="688">
        <f>LOOKUP(J79,'ETAT-PAY-PERM'!J:J,'ETAT-PAY-PERM'!S:S)</f>
        <v>0</v>
      </c>
      <c r="Q79" s="1095">
        <f t="shared" si="15"/>
        <v>0</v>
      </c>
      <c r="R79" s="1095" t="str">
        <f t="shared" si="16"/>
        <v/>
      </c>
    </row>
    <row r="80" spans="1:18" ht="18.75" thickBot="1">
      <c r="A80" s="1085">
        <f>'Base-D'!A80</f>
        <v>79</v>
      </c>
      <c r="B80" s="1085" t="str">
        <f>'Base-D'!AX80</f>
        <v/>
      </c>
      <c r="C80" s="1085" t="e">
        <f>LOOKUP(A80,'Base-D'!A:A,'Base-D'!BP:BP)</f>
        <v>#N/A</v>
      </c>
      <c r="D80" s="1085">
        <f>'Base-D'!S80</f>
        <v>0</v>
      </c>
      <c r="E80" s="1086"/>
      <c r="F80" s="1087"/>
      <c r="G80" s="1087" t="e">
        <f>LOOKUP(A80,'ETAT-PAY-PERM'!A:A,'ETAT-PAY-PERM'!J:J)</f>
        <v>#N/A</v>
      </c>
      <c r="H80" s="1094" t="e">
        <f t="shared" si="13"/>
        <v>#N/A</v>
      </c>
      <c r="I80" s="1094" t="e">
        <f t="shared" si="14"/>
        <v>#N/A</v>
      </c>
      <c r="P80" s="688">
        <f>LOOKUP(J80,'ETAT-PAY-PERM'!J:J,'ETAT-PAY-PERM'!S:S)</f>
        <v>0</v>
      </c>
      <c r="Q80" s="1095">
        <f t="shared" si="15"/>
        <v>0</v>
      </c>
      <c r="R80" s="1095" t="str">
        <f t="shared" si="16"/>
        <v/>
      </c>
    </row>
    <row r="81" spans="1:18" ht="18.75" thickBot="1">
      <c r="A81" s="1085">
        <f>'Base-D'!A81</f>
        <v>80</v>
      </c>
      <c r="B81" s="1085" t="str">
        <f>'Base-D'!AX81</f>
        <v/>
      </c>
      <c r="C81" s="1085" t="e">
        <f>LOOKUP(A81,'Base-D'!A:A,'Base-D'!BP:BP)</f>
        <v>#N/A</v>
      </c>
      <c r="D81" s="1085">
        <f>'Base-D'!S81</f>
        <v>0</v>
      </c>
      <c r="E81" s="1086"/>
      <c r="F81" s="1087"/>
      <c r="G81" s="1087" t="e">
        <f>LOOKUP(A81,'ETAT-PAY-PERM'!A:A,'ETAT-PAY-PERM'!J:J)</f>
        <v>#N/A</v>
      </c>
      <c r="H81" s="1094" t="e">
        <f t="shared" si="13"/>
        <v>#N/A</v>
      </c>
      <c r="I81" s="1094" t="e">
        <f t="shared" si="14"/>
        <v>#N/A</v>
      </c>
      <c r="P81" s="688">
        <f>LOOKUP(J81,'ETAT-PAY-PERM'!J:J,'ETAT-PAY-PERM'!S:S)</f>
        <v>0</v>
      </c>
      <c r="Q81" s="1095">
        <f t="shared" si="15"/>
        <v>0</v>
      </c>
      <c r="R81" s="1095" t="str">
        <f t="shared" si="16"/>
        <v/>
      </c>
    </row>
    <row r="82" spans="1:18" ht="18.75" thickBot="1">
      <c r="A82" s="1085">
        <f>'Base-D'!A82</f>
        <v>81</v>
      </c>
      <c r="B82" s="1085" t="str">
        <f>'Base-D'!AX82</f>
        <v/>
      </c>
      <c r="C82" s="1085" t="e">
        <f>LOOKUP(A82,'Base-D'!A:A,'Base-D'!BP:BP)</f>
        <v>#N/A</v>
      </c>
      <c r="D82" s="1085">
        <f>'Base-D'!S82</f>
        <v>0</v>
      </c>
      <c r="E82" s="1086"/>
      <c r="F82" s="1087"/>
      <c r="G82" s="1087" t="e">
        <f>LOOKUP(A82,'ETAT-PAY-PERM'!A:A,'ETAT-PAY-PERM'!J:J)</f>
        <v>#N/A</v>
      </c>
      <c r="H82" s="1094" t="e">
        <f t="shared" si="13"/>
        <v>#N/A</v>
      </c>
      <c r="I82" s="1094" t="e">
        <f t="shared" si="14"/>
        <v>#N/A</v>
      </c>
      <c r="P82" s="688">
        <f>LOOKUP(J82,'ETAT-PAY-PERM'!J:J,'ETAT-PAY-PERM'!S:S)</f>
        <v>0</v>
      </c>
      <c r="Q82" s="1095">
        <f t="shared" si="15"/>
        <v>0</v>
      </c>
      <c r="R82" s="1095" t="str">
        <f t="shared" si="16"/>
        <v/>
      </c>
    </row>
    <row r="83" spans="1:18" ht="18.75" thickBot="1">
      <c r="A83" s="1085">
        <f>'Base-D'!A83</f>
        <v>82</v>
      </c>
      <c r="B83" s="1085" t="str">
        <f>'Base-D'!AX83</f>
        <v/>
      </c>
      <c r="C83" s="1085" t="e">
        <f>LOOKUP(A83,'Base-D'!A:A,'Base-D'!BP:BP)</f>
        <v>#N/A</v>
      </c>
      <c r="D83" s="1085">
        <f>'Base-D'!S83</f>
        <v>0</v>
      </c>
      <c r="E83" s="1086"/>
      <c r="F83" s="1087"/>
      <c r="G83" s="1087" t="e">
        <f>LOOKUP(A83,'ETAT-PAY-PERM'!A:A,'ETAT-PAY-PERM'!J:J)</f>
        <v>#N/A</v>
      </c>
      <c r="H83" s="1094" t="e">
        <f t="shared" si="13"/>
        <v>#N/A</v>
      </c>
      <c r="I83" s="1094" t="e">
        <f t="shared" si="14"/>
        <v>#N/A</v>
      </c>
      <c r="P83" s="688">
        <f>LOOKUP(J83,'ETAT-PAY-PERM'!J:J,'ETAT-PAY-PERM'!S:S)</f>
        <v>0</v>
      </c>
      <c r="Q83" s="1095">
        <f t="shared" si="15"/>
        <v>0</v>
      </c>
      <c r="R83" s="1095" t="str">
        <f t="shared" si="16"/>
        <v/>
      </c>
    </row>
    <row r="84" spans="1:18" ht="18.75" thickBot="1">
      <c r="A84" s="1085">
        <f>'Base-D'!A84</f>
        <v>83</v>
      </c>
      <c r="B84" s="1085" t="str">
        <f>'Base-D'!AX84</f>
        <v/>
      </c>
      <c r="C84" s="1085" t="e">
        <f>LOOKUP(A84,'Base-D'!A:A,'Base-D'!BP:BP)</f>
        <v>#N/A</v>
      </c>
      <c r="D84" s="1085">
        <f>'Base-D'!S84</f>
        <v>0</v>
      </c>
      <c r="E84" s="1086"/>
      <c r="F84" s="1087"/>
      <c r="G84" s="1087" t="e">
        <f>LOOKUP(A84,'ETAT-PAY-PERM'!A:A,'ETAT-PAY-PERM'!J:J)</f>
        <v>#N/A</v>
      </c>
      <c r="H84" s="1094" t="e">
        <f t="shared" si="13"/>
        <v>#N/A</v>
      </c>
      <c r="I84" s="1094" t="e">
        <f t="shared" si="14"/>
        <v>#N/A</v>
      </c>
      <c r="P84" s="688">
        <f>LOOKUP(J84,'ETAT-PAY-PERM'!J:J,'ETAT-PAY-PERM'!S:S)</f>
        <v>0</v>
      </c>
      <c r="Q84" s="1095">
        <f t="shared" si="15"/>
        <v>0</v>
      </c>
      <c r="R84" s="1095" t="str">
        <f t="shared" si="16"/>
        <v/>
      </c>
    </row>
    <row r="85" spans="1:18" ht="18.75" thickBot="1">
      <c r="A85" s="1085">
        <f>'Base-D'!A85</f>
        <v>84</v>
      </c>
      <c r="B85" s="1085" t="str">
        <f>'Base-D'!AX85</f>
        <v/>
      </c>
      <c r="C85" s="1085" t="e">
        <f>LOOKUP(A85,'Base-D'!A:A,'Base-D'!BP:BP)</f>
        <v>#N/A</v>
      </c>
      <c r="D85" s="1085">
        <f>'Base-D'!S85</f>
        <v>0</v>
      </c>
      <c r="E85" s="1086"/>
      <c r="F85" s="1087"/>
      <c r="G85" s="1087" t="e">
        <f>LOOKUP(A85,'ETAT-PAY-PERM'!A:A,'ETAT-PAY-PERM'!J:J)</f>
        <v>#N/A</v>
      </c>
      <c r="H85" s="1094" t="e">
        <f t="shared" si="13"/>
        <v>#N/A</v>
      </c>
      <c r="I85" s="1094" t="e">
        <f t="shared" si="14"/>
        <v>#N/A</v>
      </c>
      <c r="P85" s="688">
        <f>LOOKUP(J85,'ETAT-PAY-PERM'!J:J,'ETAT-PAY-PERM'!S:S)</f>
        <v>0</v>
      </c>
      <c r="Q85" s="1095">
        <f t="shared" si="15"/>
        <v>0</v>
      </c>
      <c r="R85" s="1095" t="str">
        <f t="shared" si="16"/>
        <v/>
      </c>
    </row>
    <row r="86" spans="1:18" ht="18.75" thickBot="1">
      <c r="A86" s="1085">
        <f>'Base-D'!A86</f>
        <v>85</v>
      </c>
      <c r="B86" s="1085" t="str">
        <f>'Base-D'!AX86</f>
        <v/>
      </c>
      <c r="C86" s="1085" t="e">
        <f>LOOKUP(A86,'Base-D'!A:A,'Base-D'!BP:BP)</f>
        <v>#N/A</v>
      </c>
      <c r="D86" s="1085">
        <f>'Base-D'!S86</f>
        <v>0</v>
      </c>
      <c r="E86" s="1086"/>
      <c r="F86" s="1087"/>
      <c r="G86" s="1087" t="e">
        <f>LOOKUP(A86,'ETAT-PAY-PERM'!A:A,'ETAT-PAY-PERM'!J:J)</f>
        <v>#N/A</v>
      </c>
      <c r="H86" s="1094" t="e">
        <f t="shared" si="13"/>
        <v>#N/A</v>
      </c>
      <c r="I86" s="1094" t="e">
        <f t="shared" si="14"/>
        <v>#N/A</v>
      </c>
      <c r="P86" s="688">
        <f>LOOKUP(J86,'ETAT-PAY-PERM'!J:J,'ETAT-PAY-PERM'!S:S)</f>
        <v>0</v>
      </c>
      <c r="Q86" s="1095">
        <f t="shared" si="15"/>
        <v>0</v>
      </c>
      <c r="R86" s="1095" t="str">
        <f t="shared" si="16"/>
        <v/>
      </c>
    </row>
    <row r="87" spans="1:18" ht="18.75" thickBot="1">
      <c r="A87" s="1085">
        <f>'Base-D'!A87</f>
        <v>86</v>
      </c>
      <c r="B87" s="1085" t="str">
        <f>'Base-D'!AX87</f>
        <v/>
      </c>
      <c r="C87" s="1085" t="e">
        <f>LOOKUP(A87,'Base-D'!A:A,'Base-D'!BP:BP)</f>
        <v>#N/A</v>
      </c>
      <c r="D87" s="1085">
        <f>'Base-D'!S87</f>
        <v>0</v>
      </c>
      <c r="E87" s="1086"/>
      <c r="F87" s="1087"/>
      <c r="G87" s="1087" t="e">
        <f>LOOKUP(A87,'ETAT-PAY-PERM'!A:A,'ETAT-PAY-PERM'!J:J)</f>
        <v>#N/A</v>
      </c>
      <c r="H87" s="1094" t="e">
        <f t="shared" si="13"/>
        <v>#N/A</v>
      </c>
      <c r="I87" s="1094" t="e">
        <f t="shared" si="14"/>
        <v>#N/A</v>
      </c>
      <c r="P87" s="688">
        <f>LOOKUP(J87,'ETAT-PAY-PERM'!J:J,'ETAT-PAY-PERM'!S:S)</f>
        <v>0</v>
      </c>
      <c r="Q87" s="1095">
        <f t="shared" si="15"/>
        <v>0</v>
      </c>
      <c r="R87" s="1095" t="str">
        <f t="shared" si="16"/>
        <v/>
      </c>
    </row>
    <row r="88" spans="1:18" ht="18.75" thickBot="1">
      <c r="A88" s="1085">
        <f>'Base-D'!A88</f>
        <v>87</v>
      </c>
      <c r="B88" s="1085" t="str">
        <f>'Base-D'!AX88</f>
        <v/>
      </c>
      <c r="C88" s="1085" t="e">
        <f>LOOKUP(A88,'Base-D'!A:A,'Base-D'!BP:BP)</f>
        <v>#N/A</v>
      </c>
      <c r="D88" s="1085">
        <f>'Base-D'!S88</f>
        <v>0</v>
      </c>
      <c r="E88" s="1086"/>
      <c r="F88" s="1087"/>
      <c r="G88" s="1087" t="e">
        <f>LOOKUP(A88,'ETAT-PAY-PERM'!A:A,'ETAT-PAY-PERM'!J:J)</f>
        <v>#N/A</v>
      </c>
      <c r="H88" s="1094" t="e">
        <f t="shared" si="13"/>
        <v>#N/A</v>
      </c>
      <c r="I88" s="1094" t="e">
        <f t="shared" si="14"/>
        <v>#N/A</v>
      </c>
      <c r="P88" s="688">
        <f>LOOKUP(J88,'ETAT-PAY-PERM'!J:J,'ETAT-PAY-PERM'!S:S)</f>
        <v>0</v>
      </c>
      <c r="Q88" s="1095">
        <f t="shared" si="15"/>
        <v>0</v>
      </c>
      <c r="R88" s="1095" t="str">
        <f t="shared" si="16"/>
        <v/>
      </c>
    </row>
    <row r="89" spans="1:18" ht="18.75" thickBot="1">
      <c r="A89" s="1085">
        <f>'Base-D'!A89</f>
        <v>88</v>
      </c>
      <c r="B89" s="1085" t="str">
        <f>'Base-D'!AX89</f>
        <v/>
      </c>
      <c r="C89" s="1085" t="e">
        <f>LOOKUP(A89,'Base-D'!A:A,'Base-D'!BP:BP)</f>
        <v>#N/A</v>
      </c>
      <c r="D89" s="1085">
        <f>'Base-D'!S89</f>
        <v>0</v>
      </c>
      <c r="E89" s="1086"/>
      <c r="F89" s="1087"/>
      <c r="G89" s="1087" t="e">
        <f>LOOKUP(A89,'ETAT-PAY-PERM'!A:A,'ETAT-PAY-PERM'!J:J)</f>
        <v>#N/A</v>
      </c>
      <c r="H89" s="1094" t="e">
        <f t="shared" si="13"/>
        <v>#N/A</v>
      </c>
      <c r="I89" s="1094" t="e">
        <f t="shared" si="14"/>
        <v>#N/A</v>
      </c>
      <c r="P89" s="688">
        <f>LOOKUP(J89,'ETAT-PAY-PERM'!J:J,'ETAT-PAY-PERM'!S:S)</f>
        <v>0</v>
      </c>
      <c r="Q89" s="1095">
        <f t="shared" si="15"/>
        <v>0</v>
      </c>
      <c r="R89" s="1095" t="str">
        <f t="shared" si="16"/>
        <v/>
      </c>
    </row>
    <row r="90" spans="1:18" ht="18.75" thickBot="1">
      <c r="A90" s="1085">
        <f>'Base-D'!A90</f>
        <v>89</v>
      </c>
      <c r="B90" s="1085" t="str">
        <f>'Base-D'!AX90</f>
        <v/>
      </c>
      <c r="C90" s="1085" t="e">
        <f>LOOKUP(A90,'Base-D'!A:A,'Base-D'!BP:BP)</f>
        <v>#N/A</v>
      </c>
      <c r="D90" s="1085">
        <f>'Base-D'!S90</f>
        <v>0</v>
      </c>
      <c r="E90" s="1086"/>
      <c r="F90" s="1087"/>
      <c r="G90" s="1087" t="e">
        <f>LOOKUP(A90,'ETAT-PAY-PERM'!A:A,'ETAT-PAY-PERM'!J:J)</f>
        <v>#N/A</v>
      </c>
      <c r="H90" s="1094" t="e">
        <f t="shared" si="13"/>
        <v>#N/A</v>
      </c>
      <c r="I90" s="1094" t="e">
        <f t="shared" si="14"/>
        <v>#N/A</v>
      </c>
      <c r="P90" s="688">
        <f>LOOKUP(J90,'ETAT-PAY-PERM'!J:J,'ETAT-PAY-PERM'!S:S)</f>
        <v>0</v>
      </c>
      <c r="Q90" s="1095">
        <f t="shared" si="15"/>
        <v>0</v>
      </c>
      <c r="R90" s="1095" t="str">
        <f t="shared" si="16"/>
        <v/>
      </c>
    </row>
    <row r="91" spans="1:18" ht="18.75" thickBot="1">
      <c r="A91" s="1085">
        <f>'Base-D'!A91</f>
        <v>90</v>
      </c>
      <c r="B91" s="1085" t="str">
        <f>'Base-D'!AX91</f>
        <v/>
      </c>
      <c r="C91" s="1085" t="e">
        <f>LOOKUP(A91,'Base-D'!A:A,'Base-D'!BP:BP)</f>
        <v>#N/A</v>
      </c>
      <c r="D91" s="1085">
        <f>'Base-D'!S91</f>
        <v>0</v>
      </c>
      <c r="E91" s="1086"/>
      <c r="F91" s="1087"/>
      <c r="G91" s="1087" t="e">
        <f>LOOKUP(A91,'ETAT-PAY-PERM'!A:A,'ETAT-PAY-PERM'!J:J)</f>
        <v>#N/A</v>
      </c>
      <c r="H91" s="1094" t="e">
        <f t="shared" si="13"/>
        <v>#N/A</v>
      </c>
      <c r="I91" s="1094" t="e">
        <f t="shared" si="14"/>
        <v>#N/A</v>
      </c>
      <c r="P91" s="688">
        <f>LOOKUP(J91,'ETAT-PAY-PERM'!J:J,'ETAT-PAY-PERM'!S:S)</f>
        <v>0</v>
      </c>
      <c r="Q91" s="1095">
        <f t="shared" si="15"/>
        <v>0</v>
      </c>
      <c r="R91" s="1095" t="str">
        <f t="shared" si="16"/>
        <v/>
      </c>
    </row>
    <row r="92" spans="1:18" ht="18.75" thickBot="1">
      <c r="A92" s="1085">
        <f>'Base-D'!A92</f>
        <v>91</v>
      </c>
      <c r="B92" s="1085" t="str">
        <f>'Base-D'!AX92</f>
        <v/>
      </c>
      <c r="C92" s="1085" t="e">
        <f>LOOKUP(A92,'Base-D'!A:A,'Base-D'!BP:BP)</f>
        <v>#N/A</v>
      </c>
      <c r="D92" s="1085">
        <f>'Base-D'!S92</f>
        <v>0</v>
      </c>
      <c r="E92" s="1086"/>
      <c r="F92" s="1087"/>
      <c r="G92" s="1087" t="e">
        <f>LOOKUP(A92,'ETAT-PAY-PERM'!A:A,'ETAT-PAY-PERM'!J:J)</f>
        <v>#N/A</v>
      </c>
      <c r="H92" s="1094" t="e">
        <f t="shared" si="13"/>
        <v>#N/A</v>
      </c>
      <c r="I92" s="1094" t="e">
        <f t="shared" si="14"/>
        <v>#N/A</v>
      </c>
      <c r="P92" s="688">
        <f>LOOKUP(J92,'ETAT-PAY-PERM'!J:J,'ETAT-PAY-PERM'!S:S)</f>
        <v>0</v>
      </c>
      <c r="Q92" s="1095">
        <f t="shared" si="15"/>
        <v>0</v>
      </c>
      <c r="R92" s="1095" t="str">
        <f t="shared" si="16"/>
        <v/>
      </c>
    </row>
    <row r="93" spans="1:18" ht="18.75" thickBot="1">
      <c r="A93" s="1085">
        <f>'Base-D'!A93</f>
        <v>92</v>
      </c>
      <c r="B93" s="1085" t="str">
        <f>'Base-D'!AX93</f>
        <v/>
      </c>
      <c r="C93" s="1085" t="e">
        <f>LOOKUP(A93,'Base-D'!A:A,'Base-D'!BP:BP)</f>
        <v>#N/A</v>
      </c>
      <c r="D93" s="1085">
        <f>'Base-D'!S93</f>
        <v>0</v>
      </c>
      <c r="E93" s="1086"/>
      <c r="F93" s="1087"/>
      <c r="G93" s="1087" t="e">
        <f>LOOKUP(A93,'ETAT-PAY-PERM'!A:A,'ETAT-PAY-PERM'!J:J)</f>
        <v>#N/A</v>
      </c>
      <c r="H93" s="1094" t="e">
        <f t="shared" si="13"/>
        <v>#N/A</v>
      </c>
      <c r="I93" s="1094" t="e">
        <f t="shared" si="14"/>
        <v>#N/A</v>
      </c>
      <c r="P93" s="688">
        <f>LOOKUP(J93,'ETAT-PAY-PERM'!J:J,'ETAT-PAY-PERM'!S:S)</f>
        <v>0</v>
      </c>
      <c r="Q93" s="1095">
        <f t="shared" si="15"/>
        <v>0</v>
      </c>
      <c r="R93" s="1095" t="str">
        <f t="shared" si="16"/>
        <v/>
      </c>
    </row>
    <row r="94" spans="1:18" ht="18.75" thickBot="1">
      <c r="A94" s="1085">
        <f>'Base-D'!A94</f>
        <v>93</v>
      </c>
      <c r="B94" s="1085" t="str">
        <f>'Base-D'!AX94</f>
        <v/>
      </c>
      <c r="C94" s="1085" t="e">
        <f>LOOKUP(A94,'Base-D'!A:A,'Base-D'!BP:BP)</f>
        <v>#N/A</v>
      </c>
      <c r="D94" s="1085">
        <f>'Base-D'!S94</f>
        <v>0</v>
      </c>
      <c r="E94" s="1086"/>
      <c r="F94" s="1087"/>
      <c r="G94" s="1087" t="e">
        <f>LOOKUP(A94,'ETAT-PAY-PERM'!A:A,'ETAT-PAY-PERM'!J:J)</f>
        <v>#N/A</v>
      </c>
      <c r="H94" s="1094" t="e">
        <f t="shared" si="13"/>
        <v>#N/A</v>
      </c>
      <c r="I94" s="1094" t="e">
        <f t="shared" si="14"/>
        <v>#N/A</v>
      </c>
      <c r="P94" s="688">
        <f>LOOKUP(J94,'ETAT-PAY-PERM'!J:J,'ETAT-PAY-PERM'!S:S)</f>
        <v>0</v>
      </c>
      <c r="Q94" s="1095">
        <f t="shared" si="15"/>
        <v>0</v>
      </c>
      <c r="R94" s="1095" t="str">
        <f t="shared" si="16"/>
        <v/>
      </c>
    </row>
    <row r="95" spans="1:18" ht="18.75" thickBot="1">
      <c r="A95" s="1085">
        <f>'Base-D'!A95</f>
        <v>94</v>
      </c>
      <c r="B95" s="1085" t="str">
        <f>'Base-D'!AX95</f>
        <v/>
      </c>
      <c r="C95" s="1085" t="e">
        <f>LOOKUP(A95,'Base-D'!A:A,'Base-D'!BP:BP)</f>
        <v>#N/A</v>
      </c>
      <c r="D95" s="1085">
        <f>'Base-D'!S95</f>
        <v>0</v>
      </c>
      <c r="E95" s="1086"/>
      <c r="F95" s="1087"/>
      <c r="G95" s="1087" t="e">
        <f>LOOKUP(A95,'ETAT-PAY-PERM'!A:A,'ETAT-PAY-PERM'!J:J)</f>
        <v>#N/A</v>
      </c>
      <c r="H95" s="1094" t="e">
        <f t="shared" si="13"/>
        <v>#N/A</v>
      </c>
      <c r="I95" s="1094" t="e">
        <f t="shared" si="14"/>
        <v>#N/A</v>
      </c>
      <c r="P95" s="688">
        <f>LOOKUP(J95,'ETAT-PAY-PERM'!J:J,'ETAT-PAY-PERM'!S:S)</f>
        <v>0</v>
      </c>
      <c r="Q95" s="1095">
        <f t="shared" si="15"/>
        <v>0</v>
      </c>
      <c r="R95" s="1095" t="str">
        <f t="shared" si="16"/>
        <v/>
      </c>
    </row>
    <row r="96" spans="1:18" ht="18.75" thickBot="1">
      <c r="A96" s="1085">
        <f>'Base-D'!A96</f>
        <v>95</v>
      </c>
      <c r="B96" s="1085" t="str">
        <f>'Base-D'!AX96</f>
        <v/>
      </c>
      <c r="C96" s="1085" t="e">
        <f>LOOKUP(A96,'Base-D'!A:A,'Base-D'!BP:BP)</f>
        <v>#N/A</v>
      </c>
      <c r="D96" s="1085">
        <f>'Base-D'!S96</f>
        <v>0</v>
      </c>
      <c r="E96" s="1086"/>
      <c r="F96" s="1087"/>
      <c r="G96" s="1087" t="e">
        <f>LOOKUP(A96,'ETAT-PAY-PERM'!A:A,'ETAT-PAY-PERM'!J:J)</f>
        <v>#N/A</v>
      </c>
      <c r="H96" s="1094" t="e">
        <f t="shared" si="13"/>
        <v>#N/A</v>
      </c>
      <c r="I96" s="1094" t="e">
        <f t="shared" si="14"/>
        <v>#N/A</v>
      </c>
      <c r="P96" s="688">
        <f>LOOKUP(J96,'ETAT-PAY-PERM'!J:J,'ETAT-PAY-PERM'!S:S)</f>
        <v>0</v>
      </c>
      <c r="Q96" s="1095">
        <f t="shared" si="15"/>
        <v>0</v>
      </c>
      <c r="R96" s="1095" t="str">
        <f t="shared" si="16"/>
        <v/>
      </c>
    </row>
    <row r="97" spans="1:18" ht="18.75" thickBot="1">
      <c r="A97" s="1085">
        <f>'Base-D'!A97</f>
        <v>96</v>
      </c>
      <c r="B97" s="1085" t="str">
        <f>'Base-D'!AX97</f>
        <v/>
      </c>
      <c r="C97" s="1085" t="e">
        <f>LOOKUP(A97,'Base-D'!A:A,'Base-D'!BP:BP)</f>
        <v>#N/A</v>
      </c>
      <c r="D97" s="1085">
        <f>'Base-D'!S97</f>
        <v>0</v>
      </c>
      <c r="E97" s="1086"/>
      <c r="F97" s="1087"/>
      <c r="G97" s="1087" t="e">
        <f>LOOKUP(A97,'ETAT-PAY-PERM'!A:A,'ETAT-PAY-PERM'!J:J)</f>
        <v>#N/A</v>
      </c>
      <c r="H97" s="1094" t="e">
        <f t="shared" si="13"/>
        <v>#N/A</v>
      </c>
      <c r="I97" s="1094" t="e">
        <f t="shared" si="14"/>
        <v>#N/A</v>
      </c>
      <c r="P97" s="688">
        <f>LOOKUP(J97,'ETAT-PAY-PERM'!J:J,'ETAT-PAY-PERM'!S:S)</f>
        <v>0</v>
      </c>
      <c r="Q97" s="1095">
        <f t="shared" si="15"/>
        <v>0</v>
      </c>
      <c r="R97" s="1095" t="str">
        <f t="shared" si="16"/>
        <v/>
      </c>
    </row>
    <row r="98" spans="1:18" ht="18.75" thickBot="1">
      <c r="A98" s="1085">
        <f>'Base-D'!A98</f>
        <v>97</v>
      </c>
      <c r="B98" s="1085" t="str">
        <f>'Base-D'!AX98</f>
        <v/>
      </c>
      <c r="C98" s="1085" t="e">
        <f>LOOKUP(A98,'Base-D'!A:A,'Base-D'!BP:BP)</f>
        <v>#N/A</v>
      </c>
      <c r="D98" s="1085">
        <f>'Base-D'!S98</f>
        <v>0</v>
      </c>
      <c r="E98" s="1086"/>
      <c r="F98" s="1087"/>
      <c r="G98" s="1087" t="e">
        <f>LOOKUP(A98,'ETAT-PAY-PERM'!A:A,'ETAT-PAY-PERM'!J:J)</f>
        <v>#N/A</v>
      </c>
      <c r="H98" s="1094" t="e">
        <f t="shared" si="13"/>
        <v>#N/A</v>
      </c>
      <c r="I98" s="1094" t="e">
        <f t="shared" si="14"/>
        <v>#N/A</v>
      </c>
      <c r="P98" s="688">
        <f>LOOKUP(J98,'ETAT-PAY-PERM'!J:J,'ETAT-PAY-PERM'!S:S)</f>
        <v>0</v>
      </c>
      <c r="Q98" s="1095">
        <f t="shared" si="15"/>
        <v>0</v>
      </c>
      <c r="R98" s="1095" t="str">
        <f t="shared" si="16"/>
        <v/>
      </c>
    </row>
    <row r="99" spans="1:18" ht="18.75" thickBot="1">
      <c r="A99" s="1085">
        <f>'Base-D'!A99</f>
        <v>98</v>
      </c>
      <c r="B99" s="1085" t="str">
        <f>'Base-D'!AX99</f>
        <v/>
      </c>
      <c r="C99" s="1085" t="e">
        <f>LOOKUP(A99,'Base-D'!A:A,'Base-D'!BP:BP)</f>
        <v>#N/A</v>
      </c>
      <c r="D99" s="1085">
        <f>'Base-D'!S99</f>
        <v>0</v>
      </c>
      <c r="E99" s="1086"/>
      <c r="F99" s="1087"/>
      <c r="G99" s="1087" t="e">
        <f>LOOKUP(A99,'ETAT-PAY-PERM'!A:A,'ETAT-PAY-PERM'!J:J)</f>
        <v>#N/A</v>
      </c>
      <c r="H99" s="1094" t="e">
        <f t="shared" si="13"/>
        <v>#N/A</v>
      </c>
      <c r="I99" s="1094" t="e">
        <f t="shared" si="14"/>
        <v>#N/A</v>
      </c>
      <c r="P99" s="688">
        <f>LOOKUP(J99,'ETAT-PAY-PERM'!J:J,'ETAT-PAY-PERM'!S:S)</f>
        <v>0</v>
      </c>
      <c r="Q99" s="1095">
        <f t="shared" si="15"/>
        <v>0</v>
      </c>
      <c r="R99" s="1095" t="str">
        <f t="shared" si="16"/>
        <v/>
      </c>
    </row>
    <row r="100" spans="1:18" ht="18.75" thickBot="1">
      <c r="A100" s="1085">
        <f>'Base-D'!A100</f>
        <v>99</v>
      </c>
      <c r="B100" s="1085" t="str">
        <f>'Base-D'!AX100</f>
        <v/>
      </c>
      <c r="C100" s="1085" t="e">
        <f>LOOKUP(A100,'Base-D'!A:A,'Base-D'!BP:BP)</f>
        <v>#N/A</v>
      </c>
      <c r="D100" s="1085">
        <f>'Base-D'!S100</f>
        <v>0</v>
      </c>
      <c r="E100" s="1086"/>
      <c r="F100" s="1087"/>
      <c r="G100" s="1087" t="e">
        <f>LOOKUP(A100,'ETAT-PAY-PERM'!A:A,'ETAT-PAY-PERM'!J:J)</f>
        <v>#N/A</v>
      </c>
      <c r="H100" s="1094" t="e">
        <f t="shared" si="13"/>
        <v>#N/A</v>
      </c>
      <c r="I100" s="1094" t="e">
        <f t="shared" si="14"/>
        <v>#N/A</v>
      </c>
      <c r="P100" s="688">
        <f>LOOKUP(J100,'ETAT-PAY-PERM'!J:J,'ETAT-PAY-PERM'!S:S)</f>
        <v>0</v>
      </c>
      <c r="Q100" s="1095">
        <f t="shared" si="15"/>
        <v>0</v>
      </c>
      <c r="R100" s="1095" t="str">
        <f t="shared" si="16"/>
        <v/>
      </c>
    </row>
    <row r="101" spans="1:18" ht="18.75" thickBot="1">
      <c r="A101" s="1085">
        <f>'Base-D'!A101</f>
        <v>100</v>
      </c>
      <c r="B101" s="1085">
        <f>'Base-D'!AX101</f>
        <v>0</v>
      </c>
      <c r="C101" s="1085" t="e">
        <f>LOOKUP(A101,'Base-D'!A:A,'Base-D'!BP:BP)</f>
        <v>#N/A</v>
      </c>
      <c r="D101" s="1085">
        <f>'Base-D'!S101</f>
        <v>0</v>
      </c>
      <c r="E101" s="1086"/>
      <c r="F101" s="1087"/>
      <c r="G101" s="1087" t="e">
        <f>LOOKUP(A101,'ETAT-PAY-PERM'!A:A,'ETAT-PAY-PERM'!J:J)</f>
        <v>#N/A</v>
      </c>
      <c r="H101" s="1094" t="e">
        <f t="shared" si="13"/>
        <v>#N/A</v>
      </c>
      <c r="I101" s="1094" t="e">
        <f t="shared" si="14"/>
        <v>#N/A</v>
      </c>
      <c r="P101" s="688">
        <f>LOOKUP(J101,'ETAT-PAY-PERM'!J:J,'ETAT-PAY-PERM'!S:S)</f>
        <v>0</v>
      </c>
      <c r="Q101" s="1095">
        <f t="shared" si="15"/>
        <v>0</v>
      </c>
      <c r="R101" s="1095" t="str">
        <f t="shared" si="16"/>
        <v/>
      </c>
    </row>
    <row r="102" spans="1:18" ht="18.75" thickBot="1">
      <c r="A102" s="1085">
        <f>'Base-D'!A102</f>
        <v>101</v>
      </c>
      <c r="B102" s="1085">
        <f>'Base-D'!AX102</f>
        <v>0</v>
      </c>
      <c r="C102" s="1085" t="e">
        <f>LOOKUP(A102,'Base-D'!A:A,'Base-D'!BP:BP)</f>
        <v>#N/A</v>
      </c>
      <c r="D102" s="1085">
        <f>'Base-D'!S102</f>
        <v>0</v>
      </c>
      <c r="E102" s="1086"/>
      <c r="F102" s="1087"/>
      <c r="G102" s="1087" t="e">
        <f>LOOKUP(A102,'ETAT-PAY-PERM'!A:A,'ETAT-PAY-PERM'!J:J)</f>
        <v>#N/A</v>
      </c>
      <c r="H102" s="1094" t="e">
        <f t="shared" si="13"/>
        <v>#N/A</v>
      </c>
      <c r="I102" s="1094" t="e">
        <f t="shared" si="14"/>
        <v>#N/A</v>
      </c>
      <c r="P102" s="688">
        <f>LOOKUP(J102,'ETAT-PAY-PERM'!J:J,'ETAT-PAY-PERM'!S:S)</f>
        <v>0</v>
      </c>
      <c r="Q102" s="1095">
        <f t="shared" si="15"/>
        <v>0</v>
      </c>
      <c r="R102" s="1095" t="str">
        <f t="shared" si="16"/>
        <v/>
      </c>
    </row>
    <row r="103" spans="1:18" ht="18.75" thickBot="1">
      <c r="A103" s="1085">
        <f>'Base-D'!A103</f>
        <v>102</v>
      </c>
      <c r="B103" s="1085">
        <f>'Base-D'!AX103</f>
        <v>0</v>
      </c>
      <c r="C103" s="1085" t="e">
        <f>LOOKUP(A103,'Base-D'!A:A,'Base-D'!BP:BP)</f>
        <v>#N/A</v>
      </c>
      <c r="D103" s="1085">
        <f>'Base-D'!S103</f>
        <v>0</v>
      </c>
      <c r="E103" s="1086"/>
      <c r="F103" s="1087"/>
      <c r="G103" s="1087" t="e">
        <f>LOOKUP(A103,'ETAT-PAY-PERM'!A:A,'ETAT-PAY-PERM'!J:J)</f>
        <v>#N/A</v>
      </c>
      <c r="H103" s="1094" t="e">
        <f t="shared" si="13"/>
        <v>#N/A</v>
      </c>
      <c r="I103" s="1094" t="e">
        <f t="shared" si="14"/>
        <v>#N/A</v>
      </c>
      <c r="P103" s="688">
        <f>LOOKUP(J103,'ETAT-PAY-PERM'!J:J,'ETAT-PAY-PERM'!S:S)</f>
        <v>0</v>
      </c>
      <c r="Q103" s="1095">
        <f t="shared" si="15"/>
        <v>0</v>
      </c>
      <c r="R103" s="1095" t="str">
        <f t="shared" si="16"/>
        <v/>
      </c>
    </row>
    <row r="104" spans="1:18" ht="18.75" thickBot="1">
      <c r="A104" s="1085">
        <f>'Base-D'!A104</f>
        <v>103</v>
      </c>
      <c r="B104" s="1085">
        <f>'Base-D'!AX104</f>
        <v>0</v>
      </c>
      <c r="C104" s="1085" t="e">
        <f>LOOKUP(A104,'Base-D'!A:A,'Base-D'!BP:BP)</f>
        <v>#N/A</v>
      </c>
      <c r="D104" s="1085">
        <f>'Base-D'!S104</f>
        <v>0</v>
      </c>
      <c r="E104" s="1086"/>
      <c r="F104" s="1087"/>
      <c r="G104" s="1087" t="e">
        <f>LOOKUP(A104,'ETAT-PAY-PERM'!A:A,'ETAT-PAY-PERM'!J:J)</f>
        <v>#N/A</v>
      </c>
      <c r="H104" s="1094" t="e">
        <f t="shared" si="13"/>
        <v>#N/A</v>
      </c>
      <c r="I104" s="1094" t="e">
        <f t="shared" si="14"/>
        <v>#N/A</v>
      </c>
      <c r="P104" s="688">
        <f>LOOKUP(J104,'ETAT-PAY-PERM'!J:J,'ETAT-PAY-PERM'!S:S)</f>
        <v>0</v>
      </c>
      <c r="Q104" s="1095">
        <f t="shared" si="15"/>
        <v>0</v>
      </c>
      <c r="R104" s="1095" t="str">
        <f t="shared" si="16"/>
        <v/>
      </c>
    </row>
    <row r="105" spans="1:18" ht="18.75" thickBot="1">
      <c r="A105" s="1085">
        <f>'Base-D'!A105</f>
        <v>104</v>
      </c>
      <c r="B105" s="1085">
        <f>'Base-D'!AX105</f>
        <v>0</v>
      </c>
      <c r="C105" s="1085" t="e">
        <f>LOOKUP(A105,'Base-D'!A:A,'Base-D'!BP:BP)</f>
        <v>#N/A</v>
      </c>
      <c r="D105" s="1085">
        <f>'Base-D'!S105</f>
        <v>0</v>
      </c>
      <c r="E105" s="1086"/>
      <c r="F105" s="1087"/>
      <c r="G105" s="1087" t="e">
        <f>LOOKUP(A105,'ETAT-PAY-PERM'!A:A,'ETAT-PAY-PERM'!J:J)</f>
        <v>#N/A</v>
      </c>
      <c r="H105" s="1094" t="e">
        <f t="shared" si="13"/>
        <v>#N/A</v>
      </c>
      <c r="I105" s="1094" t="e">
        <f t="shared" si="14"/>
        <v>#N/A</v>
      </c>
      <c r="P105" s="688">
        <f>LOOKUP(J105,'ETAT-PAY-PERM'!J:J,'ETAT-PAY-PERM'!S:S)</f>
        <v>0</v>
      </c>
      <c r="Q105" s="1095">
        <f t="shared" si="15"/>
        <v>0</v>
      </c>
      <c r="R105" s="1095" t="str">
        <f t="shared" si="16"/>
        <v/>
      </c>
    </row>
    <row r="106" spans="1:18" ht="18.75" thickBot="1">
      <c r="A106" s="1085">
        <f>'Base-D'!A106</f>
        <v>105</v>
      </c>
      <c r="B106" s="1085">
        <f>'Base-D'!AX106</f>
        <v>0</v>
      </c>
      <c r="C106" s="1085" t="e">
        <f>LOOKUP(A106,'Base-D'!A:A,'Base-D'!BP:BP)</f>
        <v>#N/A</v>
      </c>
      <c r="D106" s="1085">
        <f>'Base-D'!S106</f>
        <v>0</v>
      </c>
      <c r="E106" s="1086"/>
      <c r="F106" s="1087"/>
      <c r="G106" s="1087" t="e">
        <f>LOOKUP(A106,'ETAT-PAY-PERM'!A:A,'ETAT-PAY-PERM'!J:J)</f>
        <v>#N/A</v>
      </c>
      <c r="H106" s="1094" t="e">
        <f t="shared" si="13"/>
        <v>#N/A</v>
      </c>
      <c r="I106" s="1094" t="e">
        <f t="shared" si="14"/>
        <v>#N/A</v>
      </c>
      <c r="P106" s="688">
        <f>LOOKUP(J106,'ETAT-PAY-PERM'!J:J,'ETAT-PAY-PERM'!S:S)</f>
        <v>0</v>
      </c>
      <c r="Q106" s="1095">
        <f t="shared" si="15"/>
        <v>0</v>
      </c>
      <c r="R106" s="1095" t="str">
        <f t="shared" si="16"/>
        <v/>
      </c>
    </row>
    <row r="107" spans="1:18" ht="18.75" thickBot="1">
      <c r="A107" s="1085">
        <f>'Base-D'!A107</f>
        <v>106</v>
      </c>
      <c r="B107" s="1085">
        <f>'Base-D'!AX107</f>
        <v>0</v>
      </c>
      <c r="C107" s="1085" t="e">
        <f>LOOKUP(A107,'Base-D'!A:A,'Base-D'!BP:BP)</f>
        <v>#N/A</v>
      </c>
      <c r="D107" s="1085">
        <f>'Base-D'!S107</f>
        <v>0</v>
      </c>
      <c r="E107" s="1086"/>
      <c r="F107" s="1087"/>
      <c r="G107" s="1087" t="e">
        <f>LOOKUP(A107,'ETAT-PAY-PERM'!A:A,'ETAT-PAY-PERM'!J:J)</f>
        <v>#N/A</v>
      </c>
      <c r="H107" s="1094" t="e">
        <f t="shared" si="13"/>
        <v>#N/A</v>
      </c>
      <c r="I107" s="1094" t="e">
        <f t="shared" si="14"/>
        <v>#N/A</v>
      </c>
      <c r="P107" s="688">
        <f>LOOKUP(J107,'ETAT-PAY-PERM'!J:J,'ETAT-PAY-PERM'!S:S)</f>
        <v>0</v>
      </c>
      <c r="Q107" s="1095">
        <f t="shared" si="15"/>
        <v>0</v>
      </c>
      <c r="R107" s="1095" t="str">
        <f t="shared" si="16"/>
        <v/>
      </c>
    </row>
    <row r="108" spans="1:18" ht="18.75" thickBot="1">
      <c r="A108" s="1085">
        <f>'Base-D'!A108</f>
        <v>107</v>
      </c>
      <c r="B108" s="1085">
        <f>'Base-D'!AX108</f>
        <v>0</v>
      </c>
      <c r="C108" s="1085" t="e">
        <f>LOOKUP(A108,'Base-D'!A:A,'Base-D'!BP:BP)</f>
        <v>#N/A</v>
      </c>
      <c r="D108" s="1085">
        <f>'Base-D'!S108</f>
        <v>0</v>
      </c>
      <c r="E108" s="1086"/>
      <c r="F108" s="1087"/>
      <c r="G108" s="1087" t="e">
        <f>LOOKUP(A108,'ETAT-PAY-PERM'!A:A,'ETAT-PAY-PERM'!J:J)</f>
        <v>#N/A</v>
      </c>
      <c r="H108" s="1094" t="e">
        <f t="shared" si="13"/>
        <v>#N/A</v>
      </c>
      <c r="I108" s="1094" t="e">
        <f t="shared" si="14"/>
        <v>#N/A</v>
      </c>
      <c r="P108" s="688">
        <f>LOOKUP(J108,'ETAT-PAY-PERM'!J:J,'ETAT-PAY-PERM'!S:S)</f>
        <v>0</v>
      </c>
      <c r="Q108" s="1095">
        <f t="shared" si="15"/>
        <v>0</v>
      </c>
      <c r="R108" s="1095" t="str">
        <f t="shared" si="16"/>
        <v/>
      </c>
    </row>
    <row r="109" spans="1:18" ht="18.75" thickBot="1">
      <c r="A109" s="1085">
        <f>'Base-D'!A109</f>
        <v>108</v>
      </c>
      <c r="B109" s="1085">
        <f>'Base-D'!AX109</f>
        <v>0</v>
      </c>
      <c r="C109" s="1085" t="e">
        <f>LOOKUP(A109,'Base-D'!A:A,'Base-D'!BP:BP)</f>
        <v>#N/A</v>
      </c>
      <c r="D109" s="1085">
        <f>'Base-D'!S109</f>
        <v>0</v>
      </c>
      <c r="E109" s="1086"/>
      <c r="F109" s="1087"/>
      <c r="G109" s="1087" t="e">
        <f>LOOKUP(A109,'ETAT-PAY-PERM'!A:A,'ETAT-PAY-PERM'!J:J)</f>
        <v>#N/A</v>
      </c>
      <c r="H109" s="1094" t="e">
        <f t="shared" si="13"/>
        <v>#N/A</v>
      </c>
      <c r="I109" s="1094" t="e">
        <f t="shared" si="14"/>
        <v>#N/A</v>
      </c>
      <c r="P109" s="688">
        <f>LOOKUP(J109,'ETAT-PAY-PERM'!J:J,'ETAT-PAY-PERM'!S:S)</f>
        <v>0</v>
      </c>
      <c r="Q109" s="1095">
        <f t="shared" si="15"/>
        <v>0</v>
      </c>
      <c r="R109" s="1095" t="str">
        <f t="shared" si="16"/>
        <v/>
      </c>
    </row>
    <row r="110" spans="1:18" ht="18.75" thickBot="1">
      <c r="A110" s="1085">
        <f>'Base-D'!A110</f>
        <v>109</v>
      </c>
      <c r="B110" s="1085">
        <f>'Base-D'!AX110</f>
        <v>0</v>
      </c>
      <c r="C110" s="1085" t="e">
        <f>LOOKUP(A110,'Base-D'!A:A,'Base-D'!BP:BP)</f>
        <v>#N/A</v>
      </c>
      <c r="D110" s="1085">
        <f>'Base-D'!S110</f>
        <v>0</v>
      </c>
      <c r="E110" s="1086"/>
      <c r="F110" s="1087"/>
      <c r="G110" s="1087" t="e">
        <f>LOOKUP(A110,'ETAT-PAY-PERM'!A:A,'ETAT-PAY-PERM'!J:J)</f>
        <v>#N/A</v>
      </c>
      <c r="H110" s="1094" t="e">
        <f t="shared" si="13"/>
        <v>#N/A</v>
      </c>
      <c r="I110" s="1094" t="e">
        <f t="shared" si="14"/>
        <v>#N/A</v>
      </c>
      <c r="P110" s="688">
        <f>LOOKUP(J110,'ETAT-PAY-PERM'!J:J,'ETAT-PAY-PERM'!S:S)</f>
        <v>0</v>
      </c>
      <c r="Q110" s="1095">
        <f t="shared" si="15"/>
        <v>0</v>
      </c>
      <c r="R110" s="1095" t="str">
        <f t="shared" si="16"/>
        <v/>
      </c>
    </row>
    <row r="111" spans="1:18" ht="18.75" thickBot="1">
      <c r="A111" s="1085">
        <f>'Base-D'!A111</f>
        <v>110</v>
      </c>
      <c r="B111" s="1085">
        <f>'Base-D'!AX111</f>
        <v>0</v>
      </c>
      <c r="C111" s="1085" t="e">
        <f>LOOKUP(A111,'Base-D'!A:A,'Base-D'!BP:BP)</f>
        <v>#N/A</v>
      </c>
      <c r="D111" s="1085">
        <f>'Base-D'!S111</f>
        <v>0</v>
      </c>
      <c r="E111" s="1086"/>
      <c r="F111" s="1087"/>
      <c r="G111" s="1087" t="e">
        <f>LOOKUP(A111,'ETAT-PAY-PERM'!A:A,'ETAT-PAY-PERM'!J:J)</f>
        <v>#N/A</v>
      </c>
      <c r="H111" s="1094" t="e">
        <f t="shared" si="13"/>
        <v>#N/A</v>
      </c>
      <c r="I111" s="1094" t="e">
        <f t="shared" si="14"/>
        <v>#N/A</v>
      </c>
      <c r="P111" s="688">
        <f>LOOKUP(J111,'ETAT-PAY-PERM'!J:J,'ETAT-PAY-PERM'!S:S)</f>
        <v>0</v>
      </c>
      <c r="Q111" s="1095">
        <f t="shared" si="15"/>
        <v>0</v>
      </c>
      <c r="R111" s="1095" t="str">
        <f t="shared" si="16"/>
        <v/>
      </c>
    </row>
    <row r="112" spans="1:18" ht="18.75" thickBot="1">
      <c r="A112" s="1085">
        <f>'Base-D'!A112</f>
        <v>111</v>
      </c>
      <c r="B112" s="1085">
        <f>'Base-D'!AX112</f>
        <v>0</v>
      </c>
      <c r="C112" s="1085" t="e">
        <f>LOOKUP(A112,'Base-D'!A:A,'Base-D'!BP:BP)</f>
        <v>#N/A</v>
      </c>
      <c r="D112" s="1085">
        <f>'Base-D'!S112</f>
        <v>0</v>
      </c>
      <c r="E112" s="1086"/>
      <c r="F112" s="1087"/>
      <c r="G112" s="1087" t="e">
        <f>LOOKUP(A112,'ETAT-PAY-PERM'!A:A,'ETAT-PAY-PERM'!J:J)</f>
        <v>#N/A</v>
      </c>
      <c r="H112" s="1094" t="e">
        <f t="shared" si="13"/>
        <v>#N/A</v>
      </c>
      <c r="I112" s="1094" t="e">
        <f t="shared" si="14"/>
        <v>#N/A</v>
      </c>
      <c r="P112" s="688">
        <f>LOOKUP(J112,'ETAT-PAY-PERM'!J:J,'ETAT-PAY-PERM'!S:S)</f>
        <v>0</v>
      </c>
      <c r="Q112" s="1095">
        <f t="shared" si="15"/>
        <v>0</v>
      </c>
      <c r="R112" s="1095" t="str">
        <f t="shared" si="16"/>
        <v/>
      </c>
    </row>
    <row r="113" spans="1:18" ht="18.75" thickBot="1">
      <c r="A113" s="1085">
        <f>'Base-D'!A113</f>
        <v>112</v>
      </c>
      <c r="B113" s="1085">
        <f>'Base-D'!AX113</f>
        <v>0</v>
      </c>
      <c r="C113" s="1085" t="e">
        <f>LOOKUP(A113,'Base-D'!A:A,'Base-D'!BP:BP)</f>
        <v>#N/A</v>
      </c>
      <c r="D113" s="1085">
        <f>'Base-D'!S113</f>
        <v>0</v>
      </c>
      <c r="E113" s="1086"/>
      <c r="F113" s="1087"/>
      <c r="G113" s="1087" t="e">
        <f>LOOKUP(A113,'ETAT-PAY-PERM'!A:A,'ETAT-PAY-PERM'!J:J)</f>
        <v>#N/A</v>
      </c>
      <c r="H113" s="1094" t="e">
        <f t="shared" si="13"/>
        <v>#N/A</v>
      </c>
      <c r="I113" s="1094" t="e">
        <f t="shared" si="14"/>
        <v>#N/A</v>
      </c>
      <c r="P113" s="688">
        <f>LOOKUP(J113,'ETAT-PAY-PERM'!J:J,'ETAT-PAY-PERM'!S:S)</f>
        <v>0</v>
      </c>
      <c r="Q113" s="1095">
        <f t="shared" si="15"/>
        <v>0</v>
      </c>
      <c r="R113" s="1095" t="str">
        <f t="shared" si="16"/>
        <v/>
      </c>
    </row>
    <row r="114" spans="1:18" ht="18.75" thickBot="1">
      <c r="A114" s="1085">
        <f>'Base-D'!A114</f>
        <v>113</v>
      </c>
      <c r="B114" s="1085">
        <f>'Base-D'!AX114</f>
        <v>0</v>
      </c>
      <c r="C114" s="1085" t="e">
        <f>LOOKUP(A114,'Base-D'!A:A,'Base-D'!BP:BP)</f>
        <v>#N/A</v>
      </c>
      <c r="D114" s="1085">
        <f>'Base-D'!S114</f>
        <v>0</v>
      </c>
      <c r="E114" s="1086"/>
      <c r="F114" s="1087"/>
      <c r="G114" s="1087" t="e">
        <f>LOOKUP(A114,'ETAT-PAY-PERM'!A:A,'ETAT-PAY-PERM'!J:J)</f>
        <v>#N/A</v>
      </c>
      <c r="H114" s="1094" t="e">
        <f t="shared" si="13"/>
        <v>#N/A</v>
      </c>
      <c r="I114" s="1094" t="e">
        <f t="shared" si="14"/>
        <v>#N/A</v>
      </c>
      <c r="P114" s="688">
        <f>LOOKUP(J114,'ETAT-PAY-PERM'!J:J,'ETAT-PAY-PERM'!S:S)</f>
        <v>0</v>
      </c>
      <c r="Q114" s="1095">
        <f t="shared" si="15"/>
        <v>0</v>
      </c>
      <c r="R114" s="1095" t="str">
        <f t="shared" si="16"/>
        <v/>
      </c>
    </row>
    <row r="115" spans="1:18" ht="18.75" thickBot="1">
      <c r="A115" s="1085">
        <f>'Base-D'!A115</f>
        <v>114</v>
      </c>
      <c r="B115" s="1085">
        <f>'Base-D'!AX115</f>
        <v>0</v>
      </c>
      <c r="C115" s="1085" t="e">
        <f>LOOKUP(A115,'Base-D'!A:A,'Base-D'!BP:BP)</f>
        <v>#N/A</v>
      </c>
      <c r="D115" s="1085">
        <f>'Base-D'!S115</f>
        <v>0</v>
      </c>
      <c r="E115" s="1086"/>
      <c r="F115" s="1087"/>
      <c r="G115" s="1087" t="e">
        <f>LOOKUP(A115,'ETAT-PAY-PERM'!A:A,'ETAT-PAY-PERM'!J:J)</f>
        <v>#N/A</v>
      </c>
      <c r="H115" s="1094" t="e">
        <f t="shared" si="13"/>
        <v>#N/A</v>
      </c>
      <c r="I115" s="1094" t="e">
        <f t="shared" si="14"/>
        <v>#N/A</v>
      </c>
      <c r="P115" s="688">
        <f>LOOKUP(J115,'ETAT-PAY-PERM'!J:J,'ETAT-PAY-PERM'!S:S)</f>
        <v>0</v>
      </c>
      <c r="Q115" s="1095">
        <f t="shared" si="15"/>
        <v>0</v>
      </c>
      <c r="R115" s="1095" t="str">
        <f t="shared" si="16"/>
        <v/>
      </c>
    </row>
    <row r="116" spans="1:18" ht="18.75" thickBot="1">
      <c r="A116" s="1085">
        <f>'Base-D'!A116</f>
        <v>115</v>
      </c>
      <c r="B116" s="1085">
        <f>'Base-D'!AX116</f>
        <v>0</v>
      </c>
      <c r="C116" s="1085" t="e">
        <f>LOOKUP(A116,'Base-D'!A:A,'Base-D'!BP:BP)</f>
        <v>#N/A</v>
      </c>
      <c r="D116" s="1085">
        <f>'Base-D'!S116</f>
        <v>0</v>
      </c>
      <c r="E116" s="1086"/>
      <c r="F116" s="1087"/>
      <c r="G116" s="1087" t="e">
        <f>LOOKUP(A116,'ETAT-PAY-PERM'!A:A,'ETAT-PAY-PERM'!J:J)</f>
        <v>#N/A</v>
      </c>
      <c r="H116" s="1094" t="e">
        <f t="shared" si="13"/>
        <v>#N/A</v>
      </c>
      <c r="I116" s="1094" t="e">
        <f t="shared" si="14"/>
        <v>#N/A</v>
      </c>
      <c r="P116" s="688">
        <f>LOOKUP(J116,'ETAT-PAY-PERM'!J:J,'ETAT-PAY-PERM'!S:S)</f>
        <v>0</v>
      </c>
      <c r="Q116" s="1095">
        <f t="shared" si="15"/>
        <v>0</v>
      </c>
      <c r="R116" s="1095" t="str">
        <f t="shared" si="16"/>
        <v/>
      </c>
    </row>
    <row r="117" spans="1:18" ht="18.75" thickBot="1">
      <c r="A117" s="1085">
        <f>'Base-D'!A117</f>
        <v>116</v>
      </c>
      <c r="B117" s="1085">
        <f>'Base-D'!AX117</f>
        <v>0</v>
      </c>
      <c r="C117" s="1085" t="e">
        <f>LOOKUP(A117,'Base-D'!A:A,'Base-D'!BP:BP)</f>
        <v>#N/A</v>
      </c>
      <c r="D117" s="1085">
        <f>'Base-D'!S117</f>
        <v>0</v>
      </c>
      <c r="E117" s="1086"/>
      <c r="F117" s="1087"/>
      <c r="G117" s="1087" t="e">
        <f>LOOKUP(A117,'ETAT-PAY-PERM'!A:A,'ETAT-PAY-PERM'!J:J)</f>
        <v>#N/A</v>
      </c>
      <c r="H117" s="1094" t="e">
        <f t="shared" si="13"/>
        <v>#N/A</v>
      </c>
      <c r="I117" s="1094" t="e">
        <f t="shared" si="14"/>
        <v>#N/A</v>
      </c>
      <c r="P117" s="688">
        <f>LOOKUP(J117,'ETAT-PAY-PERM'!J:J,'ETAT-PAY-PERM'!S:S)</f>
        <v>0</v>
      </c>
      <c r="Q117" s="1095">
        <f t="shared" si="15"/>
        <v>0</v>
      </c>
      <c r="R117" s="1095" t="str">
        <f t="shared" si="16"/>
        <v/>
      </c>
    </row>
    <row r="118" spans="1:18" ht="18.75" thickBot="1">
      <c r="A118" s="1085">
        <f>'Base-D'!A118</f>
        <v>117</v>
      </c>
      <c r="B118" s="1085">
        <f>'Base-D'!AX118</f>
        <v>0</v>
      </c>
      <c r="C118" s="1085" t="e">
        <f>LOOKUP(A118,'Base-D'!A:A,'Base-D'!BP:BP)</f>
        <v>#N/A</v>
      </c>
      <c r="D118" s="1085">
        <f>'Base-D'!S118</f>
        <v>0</v>
      </c>
      <c r="E118" s="1086"/>
      <c r="F118" s="1087"/>
      <c r="G118" s="1087" t="e">
        <f>LOOKUP(A118,'ETAT-PAY-PERM'!A:A,'ETAT-PAY-PERM'!J:J)</f>
        <v>#N/A</v>
      </c>
      <c r="H118" s="1094" t="e">
        <f t="shared" si="13"/>
        <v>#N/A</v>
      </c>
      <c r="I118" s="1094" t="e">
        <f t="shared" si="14"/>
        <v>#N/A</v>
      </c>
      <c r="P118" s="688">
        <f>LOOKUP(J118,'ETAT-PAY-PERM'!J:J,'ETAT-PAY-PERM'!S:S)</f>
        <v>0</v>
      </c>
      <c r="Q118" s="1095">
        <f t="shared" si="15"/>
        <v>0</v>
      </c>
      <c r="R118" s="1095" t="str">
        <f t="shared" si="16"/>
        <v/>
      </c>
    </row>
    <row r="119" spans="1:18" ht="18.75" thickBot="1">
      <c r="A119" s="1085">
        <f>'Base-D'!A119</f>
        <v>118</v>
      </c>
      <c r="B119" s="1085">
        <f>'Base-D'!AX119</f>
        <v>0</v>
      </c>
      <c r="C119" s="1085" t="e">
        <f>LOOKUP(A119,'Base-D'!A:A,'Base-D'!BP:BP)</f>
        <v>#N/A</v>
      </c>
      <c r="D119" s="1085">
        <f>'Base-D'!S119</f>
        <v>0</v>
      </c>
      <c r="E119" s="1086"/>
      <c r="F119" s="1087"/>
      <c r="G119" s="1087" t="e">
        <f>LOOKUP(A119,'ETAT-PAY-PERM'!A:A,'ETAT-PAY-PERM'!J:J)</f>
        <v>#N/A</v>
      </c>
      <c r="H119" s="1094" t="e">
        <f t="shared" si="13"/>
        <v>#N/A</v>
      </c>
      <c r="I119" s="1094" t="e">
        <f t="shared" si="14"/>
        <v>#N/A</v>
      </c>
      <c r="P119" s="688">
        <f>LOOKUP(J119,'ETAT-PAY-PERM'!J:J,'ETAT-PAY-PERM'!S:S)</f>
        <v>0</v>
      </c>
      <c r="Q119" s="1095">
        <f t="shared" si="15"/>
        <v>0</v>
      </c>
      <c r="R119" s="1095" t="str">
        <f t="shared" si="16"/>
        <v/>
      </c>
    </row>
    <row r="120" spans="1:18" ht="18.75" thickBot="1">
      <c r="A120" s="1085">
        <f>'Base-D'!A120</f>
        <v>119</v>
      </c>
      <c r="B120" s="1085">
        <f>'Base-D'!AX120</f>
        <v>0</v>
      </c>
      <c r="C120" s="1085" t="e">
        <f>LOOKUP(A120,'Base-D'!A:A,'Base-D'!BP:BP)</f>
        <v>#N/A</v>
      </c>
      <c r="D120" s="1085">
        <f>'Base-D'!S120</f>
        <v>0</v>
      </c>
      <c r="E120" s="1086"/>
      <c r="F120" s="1087"/>
      <c r="G120" s="1087" t="e">
        <f>LOOKUP(A120,'ETAT-PAY-PERM'!A:A,'ETAT-PAY-PERM'!J:J)</f>
        <v>#N/A</v>
      </c>
      <c r="H120" s="1094" t="e">
        <f t="shared" si="13"/>
        <v>#N/A</v>
      </c>
      <c r="I120" s="1094" t="e">
        <f t="shared" si="14"/>
        <v>#N/A</v>
      </c>
      <c r="P120" s="688">
        <f>LOOKUP(J120,'ETAT-PAY-PERM'!J:J,'ETAT-PAY-PERM'!S:S)</f>
        <v>0</v>
      </c>
      <c r="Q120" s="1095">
        <f t="shared" si="15"/>
        <v>0</v>
      </c>
      <c r="R120" s="1095" t="str">
        <f t="shared" si="16"/>
        <v/>
      </c>
    </row>
    <row r="121" spans="1:18" ht="18.75" thickBot="1">
      <c r="A121" s="1085">
        <f>'Base-D'!A121</f>
        <v>120</v>
      </c>
      <c r="B121" s="1085">
        <f>'Base-D'!AX121</f>
        <v>0</v>
      </c>
      <c r="C121" s="1085" t="e">
        <f>LOOKUP(A121,'Base-D'!A:A,'Base-D'!BP:BP)</f>
        <v>#N/A</v>
      </c>
      <c r="D121" s="1085">
        <f>'Base-D'!S121</f>
        <v>0</v>
      </c>
      <c r="E121" s="1086"/>
      <c r="F121" s="1087"/>
      <c r="G121" s="1087" t="e">
        <f>LOOKUP(A121,'ETAT-PAY-PERM'!A:A,'ETAT-PAY-PERM'!J:J)</f>
        <v>#N/A</v>
      </c>
      <c r="H121" s="1094" t="e">
        <f t="shared" si="13"/>
        <v>#N/A</v>
      </c>
      <c r="I121" s="1094" t="e">
        <f t="shared" si="14"/>
        <v>#N/A</v>
      </c>
      <c r="P121" s="688">
        <f>LOOKUP(J121,'ETAT-PAY-PERM'!J:J,'ETAT-PAY-PERM'!S:S)</f>
        <v>0</v>
      </c>
      <c r="Q121" s="1095">
        <f t="shared" si="15"/>
        <v>0</v>
      </c>
      <c r="R121" s="1095" t="str">
        <f t="shared" si="16"/>
        <v/>
      </c>
    </row>
    <row r="122" spans="1:18" ht="18.75" thickBot="1">
      <c r="A122" s="1085">
        <f>'Base-D'!A122</f>
        <v>121</v>
      </c>
      <c r="B122" s="1085">
        <f>'Base-D'!AX122</f>
        <v>0</v>
      </c>
      <c r="C122" s="1085" t="e">
        <f>LOOKUP(A122,'Base-D'!A:A,'Base-D'!BP:BP)</f>
        <v>#N/A</v>
      </c>
      <c r="D122" s="1085">
        <f>'Base-D'!S122</f>
        <v>0</v>
      </c>
      <c r="E122" s="1086"/>
      <c r="F122" s="1087"/>
      <c r="G122" s="1087" t="e">
        <f>LOOKUP(A122,'ETAT-PAY-PERM'!A:A,'ETAT-PAY-PERM'!J:J)</f>
        <v>#N/A</v>
      </c>
      <c r="H122" s="1094" t="e">
        <f t="shared" si="13"/>
        <v>#N/A</v>
      </c>
      <c r="I122" s="1094" t="e">
        <f t="shared" si="14"/>
        <v>#N/A</v>
      </c>
      <c r="P122" s="688">
        <f>LOOKUP(J122,'ETAT-PAY-PERM'!J:J,'ETAT-PAY-PERM'!S:S)</f>
        <v>0</v>
      </c>
      <c r="Q122" s="1095">
        <f t="shared" si="15"/>
        <v>0</v>
      </c>
      <c r="R122" s="1095" t="str">
        <f t="shared" si="16"/>
        <v/>
      </c>
    </row>
    <row r="123" spans="1:18" ht="18.75" thickBot="1">
      <c r="A123" s="1085">
        <f>'Base-D'!A123</f>
        <v>122</v>
      </c>
      <c r="B123" s="1085">
        <f>'Base-D'!AX123</f>
        <v>0</v>
      </c>
      <c r="C123" s="1085" t="e">
        <f>LOOKUP(A123,'Base-D'!A:A,'Base-D'!BP:BP)</f>
        <v>#N/A</v>
      </c>
      <c r="D123" s="1085">
        <f>'Base-D'!S123</f>
        <v>0</v>
      </c>
      <c r="E123" s="1086"/>
      <c r="F123" s="1087"/>
      <c r="G123" s="1087" t="e">
        <f>LOOKUP(A123,'ETAT-PAY-PERM'!A:A,'ETAT-PAY-PERM'!J:J)</f>
        <v>#N/A</v>
      </c>
      <c r="H123" s="1094" t="e">
        <f t="shared" si="13"/>
        <v>#N/A</v>
      </c>
      <c r="I123" s="1094" t="e">
        <f t="shared" si="14"/>
        <v>#N/A</v>
      </c>
      <c r="P123" s="688">
        <f>LOOKUP(J123,'ETAT-PAY-PERM'!J:J,'ETAT-PAY-PERM'!S:S)</f>
        <v>0</v>
      </c>
      <c r="Q123" s="1095">
        <f t="shared" si="15"/>
        <v>0</v>
      </c>
      <c r="R123" s="1095" t="str">
        <f t="shared" si="16"/>
        <v/>
      </c>
    </row>
    <row r="124" spans="1:18" ht="18.75" thickBot="1">
      <c r="A124" s="1085">
        <f>'Base-D'!A124</f>
        <v>123</v>
      </c>
      <c r="B124" s="1085">
        <f>'Base-D'!AX124</f>
        <v>0</v>
      </c>
      <c r="C124" s="1085" t="e">
        <f>LOOKUP(A124,'Base-D'!A:A,'Base-D'!BP:BP)</f>
        <v>#N/A</v>
      </c>
      <c r="D124" s="1085">
        <f>'Base-D'!S124</f>
        <v>0</v>
      </c>
      <c r="E124" s="1086"/>
      <c r="F124" s="1087"/>
      <c r="G124" s="1087" t="e">
        <f>LOOKUP(A124,'ETAT-PAY-PERM'!A:A,'ETAT-PAY-PERM'!J:J)</f>
        <v>#N/A</v>
      </c>
      <c r="H124" s="1094" t="e">
        <f t="shared" si="13"/>
        <v>#N/A</v>
      </c>
      <c r="I124" s="1094" t="e">
        <f t="shared" si="14"/>
        <v>#N/A</v>
      </c>
      <c r="P124" s="688">
        <f>LOOKUP(J124,'ETAT-PAY-PERM'!J:J,'ETAT-PAY-PERM'!S:S)</f>
        <v>0</v>
      </c>
      <c r="Q124" s="1095">
        <f t="shared" si="15"/>
        <v>0</v>
      </c>
      <c r="R124" s="1095" t="str">
        <f t="shared" si="16"/>
        <v/>
      </c>
    </row>
    <row r="125" spans="1:18" ht="18.75" thickBot="1">
      <c r="A125" s="1085">
        <f>'Base-D'!A125</f>
        <v>124</v>
      </c>
      <c r="B125" s="1085">
        <f>'Base-D'!AX125</f>
        <v>0</v>
      </c>
      <c r="C125" s="1085" t="e">
        <f>LOOKUP(A125,'Base-D'!A:A,'Base-D'!BP:BP)</f>
        <v>#N/A</v>
      </c>
      <c r="D125" s="1085">
        <f>'Base-D'!S125</f>
        <v>0</v>
      </c>
      <c r="E125" s="1086"/>
      <c r="F125" s="1087"/>
      <c r="G125" s="1087" t="e">
        <f>LOOKUP(A125,'ETAT-PAY-PERM'!A:A,'ETAT-PAY-PERM'!J:J)</f>
        <v>#N/A</v>
      </c>
      <c r="H125" s="1094" t="e">
        <f t="shared" si="13"/>
        <v>#N/A</v>
      </c>
      <c r="I125" s="1094" t="e">
        <f t="shared" si="14"/>
        <v>#N/A</v>
      </c>
      <c r="P125" s="688">
        <f>LOOKUP(J125,'ETAT-PAY-PERM'!J:J,'ETAT-PAY-PERM'!S:S)</f>
        <v>0</v>
      </c>
      <c r="Q125" s="1095">
        <f t="shared" si="15"/>
        <v>0</v>
      </c>
      <c r="R125" s="1095" t="str">
        <f t="shared" si="16"/>
        <v/>
      </c>
    </row>
    <row r="126" spans="1:18" ht="18.75" thickBot="1">
      <c r="A126" s="1085">
        <f>'Base-D'!A126</f>
        <v>125</v>
      </c>
      <c r="B126" s="1085">
        <f>'Base-D'!AX126</f>
        <v>0</v>
      </c>
      <c r="C126" s="1085" t="e">
        <f>LOOKUP(A126,'Base-D'!A:A,'Base-D'!BP:BP)</f>
        <v>#N/A</v>
      </c>
      <c r="D126" s="1085">
        <f>'Base-D'!S126</f>
        <v>0</v>
      </c>
      <c r="E126" s="1086"/>
      <c r="F126" s="1087"/>
      <c r="G126" s="1087" t="e">
        <f>LOOKUP(A126,'ETAT-PAY-PERM'!A:A,'ETAT-PAY-PERM'!J:J)</f>
        <v>#N/A</v>
      </c>
      <c r="H126" s="1094" t="e">
        <f t="shared" si="13"/>
        <v>#N/A</v>
      </c>
      <c r="I126" s="1094" t="e">
        <f t="shared" si="14"/>
        <v>#N/A</v>
      </c>
      <c r="P126" s="688">
        <f>LOOKUP(J126,'ETAT-PAY-PERM'!J:J,'ETAT-PAY-PERM'!S:S)</f>
        <v>0</v>
      </c>
      <c r="Q126" s="1095">
        <f t="shared" si="15"/>
        <v>0</v>
      </c>
      <c r="R126" s="1095" t="str">
        <f t="shared" si="16"/>
        <v/>
      </c>
    </row>
    <row r="127" spans="1:18" ht="18.75" thickBot="1">
      <c r="A127" s="1085">
        <f>'Base-D'!A127</f>
        <v>126</v>
      </c>
      <c r="B127" s="1085">
        <f>'Base-D'!AX127</f>
        <v>0</v>
      </c>
      <c r="C127" s="1085" t="e">
        <f>LOOKUP(A127,'Base-D'!A:A,'Base-D'!BP:BP)</f>
        <v>#N/A</v>
      </c>
      <c r="D127" s="1085">
        <f>'Base-D'!S127</f>
        <v>0</v>
      </c>
      <c r="E127" s="1086"/>
      <c r="F127" s="1087"/>
      <c r="G127" s="1087" t="e">
        <f>LOOKUP(A127,'ETAT-PAY-PERM'!A:A,'ETAT-PAY-PERM'!J:J)</f>
        <v>#N/A</v>
      </c>
      <c r="H127" s="1094" t="e">
        <f t="shared" si="13"/>
        <v>#N/A</v>
      </c>
      <c r="I127" s="1094" t="e">
        <f t="shared" si="14"/>
        <v>#N/A</v>
      </c>
      <c r="P127" s="688">
        <f>LOOKUP(J127,'ETAT-PAY-PERM'!J:J,'ETAT-PAY-PERM'!S:S)</f>
        <v>0</v>
      </c>
      <c r="Q127" s="1095">
        <f t="shared" si="15"/>
        <v>0</v>
      </c>
      <c r="R127" s="1095" t="str">
        <f t="shared" si="16"/>
        <v/>
      </c>
    </row>
    <row r="128" spans="1:18" ht="18.75" thickBot="1">
      <c r="A128" s="1085">
        <f>'Base-D'!A128</f>
        <v>127</v>
      </c>
      <c r="B128" s="1085">
        <f>'Base-D'!AX128</f>
        <v>0</v>
      </c>
      <c r="C128" s="1085" t="e">
        <f>LOOKUP(A128,'Base-D'!A:A,'Base-D'!BP:BP)</f>
        <v>#N/A</v>
      </c>
      <c r="D128" s="1085">
        <f>'Base-D'!S128</f>
        <v>0</v>
      </c>
      <c r="E128" s="1086"/>
      <c r="F128" s="1087"/>
      <c r="G128" s="1087" t="e">
        <f>LOOKUP(A128,'ETAT-PAY-PERM'!A:A,'ETAT-PAY-PERM'!J:J)</f>
        <v>#N/A</v>
      </c>
      <c r="H128" s="1094" t="e">
        <f t="shared" si="13"/>
        <v>#N/A</v>
      </c>
      <c r="I128" s="1094" t="e">
        <f t="shared" si="14"/>
        <v>#N/A</v>
      </c>
      <c r="P128" s="688">
        <f>LOOKUP(J128,'ETAT-PAY-PERM'!J:J,'ETAT-PAY-PERM'!S:S)</f>
        <v>0</v>
      </c>
      <c r="Q128" s="1095">
        <f t="shared" si="15"/>
        <v>0</v>
      </c>
      <c r="R128" s="1095" t="str">
        <f t="shared" si="16"/>
        <v/>
      </c>
    </row>
    <row r="129" spans="1:18" ht="18.75" thickBot="1">
      <c r="A129" s="1085">
        <f>'Base-D'!A129</f>
        <v>128</v>
      </c>
      <c r="B129" s="1085">
        <f>'Base-D'!AX129</f>
        <v>0</v>
      </c>
      <c r="C129" s="1085" t="e">
        <f>LOOKUP(A129,'Base-D'!A:A,'Base-D'!BP:BP)</f>
        <v>#N/A</v>
      </c>
      <c r="D129" s="1085">
        <f>'Base-D'!S129</f>
        <v>0</v>
      </c>
      <c r="E129" s="1086"/>
      <c r="F129" s="1087"/>
      <c r="G129" s="1087" t="e">
        <f>LOOKUP(A129,'ETAT-PAY-PERM'!A:A,'ETAT-PAY-PERM'!J:J)</f>
        <v>#N/A</v>
      </c>
      <c r="H129" s="1094" t="e">
        <f t="shared" si="13"/>
        <v>#N/A</v>
      </c>
      <c r="I129" s="1094" t="e">
        <f t="shared" si="14"/>
        <v>#N/A</v>
      </c>
      <c r="P129" s="688">
        <f>LOOKUP(J129,'ETAT-PAY-PERM'!J:J,'ETAT-PAY-PERM'!S:S)</f>
        <v>0</v>
      </c>
      <c r="Q129" s="1095">
        <f t="shared" si="15"/>
        <v>0</v>
      </c>
      <c r="R129" s="1095" t="str">
        <f t="shared" si="16"/>
        <v/>
      </c>
    </row>
    <row r="130" spans="1:18" ht="18.75" thickBot="1">
      <c r="A130" s="1085">
        <f>'Base-D'!A130</f>
        <v>129</v>
      </c>
      <c r="B130" s="1085">
        <f>'Base-D'!AX130</f>
        <v>0</v>
      </c>
      <c r="C130" s="1085" t="e">
        <f>LOOKUP(A130,'Base-D'!A:A,'Base-D'!BP:BP)</f>
        <v>#N/A</v>
      </c>
      <c r="D130" s="1085">
        <f>'Base-D'!S130</f>
        <v>0</v>
      </c>
      <c r="E130" s="1086"/>
      <c r="F130" s="1087"/>
      <c r="G130" s="1087" t="e">
        <f>LOOKUP(A130,'ETAT-PAY-PERM'!A:A,'ETAT-PAY-PERM'!J:J)</f>
        <v>#N/A</v>
      </c>
      <c r="H130" s="1094" t="e">
        <f t="shared" si="13"/>
        <v>#N/A</v>
      </c>
      <c r="I130" s="1094" t="e">
        <f t="shared" si="14"/>
        <v>#N/A</v>
      </c>
      <c r="P130" s="688">
        <f>LOOKUP(J130,'ETAT-PAY-PERM'!J:J,'ETAT-PAY-PERM'!S:S)</f>
        <v>0</v>
      </c>
      <c r="Q130" s="1095">
        <f t="shared" si="15"/>
        <v>0</v>
      </c>
      <c r="R130" s="1095" t="str">
        <f t="shared" si="16"/>
        <v/>
      </c>
    </row>
    <row r="131" spans="1:18" ht="18.75" thickBot="1">
      <c r="A131" s="1085">
        <f>'Base-D'!A131</f>
        <v>130</v>
      </c>
      <c r="B131" s="1085">
        <f>'Base-D'!AX131</f>
        <v>0</v>
      </c>
      <c r="C131" s="1085" t="e">
        <f>LOOKUP(A131,'Base-D'!A:A,'Base-D'!BP:BP)</f>
        <v>#N/A</v>
      </c>
      <c r="D131" s="1085">
        <f>'Base-D'!S131</f>
        <v>0</v>
      </c>
      <c r="E131" s="1086"/>
      <c r="F131" s="1087"/>
      <c r="G131" s="1087" t="e">
        <f>LOOKUP(A131,'ETAT-PAY-PERM'!A:A,'ETAT-PAY-PERM'!J:J)</f>
        <v>#N/A</v>
      </c>
      <c r="H131" s="1094" t="e">
        <f t="shared" ref="H131:H194" si="17">IF(G131&gt;1,1,0)</f>
        <v>#N/A</v>
      </c>
      <c r="I131" s="1094" t="e">
        <f t="shared" ref="I131:I194" si="18">IF(H131=0,"",A131)</f>
        <v>#N/A</v>
      </c>
      <c r="P131" s="688">
        <f>LOOKUP(J131,'ETAT-PAY-PERM'!J:J,'ETAT-PAY-PERM'!S:S)</f>
        <v>0</v>
      </c>
      <c r="Q131" s="1095">
        <f t="shared" ref="Q131:Q194" si="19">IF(P131&gt;1,1,0)</f>
        <v>0</v>
      </c>
      <c r="R131" s="1095" t="str">
        <f t="shared" ref="R131:R194" si="20">IF(Q131=0,"",J131)</f>
        <v/>
      </c>
    </row>
    <row r="132" spans="1:18" ht="18.75" thickBot="1">
      <c r="A132" s="1085">
        <f>'Base-D'!A132</f>
        <v>131</v>
      </c>
      <c r="B132" s="1085">
        <f>'Base-D'!AX132</f>
        <v>0</v>
      </c>
      <c r="C132" s="1085" t="e">
        <f>LOOKUP(A132,'Base-D'!A:A,'Base-D'!BP:BP)</f>
        <v>#N/A</v>
      </c>
      <c r="D132" s="1085">
        <f>'Base-D'!S132</f>
        <v>0</v>
      </c>
      <c r="E132" s="1086"/>
      <c r="F132" s="1087"/>
      <c r="G132" s="1087" t="e">
        <f>LOOKUP(A132,'ETAT-PAY-PERM'!A:A,'ETAT-PAY-PERM'!J:J)</f>
        <v>#N/A</v>
      </c>
      <c r="H132" s="1094" t="e">
        <f t="shared" si="17"/>
        <v>#N/A</v>
      </c>
      <c r="I132" s="1094" t="e">
        <f t="shared" si="18"/>
        <v>#N/A</v>
      </c>
      <c r="P132" s="688">
        <f>LOOKUP(J132,'ETAT-PAY-PERM'!J:J,'ETAT-PAY-PERM'!S:S)</f>
        <v>0</v>
      </c>
      <c r="Q132" s="1095">
        <f t="shared" si="19"/>
        <v>0</v>
      </c>
      <c r="R132" s="1095" t="str">
        <f t="shared" si="20"/>
        <v/>
      </c>
    </row>
    <row r="133" spans="1:18" ht="18.75" thickBot="1">
      <c r="A133" s="1085">
        <f>'Base-D'!A133</f>
        <v>132</v>
      </c>
      <c r="B133" s="1085">
        <f>'Base-D'!AX133</f>
        <v>0</v>
      </c>
      <c r="C133" s="1085" t="e">
        <f>LOOKUP(A133,'Base-D'!A:A,'Base-D'!BP:BP)</f>
        <v>#N/A</v>
      </c>
      <c r="D133" s="1085">
        <f>'Base-D'!S133</f>
        <v>0</v>
      </c>
      <c r="E133" s="1086"/>
      <c r="F133" s="1087"/>
      <c r="G133" s="1087" t="e">
        <f>LOOKUP(A133,'ETAT-PAY-PERM'!A:A,'ETAT-PAY-PERM'!J:J)</f>
        <v>#N/A</v>
      </c>
      <c r="H133" s="1094" t="e">
        <f t="shared" si="17"/>
        <v>#N/A</v>
      </c>
      <c r="I133" s="1094" t="e">
        <f t="shared" si="18"/>
        <v>#N/A</v>
      </c>
      <c r="P133" s="688">
        <f>LOOKUP(J133,'ETAT-PAY-PERM'!J:J,'ETAT-PAY-PERM'!S:S)</f>
        <v>0</v>
      </c>
      <c r="Q133" s="1095">
        <f t="shared" si="19"/>
        <v>0</v>
      </c>
      <c r="R133" s="1095" t="str">
        <f t="shared" si="20"/>
        <v/>
      </c>
    </row>
    <row r="134" spans="1:18" ht="18.75" thickBot="1">
      <c r="A134" s="1085">
        <f>'Base-D'!A134</f>
        <v>133</v>
      </c>
      <c r="B134" s="1085">
        <f>'Base-D'!AX134</f>
        <v>0</v>
      </c>
      <c r="C134" s="1085" t="e">
        <f>LOOKUP(A134,'Base-D'!A:A,'Base-D'!BP:BP)</f>
        <v>#N/A</v>
      </c>
      <c r="D134" s="1085">
        <f>'Base-D'!S134</f>
        <v>0</v>
      </c>
      <c r="E134" s="1086"/>
      <c r="F134" s="1087"/>
      <c r="G134" s="1087" t="e">
        <f>LOOKUP(A134,'ETAT-PAY-PERM'!A:A,'ETAT-PAY-PERM'!J:J)</f>
        <v>#N/A</v>
      </c>
      <c r="H134" s="1094" t="e">
        <f t="shared" si="17"/>
        <v>#N/A</v>
      </c>
      <c r="I134" s="1094" t="e">
        <f t="shared" si="18"/>
        <v>#N/A</v>
      </c>
      <c r="P134" s="688">
        <f>LOOKUP(J134,'ETAT-PAY-PERM'!J:J,'ETAT-PAY-PERM'!S:S)</f>
        <v>0</v>
      </c>
      <c r="Q134" s="1095">
        <f t="shared" si="19"/>
        <v>0</v>
      </c>
      <c r="R134" s="1095" t="str">
        <f t="shared" si="20"/>
        <v/>
      </c>
    </row>
    <row r="135" spans="1:18" ht="18.75" thickBot="1">
      <c r="A135" s="1085">
        <f>'Base-D'!A135</f>
        <v>134</v>
      </c>
      <c r="B135" s="1085">
        <f>'Base-D'!AX135</f>
        <v>0</v>
      </c>
      <c r="C135" s="1085" t="e">
        <f>LOOKUP(A135,'Base-D'!A:A,'Base-D'!BP:BP)</f>
        <v>#N/A</v>
      </c>
      <c r="D135" s="1085">
        <f>'Base-D'!S135</f>
        <v>0</v>
      </c>
      <c r="E135" s="1086"/>
      <c r="F135" s="1087"/>
      <c r="G135" s="1087" t="e">
        <f>LOOKUP(A135,'ETAT-PAY-PERM'!A:A,'ETAT-PAY-PERM'!J:J)</f>
        <v>#N/A</v>
      </c>
      <c r="H135" s="1094" t="e">
        <f t="shared" si="17"/>
        <v>#N/A</v>
      </c>
      <c r="I135" s="1094" t="e">
        <f t="shared" si="18"/>
        <v>#N/A</v>
      </c>
      <c r="P135" s="688">
        <f>LOOKUP(J135,'ETAT-PAY-PERM'!J:J,'ETAT-PAY-PERM'!S:S)</f>
        <v>0</v>
      </c>
      <c r="Q135" s="1095">
        <f t="shared" si="19"/>
        <v>0</v>
      </c>
      <c r="R135" s="1095" t="str">
        <f t="shared" si="20"/>
        <v/>
      </c>
    </row>
    <row r="136" spans="1:18" ht="18.75" thickBot="1">
      <c r="A136" s="1085">
        <f>'Base-D'!A136</f>
        <v>135</v>
      </c>
      <c r="B136" s="1085">
        <f>'Base-D'!AX136</f>
        <v>0</v>
      </c>
      <c r="C136" s="1085" t="e">
        <f>LOOKUP(A136,'Base-D'!A:A,'Base-D'!BP:BP)</f>
        <v>#N/A</v>
      </c>
      <c r="D136" s="1085">
        <f>'Base-D'!S136</f>
        <v>0</v>
      </c>
      <c r="E136" s="1086"/>
      <c r="F136" s="1087"/>
      <c r="G136" s="1087" t="e">
        <f>LOOKUP(A136,'ETAT-PAY-PERM'!A:A,'ETAT-PAY-PERM'!J:J)</f>
        <v>#N/A</v>
      </c>
      <c r="H136" s="1094" t="e">
        <f t="shared" si="17"/>
        <v>#N/A</v>
      </c>
      <c r="I136" s="1094" t="e">
        <f t="shared" si="18"/>
        <v>#N/A</v>
      </c>
      <c r="P136" s="688">
        <f>LOOKUP(J136,'ETAT-PAY-PERM'!J:J,'ETAT-PAY-PERM'!S:S)</f>
        <v>0</v>
      </c>
      <c r="Q136" s="1095">
        <f t="shared" si="19"/>
        <v>0</v>
      </c>
      <c r="R136" s="1095" t="str">
        <f t="shared" si="20"/>
        <v/>
      </c>
    </row>
    <row r="137" spans="1:18" ht="18.75" thickBot="1">
      <c r="A137" s="1085">
        <f>'Base-D'!A137</f>
        <v>136</v>
      </c>
      <c r="B137" s="1085">
        <f>'Base-D'!AX137</f>
        <v>0</v>
      </c>
      <c r="C137" s="1085" t="e">
        <f>LOOKUP(A137,'Base-D'!A:A,'Base-D'!BP:BP)</f>
        <v>#N/A</v>
      </c>
      <c r="D137" s="1085">
        <f>'Base-D'!S137</f>
        <v>0</v>
      </c>
      <c r="E137" s="1086"/>
      <c r="F137" s="1087"/>
      <c r="G137" s="1087" t="e">
        <f>LOOKUP(A137,'ETAT-PAY-PERM'!A:A,'ETAT-PAY-PERM'!J:J)</f>
        <v>#N/A</v>
      </c>
      <c r="H137" s="1094" t="e">
        <f t="shared" si="17"/>
        <v>#N/A</v>
      </c>
      <c r="I137" s="1094" t="e">
        <f t="shared" si="18"/>
        <v>#N/A</v>
      </c>
      <c r="P137" s="688">
        <f>LOOKUP(J137,'ETAT-PAY-PERM'!J:J,'ETAT-PAY-PERM'!S:S)</f>
        <v>0</v>
      </c>
      <c r="Q137" s="1095">
        <f t="shared" si="19"/>
        <v>0</v>
      </c>
      <c r="R137" s="1095" t="str">
        <f t="shared" si="20"/>
        <v/>
      </c>
    </row>
    <row r="138" spans="1:18" ht="18.75" thickBot="1">
      <c r="A138" s="1085">
        <f>'Base-D'!A138</f>
        <v>137</v>
      </c>
      <c r="B138" s="1085">
        <f>'Base-D'!AX138</f>
        <v>0</v>
      </c>
      <c r="C138" s="1085" t="e">
        <f>LOOKUP(A138,'Base-D'!A:A,'Base-D'!BP:BP)</f>
        <v>#N/A</v>
      </c>
      <c r="D138" s="1085">
        <f>'Base-D'!S138</f>
        <v>0</v>
      </c>
      <c r="E138" s="1086"/>
      <c r="F138" s="1087"/>
      <c r="G138" s="1087" t="e">
        <f>LOOKUP(A138,'ETAT-PAY-PERM'!A:A,'ETAT-PAY-PERM'!J:J)</f>
        <v>#N/A</v>
      </c>
      <c r="H138" s="1094" t="e">
        <f t="shared" si="17"/>
        <v>#N/A</v>
      </c>
      <c r="I138" s="1094" t="e">
        <f t="shared" si="18"/>
        <v>#N/A</v>
      </c>
      <c r="P138" s="688">
        <f>LOOKUP(J138,'ETAT-PAY-PERM'!J:J,'ETAT-PAY-PERM'!S:S)</f>
        <v>0</v>
      </c>
      <c r="Q138" s="1095">
        <f t="shared" si="19"/>
        <v>0</v>
      </c>
      <c r="R138" s="1095" t="str">
        <f t="shared" si="20"/>
        <v/>
      </c>
    </row>
    <row r="139" spans="1:18" ht="18.75" thickBot="1">
      <c r="A139" s="1085">
        <f>'Base-D'!A139</f>
        <v>138</v>
      </c>
      <c r="B139" s="1085">
        <f>'Base-D'!AX139</f>
        <v>0</v>
      </c>
      <c r="C139" s="1085" t="e">
        <f>LOOKUP(A139,'Base-D'!A:A,'Base-D'!BP:BP)</f>
        <v>#N/A</v>
      </c>
      <c r="D139" s="1085">
        <f>'Base-D'!S139</f>
        <v>0</v>
      </c>
      <c r="E139" s="1086"/>
      <c r="F139" s="1087"/>
      <c r="G139" s="1087" t="e">
        <f>LOOKUP(A139,'ETAT-PAY-PERM'!A:A,'ETAT-PAY-PERM'!J:J)</f>
        <v>#N/A</v>
      </c>
      <c r="H139" s="1094" t="e">
        <f t="shared" si="17"/>
        <v>#N/A</v>
      </c>
      <c r="I139" s="1094" t="e">
        <f t="shared" si="18"/>
        <v>#N/A</v>
      </c>
      <c r="P139" s="688">
        <f>LOOKUP(J139,'ETAT-PAY-PERM'!J:J,'ETAT-PAY-PERM'!S:S)</f>
        <v>0</v>
      </c>
      <c r="Q139" s="1095">
        <f t="shared" si="19"/>
        <v>0</v>
      </c>
      <c r="R139" s="1095" t="str">
        <f t="shared" si="20"/>
        <v/>
      </c>
    </row>
    <row r="140" spans="1:18" ht="18.75" thickBot="1">
      <c r="A140" s="1085">
        <f>'Base-D'!A140</f>
        <v>139</v>
      </c>
      <c r="B140" s="1085">
        <f>'Base-D'!AX140</f>
        <v>0</v>
      </c>
      <c r="C140" s="1085" t="e">
        <f>LOOKUP(A140,'Base-D'!A:A,'Base-D'!BP:BP)</f>
        <v>#N/A</v>
      </c>
      <c r="D140" s="1085">
        <f>'Base-D'!S140</f>
        <v>0</v>
      </c>
      <c r="E140" s="1086"/>
      <c r="F140" s="1087"/>
      <c r="G140" s="1087" t="e">
        <f>LOOKUP(A140,'ETAT-PAY-PERM'!A:A,'ETAT-PAY-PERM'!J:J)</f>
        <v>#N/A</v>
      </c>
      <c r="H140" s="1094" t="e">
        <f t="shared" si="17"/>
        <v>#N/A</v>
      </c>
      <c r="I140" s="1094" t="e">
        <f t="shared" si="18"/>
        <v>#N/A</v>
      </c>
      <c r="P140" s="688">
        <f>LOOKUP(J140,'ETAT-PAY-PERM'!J:J,'ETAT-PAY-PERM'!S:S)</f>
        <v>0</v>
      </c>
      <c r="Q140" s="1095">
        <f t="shared" si="19"/>
        <v>0</v>
      </c>
      <c r="R140" s="1095" t="str">
        <f t="shared" si="20"/>
        <v/>
      </c>
    </row>
    <row r="141" spans="1:18" ht="18.75" thickBot="1">
      <c r="A141" s="1085">
        <f>'Base-D'!A141</f>
        <v>140</v>
      </c>
      <c r="B141" s="1085">
        <f>'Base-D'!AX141</f>
        <v>0</v>
      </c>
      <c r="C141" s="1085" t="e">
        <f>LOOKUP(A141,'Base-D'!A:A,'Base-D'!BP:BP)</f>
        <v>#N/A</v>
      </c>
      <c r="D141" s="1085">
        <f>'Base-D'!S141</f>
        <v>0</v>
      </c>
      <c r="E141" s="1086"/>
      <c r="F141" s="1087"/>
      <c r="G141" s="1087" t="e">
        <f>LOOKUP(A141,'ETAT-PAY-PERM'!A:A,'ETAT-PAY-PERM'!J:J)</f>
        <v>#N/A</v>
      </c>
      <c r="H141" s="1094" t="e">
        <f t="shared" si="17"/>
        <v>#N/A</v>
      </c>
      <c r="I141" s="1094" t="e">
        <f t="shared" si="18"/>
        <v>#N/A</v>
      </c>
      <c r="P141" s="688">
        <f>LOOKUP(J141,'ETAT-PAY-PERM'!J:J,'ETAT-PAY-PERM'!S:S)</f>
        <v>0</v>
      </c>
      <c r="Q141" s="1095">
        <f t="shared" si="19"/>
        <v>0</v>
      </c>
      <c r="R141" s="1095" t="str">
        <f t="shared" si="20"/>
        <v/>
      </c>
    </row>
    <row r="142" spans="1:18" ht="18.75" thickBot="1">
      <c r="A142" s="1085">
        <f>'Base-D'!A142</f>
        <v>141</v>
      </c>
      <c r="B142" s="1085">
        <f>'Base-D'!AX142</f>
        <v>0</v>
      </c>
      <c r="C142" s="1085" t="e">
        <f>LOOKUP(A142,'Base-D'!A:A,'Base-D'!BP:BP)</f>
        <v>#N/A</v>
      </c>
      <c r="D142" s="1085">
        <f>'Base-D'!S142</f>
        <v>0</v>
      </c>
      <c r="E142" s="1086"/>
      <c r="F142" s="1087"/>
      <c r="G142" s="1087" t="e">
        <f>LOOKUP(A142,'ETAT-PAY-PERM'!A:A,'ETAT-PAY-PERM'!J:J)</f>
        <v>#N/A</v>
      </c>
      <c r="H142" s="1094" t="e">
        <f t="shared" si="17"/>
        <v>#N/A</v>
      </c>
      <c r="I142" s="1094" t="e">
        <f t="shared" si="18"/>
        <v>#N/A</v>
      </c>
      <c r="P142" s="688">
        <f>LOOKUP(J142,'ETAT-PAY-PERM'!J:J,'ETAT-PAY-PERM'!S:S)</f>
        <v>0</v>
      </c>
      <c r="Q142" s="1095">
        <f t="shared" si="19"/>
        <v>0</v>
      </c>
      <c r="R142" s="1095" t="str">
        <f t="shared" si="20"/>
        <v/>
      </c>
    </row>
    <row r="143" spans="1:18" ht="18.75" thickBot="1">
      <c r="A143" s="1085">
        <f>'Base-D'!A143</f>
        <v>142</v>
      </c>
      <c r="B143" s="1085">
        <f>'Base-D'!AX143</f>
        <v>0</v>
      </c>
      <c r="C143" s="1085" t="e">
        <f>LOOKUP(A143,'Base-D'!A:A,'Base-D'!BP:BP)</f>
        <v>#N/A</v>
      </c>
      <c r="D143" s="1085">
        <f>'Base-D'!S143</f>
        <v>0</v>
      </c>
      <c r="E143" s="1086"/>
      <c r="F143" s="1087"/>
      <c r="G143" s="1087" t="e">
        <f>LOOKUP(A143,'ETAT-PAY-PERM'!A:A,'ETAT-PAY-PERM'!J:J)</f>
        <v>#N/A</v>
      </c>
      <c r="H143" s="1094" t="e">
        <f t="shared" si="17"/>
        <v>#N/A</v>
      </c>
      <c r="I143" s="1094" t="e">
        <f t="shared" si="18"/>
        <v>#N/A</v>
      </c>
      <c r="P143" s="688">
        <f>LOOKUP(J143,'ETAT-PAY-PERM'!J:J,'ETAT-PAY-PERM'!S:S)</f>
        <v>0</v>
      </c>
      <c r="Q143" s="1095">
        <f t="shared" si="19"/>
        <v>0</v>
      </c>
      <c r="R143" s="1095" t="str">
        <f t="shared" si="20"/>
        <v/>
      </c>
    </row>
    <row r="144" spans="1:18" ht="18.75" thickBot="1">
      <c r="A144" s="1085">
        <f>'Base-D'!A144</f>
        <v>143</v>
      </c>
      <c r="B144" s="1085">
        <f>'Base-D'!AX144</f>
        <v>0</v>
      </c>
      <c r="C144" s="1085" t="e">
        <f>LOOKUP(A144,'Base-D'!A:A,'Base-D'!BP:BP)</f>
        <v>#N/A</v>
      </c>
      <c r="D144" s="1085">
        <f>'Base-D'!S144</f>
        <v>0</v>
      </c>
      <c r="E144" s="1086"/>
      <c r="F144" s="1087"/>
      <c r="G144" s="1087" t="e">
        <f>LOOKUP(A144,'ETAT-PAY-PERM'!A:A,'ETAT-PAY-PERM'!J:J)</f>
        <v>#N/A</v>
      </c>
      <c r="H144" s="1094" t="e">
        <f t="shared" si="17"/>
        <v>#N/A</v>
      </c>
      <c r="I144" s="1094" t="e">
        <f t="shared" si="18"/>
        <v>#N/A</v>
      </c>
      <c r="P144" s="688">
        <f>LOOKUP(J144,'ETAT-PAY-PERM'!J:J,'ETAT-PAY-PERM'!S:S)</f>
        <v>0</v>
      </c>
      <c r="Q144" s="1095">
        <f t="shared" si="19"/>
        <v>0</v>
      </c>
      <c r="R144" s="1095" t="str">
        <f t="shared" si="20"/>
        <v/>
      </c>
    </row>
    <row r="145" spans="1:18" ht="18.75" thickBot="1">
      <c r="A145" s="1085">
        <f>'Base-D'!A145</f>
        <v>144</v>
      </c>
      <c r="B145" s="1085">
        <f>'Base-D'!AX145</f>
        <v>0</v>
      </c>
      <c r="C145" s="1085" t="e">
        <f>LOOKUP(A145,'Base-D'!A:A,'Base-D'!BP:BP)</f>
        <v>#N/A</v>
      </c>
      <c r="D145" s="1085">
        <f>'Base-D'!S145</f>
        <v>0</v>
      </c>
      <c r="E145" s="1086"/>
      <c r="F145" s="1087"/>
      <c r="G145" s="1087" t="e">
        <f>LOOKUP(A145,'ETAT-PAY-PERM'!A:A,'ETAT-PAY-PERM'!J:J)</f>
        <v>#N/A</v>
      </c>
      <c r="H145" s="1094" t="e">
        <f t="shared" si="17"/>
        <v>#N/A</v>
      </c>
      <c r="I145" s="1094" t="e">
        <f t="shared" si="18"/>
        <v>#N/A</v>
      </c>
      <c r="P145" s="688">
        <f>LOOKUP(J145,'ETAT-PAY-PERM'!J:J,'ETAT-PAY-PERM'!S:S)</f>
        <v>0</v>
      </c>
      <c r="Q145" s="1095">
        <f t="shared" si="19"/>
        <v>0</v>
      </c>
      <c r="R145" s="1095" t="str">
        <f t="shared" si="20"/>
        <v/>
      </c>
    </row>
    <row r="146" spans="1:18" ht="18.75" thickBot="1">
      <c r="A146" s="1085">
        <f>'Base-D'!A146</f>
        <v>145</v>
      </c>
      <c r="B146" s="1085">
        <f>'Base-D'!AX146</f>
        <v>0</v>
      </c>
      <c r="C146" s="1085" t="e">
        <f>LOOKUP(A146,'Base-D'!A:A,'Base-D'!BP:BP)</f>
        <v>#N/A</v>
      </c>
      <c r="D146" s="1085">
        <f>'Base-D'!S146</f>
        <v>0</v>
      </c>
      <c r="E146" s="1086"/>
      <c r="F146" s="1087"/>
      <c r="G146" s="1087" t="e">
        <f>LOOKUP(A146,'ETAT-PAY-PERM'!A:A,'ETAT-PAY-PERM'!J:J)</f>
        <v>#N/A</v>
      </c>
      <c r="H146" s="1094" t="e">
        <f t="shared" si="17"/>
        <v>#N/A</v>
      </c>
      <c r="I146" s="1094" t="e">
        <f t="shared" si="18"/>
        <v>#N/A</v>
      </c>
      <c r="P146" s="688">
        <f>LOOKUP(J146,'ETAT-PAY-PERM'!J:J,'ETAT-PAY-PERM'!S:S)</f>
        <v>0</v>
      </c>
      <c r="Q146" s="1095">
        <f t="shared" si="19"/>
        <v>0</v>
      </c>
      <c r="R146" s="1095" t="str">
        <f t="shared" si="20"/>
        <v/>
      </c>
    </row>
    <row r="147" spans="1:18" ht="18.75" thickBot="1">
      <c r="A147" s="1085">
        <f>'Base-D'!A147</f>
        <v>146</v>
      </c>
      <c r="B147" s="1085">
        <f>'Base-D'!AX147</f>
        <v>0</v>
      </c>
      <c r="C147" s="1085" t="e">
        <f>LOOKUP(A147,'Base-D'!A:A,'Base-D'!BP:BP)</f>
        <v>#N/A</v>
      </c>
      <c r="D147" s="1085">
        <f>'Base-D'!S147</f>
        <v>0</v>
      </c>
      <c r="E147" s="1086"/>
      <c r="F147" s="1087"/>
      <c r="G147" s="1087" t="e">
        <f>LOOKUP(A147,'ETAT-PAY-PERM'!A:A,'ETAT-PAY-PERM'!J:J)</f>
        <v>#N/A</v>
      </c>
      <c r="H147" s="1094" t="e">
        <f t="shared" si="17"/>
        <v>#N/A</v>
      </c>
      <c r="I147" s="1094" t="e">
        <f t="shared" si="18"/>
        <v>#N/A</v>
      </c>
      <c r="P147" s="688">
        <f>LOOKUP(J147,'ETAT-PAY-PERM'!J:J,'ETAT-PAY-PERM'!S:S)</f>
        <v>0</v>
      </c>
      <c r="Q147" s="1095">
        <f t="shared" si="19"/>
        <v>0</v>
      </c>
      <c r="R147" s="1095" t="str">
        <f t="shared" si="20"/>
        <v/>
      </c>
    </row>
    <row r="148" spans="1:18" ht="18.75" thickBot="1">
      <c r="A148" s="1085">
        <f>'Base-D'!A148</f>
        <v>147</v>
      </c>
      <c r="B148" s="1085">
        <f>'Base-D'!AX148</f>
        <v>0</v>
      </c>
      <c r="C148" s="1085" t="e">
        <f>LOOKUP(A148,'Base-D'!A:A,'Base-D'!BP:BP)</f>
        <v>#N/A</v>
      </c>
      <c r="D148" s="1085">
        <f>'Base-D'!S148</f>
        <v>0</v>
      </c>
      <c r="E148" s="1086"/>
      <c r="F148" s="1087"/>
      <c r="G148" s="1087" t="e">
        <f>LOOKUP(A148,'ETAT-PAY-PERM'!A:A,'ETAT-PAY-PERM'!J:J)</f>
        <v>#N/A</v>
      </c>
      <c r="H148" s="1094" t="e">
        <f t="shared" si="17"/>
        <v>#N/A</v>
      </c>
      <c r="I148" s="1094" t="e">
        <f t="shared" si="18"/>
        <v>#N/A</v>
      </c>
      <c r="P148" s="688">
        <f>LOOKUP(J148,'ETAT-PAY-PERM'!J:J,'ETAT-PAY-PERM'!S:S)</f>
        <v>0</v>
      </c>
      <c r="Q148" s="1095">
        <f t="shared" si="19"/>
        <v>0</v>
      </c>
      <c r="R148" s="1095" t="str">
        <f t="shared" si="20"/>
        <v/>
      </c>
    </row>
    <row r="149" spans="1:18" ht="18.75" thickBot="1">
      <c r="A149" s="1085">
        <f>'Base-D'!A149</f>
        <v>148</v>
      </c>
      <c r="B149" s="1085">
        <f>'Base-D'!AX149</f>
        <v>0</v>
      </c>
      <c r="C149" s="1085" t="e">
        <f>LOOKUP(A149,'Base-D'!A:A,'Base-D'!BP:BP)</f>
        <v>#N/A</v>
      </c>
      <c r="D149" s="1085">
        <f>'Base-D'!S149</f>
        <v>0</v>
      </c>
      <c r="E149" s="1086"/>
      <c r="F149" s="1087"/>
      <c r="G149" s="1087" t="e">
        <f>LOOKUP(A149,'ETAT-PAY-PERM'!A:A,'ETAT-PAY-PERM'!J:J)</f>
        <v>#N/A</v>
      </c>
      <c r="H149" s="1094" t="e">
        <f t="shared" si="17"/>
        <v>#N/A</v>
      </c>
      <c r="I149" s="1094" t="e">
        <f t="shared" si="18"/>
        <v>#N/A</v>
      </c>
      <c r="P149" s="688">
        <f>LOOKUP(J149,'ETAT-PAY-PERM'!J:J,'ETAT-PAY-PERM'!S:S)</f>
        <v>0</v>
      </c>
      <c r="Q149" s="1095">
        <f t="shared" si="19"/>
        <v>0</v>
      </c>
      <c r="R149" s="1095" t="str">
        <f t="shared" si="20"/>
        <v/>
      </c>
    </row>
    <row r="150" spans="1:18" ht="18.75" thickBot="1">
      <c r="A150" s="1085">
        <f>'Base-D'!A150</f>
        <v>149</v>
      </c>
      <c r="B150" s="1085">
        <f>'Base-D'!AX150</f>
        <v>0</v>
      </c>
      <c r="C150" s="1085" t="e">
        <f>LOOKUP(A150,'Base-D'!A:A,'Base-D'!BP:BP)</f>
        <v>#N/A</v>
      </c>
      <c r="D150" s="1085">
        <f>'Base-D'!S150</f>
        <v>0</v>
      </c>
      <c r="E150" s="1086"/>
      <c r="F150" s="1087"/>
      <c r="G150" s="1087" t="e">
        <f>LOOKUP(A150,'ETAT-PAY-PERM'!A:A,'ETAT-PAY-PERM'!J:J)</f>
        <v>#N/A</v>
      </c>
      <c r="H150" s="1094" t="e">
        <f t="shared" si="17"/>
        <v>#N/A</v>
      </c>
      <c r="I150" s="1094" t="e">
        <f t="shared" si="18"/>
        <v>#N/A</v>
      </c>
      <c r="P150" s="688">
        <f>LOOKUP(J150,'ETAT-PAY-PERM'!J:J,'ETAT-PAY-PERM'!S:S)</f>
        <v>0</v>
      </c>
      <c r="Q150" s="1095">
        <f t="shared" si="19"/>
        <v>0</v>
      </c>
      <c r="R150" s="1095" t="str">
        <f t="shared" si="20"/>
        <v/>
      </c>
    </row>
    <row r="151" spans="1:18" ht="18.75" thickBot="1">
      <c r="A151" s="1085">
        <f>'Base-D'!A151</f>
        <v>150</v>
      </c>
      <c r="B151" s="1085">
        <f>'Base-D'!AX151</f>
        <v>0</v>
      </c>
      <c r="C151" s="1085" t="e">
        <f>LOOKUP(A151,'Base-D'!A:A,'Base-D'!BP:BP)</f>
        <v>#N/A</v>
      </c>
      <c r="D151" s="1085">
        <f>'Base-D'!S151</f>
        <v>0</v>
      </c>
      <c r="E151" s="1086"/>
      <c r="F151" s="1087"/>
      <c r="G151" s="1087" t="e">
        <f>LOOKUP(A151,'ETAT-PAY-PERM'!A:A,'ETAT-PAY-PERM'!J:J)</f>
        <v>#N/A</v>
      </c>
      <c r="H151" s="1094" t="e">
        <f t="shared" si="17"/>
        <v>#N/A</v>
      </c>
      <c r="I151" s="1094" t="e">
        <f t="shared" si="18"/>
        <v>#N/A</v>
      </c>
      <c r="P151" s="688">
        <f>LOOKUP(J151,'ETAT-PAY-PERM'!J:J,'ETAT-PAY-PERM'!S:S)</f>
        <v>0</v>
      </c>
      <c r="Q151" s="1095">
        <f t="shared" si="19"/>
        <v>0</v>
      </c>
      <c r="R151" s="1095" t="str">
        <f t="shared" si="20"/>
        <v/>
      </c>
    </row>
    <row r="152" spans="1:18" ht="18.75" thickBot="1">
      <c r="A152" s="1085">
        <f>'Base-D'!A152</f>
        <v>151</v>
      </c>
      <c r="B152" s="1085">
        <f>'Base-D'!AX152</f>
        <v>0</v>
      </c>
      <c r="C152" s="1085" t="e">
        <f>LOOKUP(A152,'Base-D'!A:A,'Base-D'!BP:BP)</f>
        <v>#N/A</v>
      </c>
      <c r="D152" s="1085">
        <f>'Base-D'!S152</f>
        <v>0</v>
      </c>
      <c r="E152" s="1086"/>
      <c r="F152" s="1087"/>
      <c r="G152" s="1087" t="e">
        <f>LOOKUP(A152,'ETAT-PAY-PERM'!A:A,'ETAT-PAY-PERM'!J:J)</f>
        <v>#N/A</v>
      </c>
      <c r="H152" s="1094" t="e">
        <f t="shared" si="17"/>
        <v>#N/A</v>
      </c>
      <c r="I152" s="1094" t="e">
        <f t="shared" si="18"/>
        <v>#N/A</v>
      </c>
      <c r="P152" s="688">
        <f>LOOKUP(J152,'ETAT-PAY-PERM'!J:J,'ETAT-PAY-PERM'!S:S)</f>
        <v>0</v>
      </c>
      <c r="Q152" s="1095">
        <f t="shared" si="19"/>
        <v>0</v>
      </c>
      <c r="R152" s="1095" t="str">
        <f t="shared" si="20"/>
        <v/>
      </c>
    </row>
    <row r="153" spans="1:18" ht="18.75" thickBot="1">
      <c r="A153" s="1085">
        <f>'Base-D'!A153</f>
        <v>152</v>
      </c>
      <c r="B153" s="1085">
        <f>'Base-D'!AX153</f>
        <v>0</v>
      </c>
      <c r="C153" s="1085" t="e">
        <f>LOOKUP(A153,'Base-D'!A:A,'Base-D'!BP:BP)</f>
        <v>#N/A</v>
      </c>
      <c r="D153" s="1085">
        <f>'Base-D'!S153</f>
        <v>0</v>
      </c>
      <c r="E153" s="1086"/>
      <c r="F153" s="1087"/>
      <c r="G153" s="1087" t="e">
        <f>LOOKUP(A153,'ETAT-PAY-PERM'!A:A,'ETAT-PAY-PERM'!J:J)</f>
        <v>#N/A</v>
      </c>
      <c r="H153" s="1094" t="e">
        <f t="shared" si="17"/>
        <v>#N/A</v>
      </c>
      <c r="I153" s="1094" t="e">
        <f t="shared" si="18"/>
        <v>#N/A</v>
      </c>
      <c r="P153" s="688">
        <f>LOOKUP(J153,'ETAT-PAY-PERM'!J:J,'ETAT-PAY-PERM'!S:S)</f>
        <v>0</v>
      </c>
      <c r="Q153" s="1095">
        <f t="shared" si="19"/>
        <v>0</v>
      </c>
      <c r="R153" s="1095" t="str">
        <f t="shared" si="20"/>
        <v/>
      </c>
    </row>
    <row r="154" spans="1:18" ht="18.75" thickBot="1">
      <c r="A154" s="1085">
        <f>'Base-D'!A154</f>
        <v>153</v>
      </c>
      <c r="B154" s="1085">
        <f>'Base-D'!AX154</f>
        <v>0</v>
      </c>
      <c r="C154" s="1085" t="e">
        <f>LOOKUP(A154,'Base-D'!A:A,'Base-D'!BP:BP)</f>
        <v>#N/A</v>
      </c>
      <c r="D154" s="1085">
        <f>'Base-D'!S154</f>
        <v>0</v>
      </c>
      <c r="E154" s="1086"/>
      <c r="F154" s="1087"/>
      <c r="G154" s="1087" t="e">
        <f>LOOKUP(A154,'ETAT-PAY-PERM'!A:A,'ETAT-PAY-PERM'!J:J)</f>
        <v>#N/A</v>
      </c>
      <c r="H154" s="1094" t="e">
        <f t="shared" si="17"/>
        <v>#N/A</v>
      </c>
      <c r="I154" s="1094" t="e">
        <f t="shared" si="18"/>
        <v>#N/A</v>
      </c>
      <c r="P154" s="688">
        <f>LOOKUP(J154,'ETAT-PAY-PERM'!J:J,'ETAT-PAY-PERM'!S:S)</f>
        <v>0</v>
      </c>
      <c r="Q154" s="1095">
        <f t="shared" si="19"/>
        <v>0</v>
      </c>
      <c r="R154" s="1095" t="str">
        <f t="shared" si="20"/>
        <v/>
      </c>
    </row>
    <row r="155" spans="1:18" ht="18.75" thickBot="1">
      <c r="A155" s="1085">
        <f>'Base-D'!A155</f>
        <v>154</v>
      </c>
      <c r="B155" s="1085">
        <f>'Base-D'!AX155</f>
        <v>0</v>
      </c>
      <c r="C155" s="1085" t="e">
        <f>LOOKUP(A155,'Base-D'!A:A,'Base-D'!BP:BP)</f>
        <v>#N/A</v>
      </c>
      <c r="D155" s="1085">
        <f>'Base-D'!S155</f>
        <v>0</v>
      </c>
      <c r="E155" s="1086"/>
      <c r="F155" s="1087"/>
      <c r="G155" s="1087" t="e">
        <f>LOOKUP(A155,'ETAT-PAY-PERM'!A:A,'ETAT-PAY-PERM'!J:J)</f>
        <v>#N/A</v>
      </c>
      <c r="H155" s="1094" t="e">
        <f t="shared" si="17"/>
        <v>#N/A</v>
      </c>
      <c r="I155" s="1094" t="e">
        <f t="shared" si="18"/>
        <v>#N/A</v>
      </c>
      <c r="P155" s="688">
        <f>LOOKUP(J155,'ETAT-PAY-PERM'!J:J,'ETAT-PAY-PERM'!S:S)</f>
        <v>0</v>
      </c>
      <c r="Q155" s="1095">
        <f t="shared" si="19"/>
        <v>0</v>
      </c>
      <c r="R155" s="1095" t="str">
        <f t="shared" si="20"/>
        <v/>
      </c>
    </row>
    <row r="156" spans="1:18" ht="18.75" thickBot="1">
      <c r="A156" s="1085">
        <f>'Base-D'!A156</f>
        <v>155</v>
      </c>
      <c r="B156" s="1085">
        <f>'Base-D'!AX156</f>
        <v>0</v>
      </c>
      <c r="C156" s="1085" t="e">
        <f>LOOKUP(A156,'Base-D'!A:A,'Base-D'!BP:BP)</f>
        <v>#N/A</v>
      </c>
      <c r="D156" s="1085">
        <f>'Base-D'!S156</f>
        <v>0</v>
      </c>
      <c r="E156" s="1086"/>
      <c r="F156" s="1087"/>
      <c r="G156" s="1087" t="e">
        <f>LOOKUP(A156,'ETAT-PAY-PERM'!A:A,'ETAT-PAY-PERM'!J:J)</f>
        <v>#N/A</v>
      </c>
      <c r="H156" s="1094" t="e">
        <f t="shared" si="17"/>
        <v>#N/A</v>
      </c>
      <c r="I156" s="1094" t="e">
        <f t="shared" si="18"/>
        <v>#N/A</v>
      </c>
      <c r="P156" s="688">
        <f>LOOKUP(J156,'ETAT-PAY-PERM'!J:J,'ETAT-PAY-PERM'!S:S)</f>
        <v>0</v>
      </c>
      <c r="Q156" s="1095">
        <f t="shared" si="19"/>
        <v>0</v>
      </c>
      <c r="R156" s="1095" t="str">
        <f t="shared" si="20"/>
        <v/>
      </c>
    </row>
    <row r="157" spans="1:18" ht="18.75" thickBot="1">
      <c r="A157" s="1085">
        <f>'Base-D'!A157</f>
        <v>156</v>
      </c>
      <c r="B157" s="1085">
        <f>'Base-D'!AX157</f>
        <v>0</v>
      </c>
      <c r="C157" s="1085" t="e">
        <f>LOOKUP(A157,'Base-D'!A:A,'Base-D'!BP:BP)</f>
        <v>#N/A</v>
      </c>
      <c r="D157" s="1085">
        <f>'Base-D'!S157</f>
        <v>0</v>
      </c>
      <c r="E157" s="1086"/>
      <c r="F157" s="1087"/>
      <c r="G157" s="1087" t="e">
        <f>LOOKUP(A157,'ETAT-PAY-PERM'!A:A,'ETAT-PAY-PERM'!J:J)</f>
        <v>#N/A</v>
      </c>
      <c r="H157" s="1094" t="e">
        <f t="shared" si="17"/>
        <v>#N/A</v>
      </c>
      <c r="I157" s="1094" t="e">
        <f t="shared" si="18"/>
        <v>#N/A</v>
      </c>
      <c r="P157" s="688">
        <f>LOOKUP(J157,'ETAT-PAY-PERM'!J:J,'ETAT-PAY-PERM'!S:S)</f>
        <v>0</v>
      </c>
      <c r="Q157" s="1095">
        <f t="shared" si="19"/>
        <v>0</v>
      </c>
      <c r="R157" s="1095" t="str">
        <f t="shared" si="20"/>
        <v/>
      </c>
    </row>
    <row r="158" spans="1:18" ht="18.75" thickBot="1">
      <c r="A158" s="1085">
        <f>'Base-D'!A158</f>
        <v>157</v>
      </c>
      <c r="B158" s="1085">
        <f>'Base-D'!AX158</f>
        <v>0</v>
      </c>
      <c r="C158" s="1085" t="e">
        <f>LOOKUP(A158,'Base-D'!A:A,'Base-D'!BP:BP)</f>
        <v>#N/A</v>
      </c>
      <c r="D158" s="1085">
        <f>'Base-D'!S158</f>
        <v>0</v>
      </c>
      <c r="E158" s="1086"/>
      <c r="F158" s="1087"/>
      <c r="G158" s="1087" t="e">
        <f>LOOKUP(A158,'ETAT-PAY-PERM'!A:A,'ETAT-PAY-PERM'!J:J)</f>
        <v>#N/A</v>
      </c>
      <c r="H158" s="1094" t="e">
        <f t="shared" si="17"/>
        <v>#N/A</v>
      </c>
      <c r="I158" s="1094" t="e">
        <f t="shared" si="18"/>
        <v>#N/A</v>
      </c>
      <c r="P158" s="688">
        <f>LOOKUP(J158,'ETAT-PAY-PERM'!J:J,'ETAT-PAY-PERM'!S:S)</f>
        <v>0</v>
      </c>
      <c r="Q158" s="1095">
        <f t="shared" si="19"/>
        <v>0</v>
      </c>
      <c r="R158" s="1095" t="str">
        <f t="shared" si="20"/>
        <v/>
      </c>
    </row>
    <row r="159" spans="1:18" ht="18.75" thickBot="1">
      <c r="A159" s="1085">
        <f>'Base-D'!A159</f>
        <v>158</v>
      </c>
      <c r="B159" s="1085">
        <f>'Base-D'!AX159</f>
        <v>0</v>
      </c>
      <c r="C159" s="1085" t="e">
        <f>LOOKUP(A159,'Base-D'!A:A,'Base-D'!BP:BP)</f>
        <v>#N/A</v>
      </c>
      <c r="D159" s="1085">
        <f>'Base-D'!S159</f>
        <v>0</v>
      </c>
      <c r="E159" s="1086"/>
      <c r="F159" s="1087"/>
      <c r="G159" s="1087" t="e">
        <f>LOOKUP(A159,'ETAT-PAY-PERM'!A:A,'ETAT-PAY-PERM'!J:J)</f>
        <v>#N/A</v>
      </c>
      <c r="H159" s="1094" t="e">
        <f t="shared" si="17"/>
        <v>#N/A</v>
      </c>
      <c r="I159" s="1094" t="e">
        <f t="shared" si="18"/>
        <v>#N/A</v>
      </c>
      <c r="P159" s="688">
        <f>LOOKUP(J159,'ETAT-PAY-PERM'!J:J,'ETAT-PAY-PERM'!S:S)</f>
        <v>0</v>
      </c>
      <c r="Q159" s="1095">
        <f t="shared" si="19"/>
        <v>0</v>
      </c>
      <c r="R159" s="1095" t="str">
        <f t="shared" si="20"/>
        <v/>
      </c>
    </row>
    <row r="160" spans="1:18" ht="18.75" thickBot="1">
      <c r="A160" s="1085">
        <f>'Base-D'!A160</f>
        <v>159</v>
      </c>
      <c r="B160" s="1085">
        <f>'Base-D'!AX160</f>
        <v>0</v>
      </c>
      <c r="C160" s="1085" t="e">
        <f>LOOKUP(A160,'Base-D'!A:A,'Base-D'!BP:BP)</f>
        <v>#N/A</v>
      </c>
      <c r="D160" s="1085">
        <f>'Base-D'!S160</f>
        <v>0</v>
      </c>
      <c r="E160" s="1086"/>
      <c r="F160" s="1087"/>
      <c r="G160" s="1087" t="e">
        <f>LOOKUP(A160,'ETAT-PAY-PERM'!A:A,'ETAT-PAY-PERM'!J:J)</f>
        <v>#N/A</v>
      </c>
      <c r="H160" s="1094" t="e">
        <f t="shared" si="17"/>
        <v>#N/A</v>
      </c>
      <c r="I160" s="1094" t="e">
        <f t="shared" si="18"/>
        <v>#N/A</v>
      </c>
      <c r="P160" s="688">
        <f>LOOKUP(J160,'ETAT-PAY-PERM'!J:J,'ETAT-PAY-PERM'!S:S)</f>
        <v>0</v>
      </c>
      <c r="Q160" s="1095">
        <f t="shared" si="19"/>
        <v>0</v>
      </c>
      <c r="R160" s="1095" t="str">
        <f t="shared" si="20"/>
        <v/>
      </c>
    </row>
    <row r="161" spans="1:18" ht="18.75" thickBot="1">
      <c r="A161" s="1085">
        <f>'Base-D'!A161</f>
        <v>160</v>
      </c>
      <c r="B161" s="1085">
        <f>'Base-D'!AX161</f>
        <v>0</v>
      </c>
      <c r="C161" s="1085" t="e">
        <f>LOOKUP(A161,'Base-D'!A:A,'Base-D'!BP:BP)</f>
        <v>#N/A</v>
      </c>
      <c r="D161" s="1085">
        <f>'Base-D'!S161</f>
        <v>0</v>
      </c>
      <c r="E161" s="1086"/>
      <c r="F161" s="1087"/>
      <c r="G161" s="1087" t="e">
        <f>LOOKUP(A161,'ETAT-PAY-PERM'!A:A,'ETAT-PAY-PERM'!J:J)</f>
        <v>#N/A</v>
      </c>
      <c r="H161" s="1094" t="e">
        <f t="shared" si="17"/>
        <v>#N/A</v>
      </c>
      <c r="I161" s="1094" t="e">
        <f t="shared" si="18"/>
        <v>#N/A</v>
      </c>
      <c r="P161" s="688">
        <f>LOOKUP(J161,'ETAT-PAY-PERM'!J:J,'ETAT-PAY-PERM'!S:S)</f>
        <v>0</v>
      </c>
      <c r="Q161" s="1095">
        <f t="shared" si="19"/>
        <v>0</v>
      </c>
      <c r="R161" s="1095" t="str">
        <f t="shared" si="20"/>
        <v/>
      </c>
    </row>
    <row r="162" spans="1:18" ht="18.75" thickBot="1">
      <c r="A162" s="1085">
        <f>'Base-D'!A162</f>
        <v>161</v>
      </c>
      <c r="B162" s="1085">
        <f>'Base-D'!AX162</f>
        <v>0</v>
      </c>
      <c r="C162" s="1085" t="e">
        <f>LOOKUP(A162,'Base-D'!A:A,'Base-D'!BP:BP)</f>
        <v>#N/A</v>
      </c>
      <c r="D162" s="1085">
        <f>'Base-D'!S162</f>
        <v>0</v>
      </c>
      <c r="E162" s="1086"/>
      <c r="F162" s="1087"/>
      <c r="G162" s="1087" t="e">
        <f>LOOKUP(A162,'ETAT-PAY-PERM'!A:A,'ETAT-PAY-PERM'!J:J)</f>
        <v>#N/A</v>
      </c>
      <c r="H162" s="1094" t="e">
        <f t="shared" si="17"/>
        <v>#N/A</v>
      </c>
      <c r="I162" s="1094" t="e">
        <f t="shared" si="18"/>
        <v>#N/A</v>
      </c>
      <c r="P162" s="688">
        <f>LOOKUP(J162,'ETAT-PAY-PERM'!J:J,'ETAT-PAY-PERM'!S:S)</f>
        <v>0</v>
      </c>
      <c r="Q162" s="1095">
        <f t="shared" si="19"/>
        <v>0</v>
      </c>
      <c r="R162" s="1095" t="str">
        <f t="shared" si="20"/>
        <v/>
      </c>
    </row>
    <row r="163" spans="1:18" ht="18.75" thickBot="1">
      <c r="A163" s="1085">
        <f>'Base-D'!A163</f>
        <v>162</v>
      </c>
      <c r="B163" s="1085">
        <f>'Base-D'!AX163</f>
        <v>0</v>
      </c>
      <c r="C163" s="1085" t="e">
        <f>LOOKUP(A163,'Base-D'!A:A,'Base-D'!BP:BP)</f>
        <v>#N/A</v>
      </c>
      <c r="D163" s="1085">
        <f>'Base-D'!S163</f>
        <v>0</v>
      </c>
      <c r="E163" s="1086"/>
      <c r="F163" s="1087"/>
      <c r="G163" s="1087" t="e">
        <f>LOOKUP(A163,'ETAT-PAY-PERM'!A:A,'ETAT-PAY-PERM'!J:J)</f>
        <v>#N/A</v>
      </c>
      <c r="H163" s="1094" t="e">
        <f t="shared" si="17"/>
        <v>#N/A</v>
      </c>
      <c r="I163" s="1094" t="e">
        <f t="shared" si="18"/>
        <v>#N/A</v>
      </c>
      <c r="P163" s="688">
        <f>LOOKUP(J163,'ETAT-PAY-PERM'!J:J,'ETAT-PAY-PERM'!S:S)</f>
        <v>0</v>
      </c>
      <c r="Q163" s="1095">
        <f t="shared" si="19"/>
        <v>0</v>
      </c>
      <c r="R163" s="1095" t="str">
        <f t="shared" si="20"/>
        <v/>
      </c>
    </row>
    <row r="164" spans="1:18" ht="18.75" thickBot="1">
      <c r="A164" s="1085">
        <f>'Base-D'!A164</f>
        <v>163</v>
      </c>
      <c r="B164" s="1085">
        <f>'Base-D'!AX164</f>
        <v>0</v>
      </c>
      <c r="C164" s="1085" t="e">
        <f>LOOKUP(A164,'Base-D'!A:A,'Base-D'!BP:BP)</f>
        <v>#N/A</v>
      </c>
      <c r="D164" s="1085">
        <f>'Base-D'!S164</f>
        <v>0</v>
      </c>
      <c r="E164" s="1086"/>
      <c r="F164" s="1087"/>
      <c r="G164" s="1087" t="e">
        <f>LOOKUP(A164,'ETAT-PAY-PERM'!A:A,'ETAT-PAY-PERM'!J:J)</f>
        <v>#N/A</v>
      </c>
      <c r="H164" s="1094" t="e">
        <f t="shared" si="17"/>
        <v>#N/A</v>
      </c>
      <c r="I164" s="1094" t="e">
        <f t="shared" si="18"/>
        <v>#N/A</v>
      </c>
      <c r="P164" s="688">
        <f>LOOKUP(J164,'ETAT-PAY-PERM'!J:J,'ETAT-PAY-PERM'!S:S)</f>
        <v>0</v>
      </c>
      <c r="Q164" s="1095">
        <f t="shared" si="19"/>
        <v>0</v>
      </c>
      <c r="R164" s="1095" t="str">
        <f t="shared" si="20"/>
        <v/>
      </c>
    </row>
    <row r="165" spans="1:18" ht="18.75" thickBot="1">
      <c r="A165" s="1085">
        <f>'Base-D'!A165</f>
        <v>164</v>
      </c>
      <c r="B165" s="1085">
        <f>'Base-D'!AX165</f>
        <v>0</v>
      </c>
      <c r="C165" s="1085" t="e">
        <f>LOOKUP(A165,'Base-D'!A:A,'Base-D'!BP:BP)</f>
        <v>#N/A</v>
      </c>
      <c r="D165" s="1085">
        <f>'Base-D'!S165</f>
        <v>0</v>
      </c>
      <c r="E165" s="1086"/>
      <c r="F165" s="1087"/>
      <c r="G165" s="1087" t="e">
        <f>LOOKUP(A165,'ETAT-PAY-PERM'!A:A,'ETAT-PAY-PERM'!J:J)</f>
        <v>#N/A</v>
      </c>
      <c r="H165" s="1094" t="e">
        <f t="shared" si="17"/>
        <v>#N/A</v>
      </c>
      <c r="I165" s="1094" t="e">
        <f t="shared" si="18"/>
        <v>#N/A</v>
      </c>
      <c r="P165" s="688">
        <f>LOOKUP(J165,'ETAT-PAY-PERM'!J:J,'ETAT-PAY-PERM'!S:S)</f>
        <v>0</v>
      </c>
      <c r="Q165" s="1095">
        <f t="shared" si="19"/>
        <v>0</v>
      </c>
      <c r="R165" s="1095" t="str">
        <f t="shared" si="20"/>
        <v/>
      </c>
    </row>
    <row r="166" spans="1:18" ht="18.75" thickBot="1">
      <c r="A166" s="1085">
        <f>'Base-D'!A166</f>
        <v>165</v>
      </c>
      <c r="B166" s="1085">
        <f>'Base-D'!AX166</f>
        <v>0</v>
      </c>
      <c r="C166" s="1085" t="e">
        <f>LOOKUP(A166,'Base-D'!A:A,'Base-D'!BP:BP)</f>
        <v>#N/A</v>
      </c>
      <c r="D166" s="1085">
        <f>'Base-D'!S166</f>
        <v>0</v>
      </c>
      <c r="E166" s="1086"/>
      <c r="F166" s="1087"/>
      <c r="G166" s="1087" t="e">
        <f>LOOKUP(A166,'ETAT-PAY-PERM'!A:A,'ETAT-PAY-PERM'!J:J)</f>
        <v>#N/A</v>
      </c>
      <c r="H166" s="1094" t="e">
        <f t="shared" si="17"/>
        <v>#N/A</v>
      </c>
      <c r="I166" s="1094" t="e">
        <f t="shared" si="18"/>
        <v>#N/A</v>
      </c>
      <c r="P166" s="688">
        <f>LOOKUP(J166,'ETAT-PAY-PERM'!J:J,'ETAT-PAY-PERM'!S:S)</f>
        <v>0</v>
      </c>
      <c r="Q166" s="1095">
        <f t="shared" si="19"/>
        <v>0</v>
      </c>
      <c r="R166" s="1095" t="str">
        <f t="shared" si="20"/>
        <v/>
      </c>
    </row>
    <row r="167" spans="1:18" ht="18.75" thickBot="1">
      <c r="A167" s="1085">
        <f>'Base-D'!A167</f>
        <v>166</v>
      </c>
      <c r="B167" s="1085">
        <f>'Base-D'!AX167</f>
        <v>0</v>
      </c>
      <c r="C167" s="1085" t="e">
        <f>LOOKUP(A167,'Base-D'!A:A,'Base-D'!BP:BP)</f>
        <v>#N/A</v>
      </c>
      <c r="D167" s="1085">
        <f>'Base-D'!S167</f>
        <v>0</v>
      </c>
      <c r="E167" s="1086"/>
      <c r="F167" s="1087"/>
      <c r="G167" s="1087" t="e">
        <f>LOOKUP(A167,'ETAT-PAY-PERM'!A:A,'ETAT-PAY-PERM'!J:J)</f>
        <v>#N/A</v>
      </c>
      <c r="H167" s="1094" t="e">
        <f t="shared" si="17"/>
        <v>#N/A</v>
      </c>
      <c r="I167" s="1094" t="e">
        <f t="shared" si="18"/>
        <v>#N/A</v>
      </c>
      <c r="P167" s="688">
        <f>LOOKUP(J167,'ETAT-PAY-PERM'!J:J,'ETAT-PAY-PERM'!S:S)</f>
        <v>0</v>
      </c>
      <c r="Q167" s="1095">
        <f t="shared" si="19"/>
        <v>0</v>
      </c>
      <c r="R167" s="1095" t="str">
        <f t="shared" si="20"/>
        <v/>
      </c>
    </row>
    <row r="168" spans="1:18" ht="18.75" thickBot="1">
      <c r="A168" s="1085">
        <f>'Base-D'!A168</f>
        <v>167</v>
      </c>
      <c r="B168" s="1085">
        <f>'Base-D'!AX168</f>
        <v>0</v>
      </c>
      <c r="C168" s="1085" t="e">
        <f>LOOKUP(A168,'Base-D'!A:A,'Base-D'!BP:BP)</f>
        <v>#N/A</v>
      </c>
      <c r="D168" s="1085">
        <f>'Base-D'!S168</f>
        <v>0</v>
      </c>
      <c r="E168" s="1086"/>
      <c r="F168" s="1087"/>
      <c r="G168" s="1087" t="e">
        <f>LOOKUP(A168,'ETAT-PAY-PERM'!A:A,'ETAT-PAY-PERM'!J:J)</f>
        <v>#N/A</v>
      </c>
      <c r="H168" s="1094" t="e">
        <f t="shared" si="17"/>
        <v>#N/A</v>
      </c>
      <c r="I168" s="1094" t="e">
        <f t="shared" si="18"/>
        <v>#N/A</v>
      </c>
      <c r="P168" s="688">
        <f>LOOKUP(J168,'ETAT-PAY-PERM'!J:J,'ETAT-PAY-PERM'!S:S)</f>
        <v>0</v>
      </c>
      <c r="Q168" s="1095">
        <f t="shared" si="19"/>
        <v>0</v>
      </c>
      <c r="R168" s="1095" t="str">
        <f t="shared" si="20"/>
        <v/>
      </c>
    </row>
    <row r="169" spans="1:18" ht="18.75" thickBot="1">
      <c r="A169" s="1085">
        <f>'Base-D'!A169</f>
        <v>168</v>
      </c>
      <c r="B169" s="1085">
        <f>'Base-D'!AX169</f>
        <v>0</v>
      </c>
      <c r="C169" s="1085" t="e">
        <f>LOOKUP(A169,'Base-D'!A:A,'Base-D'!BP:BP)</f>
        <v>#N/A</v>
      </c>
      <c r="D169" s="1085">
        <f>'Base-D'!S169</f>
        <v>0</v>
      </c>
      <c r="E169" s="1086"/>
      <c r="F169" s="1087"/>
      <c r="G169" s="1087" t="e">
        <f>LOOKUP(A169,'ETAT-PAY-PERM'!A:A,'ETAT-PAY-PERM'!J:J)</f>
        <v>#N/A</v>
      </c>
      <c r="H169" s="1094" t="e">
        <f t="shared" si="17"/>
        <v>#N/A</v>
      </c>
      <c r="I169" s="1094" t="e">
        <f t="shared" si="18"/>
        <v>#N/A</v>
      </c>
      <c r="P169" s="688">
        <f>LOOKUP(J169,'ETAT-PAY-PERM'!J:J,'ETAT-PAY-PERM'!S:S)</f>
        <v>0</v>
      </c>
      <c r="Q169" s="1095">
        <f t="shared" si="19"/>
        <v>0</v>
      </c>
      <c r="R169" s="1095" t="str">
        <f t="shared" si="20"/>
        <v/>
      </c>
    </row>
    <row r="170" spans="1:18" ht="18.75" thickBot="1">
      <c r="A170" s="1085">
        <f>'Base-D'!A170</f>
        <v>169</v>
      </c>
      <c r="B170" s="1085">
        <f>'Base-D'!AX170</f>
        <v>0</v>
      </c>
      <c r="C170" s="1085" t="e">
        <f>LOOKUP(A170,'Base-D'!A:A,'Base-D'!BP:BP)</f>
        <v>#N/A</v>
      </c>
      <c r="D170" s="1085">
        <f>'Base-D'!S170</f>
        <v>0</v>
      </c>
      <c r="E170" s="1086"/>
      <c r="F170" s="1087"/>
      <c r="G170" s="1087" t="e">
        <f>LOOKUP(A170,'ETAT-PAY-PERM'!A:A,'ETAT-PAY-PERM'!J:J)</f>
        <v>#N/A</v>
      </c>
      <c r="H170" s="1094" t="e">
        <f t="shared" si="17"/>
        <v>#N/A</v>
      </c>
      <c r="I170" s="1094" t="e">
        <f t="shared" si="18"/>
        <v>#N/A</v>
      </c>
      <c r="P170" s="688">
        <f>LOOKUP(J170,'ETAT-PAY-PERM'!J:J,'ETAT-PAY-PERM'!S:S)</f>
        <v>0</v>
      </c>
      <c r="Q170" s="1095">
        <f t="shared" si="19"/>
        <v>0</v>
      </c>
      <c r="R170" s="1095" t="str">
        <f t="shared" si="20"/>
        <v/>
      </c>
    </row>
    <row r="171" spans="1:18" ht="18.75" thickBot="1">
      <c r="A171" s="1085">
        <f>'Base-D'!A171</f>
        <v>170</v>
      </c>
      <c r="B171" s="1085">
        <f>'Base-D'!AX171</f>
        <v>0</v>
      </c>
      <c r="C171" s="1085" t="e">
        <f>LOOKUP(A171,'Base-D'!A:A,'Base-D'!BP:BP)</f>
        <v>#N/A</v>
      </c>
      <c r="D171" s="1085">
        <f>'Base-D'!S171</f>
        <v>0</v>
      </c>
      <c r="E171" s="1086"/>
      <c r="F171" s="1087"/>
      <c r="G171" s="1087" t="e">
        <f>LOOKUP(A171,'ETAT-PAY-PERM'!A:A,'ETAT-PAY-PERM'!J:J)</f>
        <v>#N/A</v>
      </c>
      <c r="H171" s="1094" t="e">
        <f t="shared" si="17"/>
        <v>#N/A</v>
      </c>
      <c r="I171" s="1094" t="e">
        <f t="shared" si="18"/>
        <v>#N/A</v>
      </c>
      <c r="P171" s="688">
        <f>LOOKUP(J171,'ETAT-PAY-PERM'!J:J,'ETAT-PAY-PERM'!S:S)</f>
        <v>0</v>
      </c>
      <c r="Q171" s="1095">
        <f t="shared" si="19"/>
        <v>0</v>
      </c>
      <c r="R171" s="1095" t="str">
        <f t="shared" si="20"/>
        <v/>
      </c>
    </row>
    <row r="172" spans="1:18" ht="18.75" thickBot="1">
      <c r="A172" s="1085">
        <f>'Base-D'!A172</f>
        <v>171</v>
      </c>
      <c r="B172" s="1085">
        <f>'Base-D'!AX172</f>
        <v>0</v>
      </c>
      <c r="C172" s="1085" t="e">
        <f>LOOKUP(A172,'Base-D'!A:A,'Base-D'!BP:BP)</f>
        <v>#N/A</v>
      </c>
      <c r="D172" s="1085">
        <f>'Base-D'!S172</f>
        <v>0</v>
      </c>
      <c r="E172" s="1086"/>
      <c r="F172" s="1087"/>
      <c r="G172" s="1087" t="e">
        <f>LOOKUP(A172,'ETAT-PAY-PERM'!A:A,'ETAT-PAY-PERM'!J:J)</f>
        <v>#N/A</v>
      </c>
      <c r="H172" s="1094" t="e">
        <f t="shared" si="17"/>
        <v>#N/A</v>
      </c>
      <c r="I172" s="1094" t="e">
        <f t="shared" si="18"/>
        <v>#N/A</v>
      </c>
      <c r="P172" s="688">
        <f>LOOKUP(J172,'ETAT-PAY-PERM'!J:J,'ETAT-PAY-PERM'!S:S)</f>
        <v>0</v>
      </c>
      <c r="Q172" s="1095">
        <f t="shared" si="19"/>
        <v>0</v>
      </c>
      <c r="R172" s="1095" t="str">
        <f t="shared" si="20"/>
        <v/>
      </c>
    </row>
    <row r="173" spans="1:18" ht="18.75" thickBot="1">
      <c r="A173" s="1085">
        <f>'Base-D'!A173</f>
        <v>172</v>
      </c>
      <c r="B173" s="1085">
        <f>'Base-D'!AX173</f>
        <v>0</v>
      </c>
      <c r="C173" s="1085" t="e">
        <f>LOOKUP(A173,'Base-D'!A:A,'Base-D'!BP:BP)</f>
        <v>#N/A</v>
      </c>
      <c r="D173" s="1085">
        <f>'Base-D'!S173</f>
        <v>0</v>
      </c>
      <c r="E173" s="1086"/>
      <c r="F173" s="1087"/>
      <c r="G173" s="1087" t="e">
        <f>LOOKUP(A173,'ETAT-PAY-PERM'!A:A,'ETAT-PAY-PERM'!J:J)</f>
        <v>#N/A</v>
      </c>
      <c r="H173" s="1094" t="e">
        <f t="shared" si="17"/>
        <v>#N/A</v>
      </c>
      <c r="I173" s="1094" t="e">
        <f t="shared" si="18"/>
        <v>#N/A</v>
      </c>
      <c r="P173" s="688">
        <f>LOOKUP(J173,'ETAT-PAY-PERM'!J:J,'ETAT-PAY-PERM'!S:S)</f>
        <v>0</v>
      </c>
      <c r="Q173" s="1095">
        <f t="shared" si="19"/>
        <v>0</v>
      </c>
      <c r="R173" s="1095" t="str">
        <f t="shared" si="20"/>
        <v/>
      </c>
    </row>
    <row r="174" spans="1:18" ht="18.75" thickBot="1">
      <c r="A174" s="1085">
        <f>'Base-D'!A174</f>
        <v>173</v>
      </c>
      <c r="B174" s="1085">
        <f>'Base-D'!AX174</f>
        <v>0</v>
      </c>
      <c r="C174" s="1085" t="e">
        <f>LOOKUP(A174,'Base-D'!A:A,'Base-D'!BP:BP)</f>
        <v>#N/A</v>
      </c>
      <c r="D174" s="1085">
        <f>'Base-D'!S174</f>
        <v>0</v>
      </c>
      <c r="E174" s="1086"/>
      <c r="F174" s="1087"/>
      <c r="G174" s="1087" t="e">
        <f>LOOKUP(A174,'ETAT-PAY-PERM'!A:A,'ETAT-PAY-PERM'!J:J)</f>
        <v>#N/A</v>
      </c>
      <c r="H174" s="1094" t="e">
        <f t="shared" si="17"/>
        <v>#N/A</v>
      </c>
      <c r="I174" s="1094" t="e">
        <f t="shared" si="18"/>
        <v>#N/A</v>
      </c>
      <c r="P174" s="688">
        <f>LOOKUP(J174,'ETAT-PAY-PERM'!J:J,'ETAT-PAY-PERM'!S:S)</f>
        <v>0</v>
      </c>
      <c r="Q174" s="1095">
        <f t="shared" si="19"/>
        <v>0</v>
      </c>
      <c r="R174" s="1095" t="str">
        <f t="shared" si="20"/>
        <v/>
      </c>
    </row>
    <row r="175" spans="1:18" ht="18.75" thickBot="1">
      <c r="A175" s="1085">
        <f>'Base-D'!A175</f>
        <v>174</v>
      </c>
      <c r="B175" s="1085">
        <f>'Base-D'!AX175</f>
        <v>0</v>
      </c>
      <c r="C175" s="1085" t="e">
        <f>LOOKUP(A175,'Base-D'!A:A,'Base-D'!BP:BP)</f>
        <v>#N/A</v>
      </c>
      <c r="D175" s="1085">
        <f>'Base-D'!S175</f>
        <v>0</v>
      </c>
      <c r="E175" s="1086"/>
      <c r="F175" s="1087"/>
      <c r="G175" s="1087" t="e">
        <f>LOOKUP(A175,'ETAT-PAY-PERM'!A:A,'ETAT-PAY-PERM'!J:J)</f>
        <v>#N/A</v>
      </c>
      <c r="H175" s="1094" t="e">
        <f t="shared" si="17"/>
        <v>#N/A</v>
      </c>
      <c r="I175" s="1094" t="e">
        <f t="shared" si="18"/>
        <v>#N/A</v>
      </c>
      <c r="P175" s="688">
        <f>LOOKUP(J175,'ETAT-PAY-PERM'!J:J,'ETAT-PAY-PERM'!S:S)</f>
        <v>0</v>
      </c>
      <c r="Q175" s="1095">
        <f t="shared" si="19"/>
        <v>0</v>
      </c>
      <c r="R175" s="1095" t="str">
        <f t="shared" si="20"/>
        <v/>
      </c>
    </row>
    <row r="176" spans="1:18" ht="18.75" thickBot="1">
      <c r="A176" s="1085">
        <f>'Base-D'!A176</f>
        <v>175</v>
      </c>
      <c r="B176" s="1085">
        <f>'Base-D'!AX176</f>
        <v>0</v>
      </c>
      <c r="C176" s="1085" t="e">
        <f>LOOKUP(A176,'Base-D'!A:A,'Base-D'!BP:BP)</f>
        <v>#N/A</v>
      </c>
      <c r="D176" s="1085">
        <f>'Base-D'!S176</f>
        <v>0</v>
      </c>
      <c r="E176" s="1086"/>
      <c r="F176" s="1087"/>
      <c r="G176" s="1087" t="e">
        <f>LOOKUP(A176,'ETAT-PAY-PERM'!A:A,'ETAT-PAY-PERM'!J:J)</f>
        <v>#N/A</v>
      </c>
      <c r="H176" s="1094" t="e">
        <f t="shared" si="17"/>
        <v>#N/A</v>
      </c>
      <c r="I176" s="1094" t="e">
        <f t="shared" si="18"/>
        <v>#N/A</v>
      </c>
      <c r="P176" s="688">
        <f>LOOKUP(J176,'ETAT-PAY-PERM'!J:J,'ETAT-PAY-PERM'!S:S)</f>
        <v>0</v>
      </c>
      <c r="Q176" s="1095">
        <f t="shared" si="19"/>
        <v>0</v>
      </c>
      <c r="R176" s="1095" t="str">
        <f t="shared" si="20"/>
        <v/>
      </c>
    </row>
    <row r="177" spans="1:18" ht="18.75" thickBot="1">
      <c r="A177" s="1085">
        <f>'Base-D'!A177</f>
        <v>176</v>
      </c>
      <c r="B177" s="1085">
        <f>'Base-D'!AX177</f>
        <v>0</v>
      </c>
      <c r="C177" s="1085" t="e">
        <f>LOOKUP(A177,'Base-D'!A:A,'Base-D'!BP:BP)</f>
        <v>#N/A</v>
      </c>
      <c r="D177" s="1085">
        <f>'Base-D'!S177</f>
        <v>0</v>
      </c>
      <c r="E177" s="1086"/>
      <c r="F177" s="1087"/>
      <c r="G177" s="1087" t="e">
        <f>LOOKUP(A177,'ETAT-PAY-PERM'!A:A,'ETAT-PAY-PERM'!J:J)</f>
        <v>#N/A</v>
      </c>
      <c r="H177" s="1094" t="e">
        <f t="shared" si="17"/>
        <v>#N/A</v>
      </c>
      <c r="I177" s="1094" t="e">
        <f t="shared" si="18"/>
        <v>#N/A</v>
      </c>
      <c r="P177" s="688">
        <f>LOOKUP(J177,'ETAT-PAY-PERM'!J:J,'ETAT-PAY-PERM'!S:S)</f>
        <v>0</v>
      </c>
      <c r="Q177" s="1095">
        <f t="shared" si="19"/>
        <v>0</v>
      </c>
      <c r="R177" s="1095" t="str">
        <f t="shared" si="20"/>
        <v/>
      </c>
    </row>
    <row r="178" spans="1:18" ht="18.75" thickBot="1">
      <c r="A178" s="1085">
        <f>'Base-D'!A178</f>
        <v>177</v>
      </c>
      <c r="B178" s="1085">
        <f>'Base-D'!AX178</f>
        <v>0</v>
      </c>
      <c r="C178" s="1085" t="e">
        <f>LOOKUP(A178,'Base-D'!A:A,'Base-D'!BP:BP)</f>
        <v>#N/A</v>
      </c>
      <c r="D178" s="1085">
        <f>'Base-D'!S178</f>
        <v>0</v>
      </c>
      <c r="E178" s="1086"/>
      <c r="F178" s="1087"/>
      <c r="G178" s="1087" t="e">
        <f>LOOKUP(A178,'ETAT-PAY-PERM'!A:A,'ETAT-PAY-PERM'!J:J)</f>
        <v>#N/A</v>
      </c>
      <c r="H178" s="1094" t="e">
        <f t="shared" si="17"/>
        <v>#N/A</v>
      </c>
      <c r="I178" s="1094" t="e">
        <f t="shared" si="18"/>
        <v>#N/A</v>
      </c>
      <c r="P178" s="688">
        <f>LOOKUP(J178,'ETAT-PAY-PERM'!J:J,'ETAT-PAY-PERM'!S:S)</f>
        <v>0</v>
      </c>
      <c r="Q178" s="1095">
        <f t="shared" si="19"/>
        <v>0</v>
      </c>
      <c r="R178" s="1095" t="str">
        <f t="shared" si="20"/>
        <v/>
      </c>
    </row>
    <row r="179" spans="1:18" ht="18.75" thickBot="1">
      <c r="A179" s="1085">
        <f>'Base-D'!A179</f>
        <v>178</v>
      </c>
      <c r="B179" s="1085">
        <f>'Base-D'!AX179</f>
        <v>0</v>
      </c>
      <c r="C179" s="1085" t="e">
        <f>LOOKUP(A179,'Base-D'!A:A,'Base-D'!BP:BP)</f>
        <v>#N/A</v>
      </c>
      <c r="D179" s="1085">
        <f>'Base-D'!S179</f>
        <v>0</v>
      </c>
      <c r="E179" s="1086"/>
      <c r="F179" s="1087"/>
      <c r="G179" s="1087" t="e">
        <f>LOOKUP(A179,'ETAT-PAY-PERM'!A:A,'ETAT-PAY-PERM'!J:J)</f>
        <v>#N/A</v>
      </c>
      <c r="H179" s="1094" t="e">
        <f t="shared" si="17"/>
        <v>#N/A</v>
      </c>
      <c r="I179" s="1094" t="e">
        <f t="shared" si="18"/>
        <v>#N/A</v>
      </c>
      <c r="P179" s="688">
        <f>LOOKUP(J179,'ETAT-PAY-PERM'!J:J,'ETAT-PAY-PERM'!S:S)</f>
        <v>0</v>
      </c>
      <c r="Q179" s="1095">
        <f t="shared" si="19"/>
        <v>0</v>
      </c>
      <c r="R179" s="1095" t="str">
        <f t="shared" si="20"/>
        <v/>
      </c>
    </row>
    <row r="180" spans="1:18" ht="18.75" thickBot="1">
      <c r="A180" s="1085">
        <f>'Base-D'!A180</f>
        <v>179</v>
      </c>
      <c r="B180" s="1085">
        <f>'Base-D'!AX180</f>
        <v>0</v>
      </c>
      <c r="C180" s="1085" t="e">
        <f>LOOKUP(A180,'Base-D'!A:A,'Base-D'!BP:BP)</f>
        <v>#N/A</v>
      </c>
      <c r="D180" s="1085">
        <f>'Base-D'!S180</f>
        <v>0</v>
      </c>
      <c r="E180" s="1086"/>
      <c r="F180" s="1087"/>
      <c r="G180" s="1087" t="e">
        <f>LOOKUP(A180,'ETAT-PAY-PERM'!A:A,'ETAT-PAY-PERM'!J:J)</f>
        <v>#N/A</v>
      </c>
      <c r="H180" s="1094" t="e">
        <f t="shared" si="17"/>
        <v>#N/A</v>
      </c>
      <c r="I180" s="1094" t="e">
        <f t="shared" si="18"/>
        <v>#N/A</v>
      </c>
      <c r="P180" s="688">
        <f>LOOKUP(J180,'ETAT-PAY-PERM'!J:J,'ETAT-PAY-PERM'!S:S)</f>
        <v>0</v>
      </c>
      <c r="Q180" s="1095">
        <f t="shared" si="19"/>
        <v>0</v>
      </c>
      <c r="R180" s="1095" t="str">
        <f t="shared" si="20"/>
        <v/>
      </c>
    </row>
    <row r="181" spans="1:18" ht="18.75" thickBot="1">
      <c r="A181" s="1085">
        <f>'Base-D'!A181</f>
        <v>180</v>
      </c>
      <c r="B181" s="1085">
        <f>'Base-D'!AX181</f>
        <v>0</v>
      </c>
      <c r="C181" s="1085" t="e">
        <f>LOOKUP(A181,'Base-D'!A:A,'Base-D'!BP:BP)</f>
        <v>#N/A</v>
      </c>
      <c r="D181" s="1085">
        <f>'Base-D'!S181</f>
        <v>0</v>
      </c>
      <c r="E181" s="1086"/>
      <c r="F181" s="1087"/>
      <c r="G181" s="1087" t="e">
        <f>LOOKUP(A181,'ETAT-PAY-PERM'!A:A,'ETAT-PAY-PERM'!J:J)</f>
        <v>#N/A</v>
      </c>
      <c r="H181" s="1094" t="e">
        <f t="shared" si="17"/>
        <v>#N/A</v>
      </c>
      <c r="I181" s="1094" t="e">
        <f t="shared" si="18"/>
        <v>#N/A</v>
      </c>
      <c r="P181" s="688">
        <f>LOOKUP(J181,'ETAT-PAY-PERM'!J:J,'ETAT-PAY-PERM'!S:S)</f>
        <v>0</v>
      </c>
      <c r="Q181" s="1095">
        <f t="shared" si="19"/>
        <v>0</v>
      </c>
      <c r="R181" s="1095" t="str">
        <f t="shared" si="20"/>
        <v/>
      </c>
    </row>
    <row r="182" spans="1:18" ht="18.75" thickBot="1">
      <c r="A182" s="1085">
        <f>'Base-D'!A182</f>
        <v>181</v>
      </c>
      <c r="B182" s="1085">
        <f>'Base-D'!AX182</f>
        <v>0</v>
      </c>
      <c r="C182" s="1085" t="e">
        <f>LOOKUP(A182,'Base-D'!A:A,'Base-D'!BP:BP)</f>
        <v>#N/A</v>
      </c>
      <c r="D182" s="1085">
        <f>'Base-D'!S182</f>
        <v>0</v>
      </c>
      <c r="E182" s="1086"/>
      <c r="F182" s="1087"/>
      <c r="G182" s="1087" t="e">
        <f>LOOKUP(A182,'ETAT-PAY-PERM'!A:A,'ETAT-PAY-PERM'!J:J)</f>
        <v>#N/A</v>
      </c>
      <c r="H182" s="1094" t="e">
        <f t="shared" si="17"/>
        <v>#N/A</v>
      </c>
      <c r="I182" s="1094" t="e">
        <f t="shared" si="18"/>
        <v>#N/A</v>
      </c>
      <c r="P182" s="688">
        <f>LOOKUP(J182,'ETAT-PAY-PERM'!J:J,'ETAT-PAY-PERM'!S:S)</f>
        <v>0</v>
      </c>
      <c r="Q182" s="1095">
        <f t="shared" si="19"/>
        <v>0</v>
      </c>
      <c r="R182" s="1095" t="str">
        <f t="shared" si="20"/>
        <v/>
      </c>
    </row>
    <row r="183" spans="1:18" ht="18.75" thickBot="1">
      <c r="A183" s="1085">
        <f>'Base-D'!A183</f>
        <v>182</v>
      </c>
      <c r="B183" s="1085">
        <f>'Base-D'!AX183</f>
        <v>0</v>
      </c>
      <c r="C183" s="1085" t="e">
        <f>LOOKUP(A183,'Base-D'!A:A,'Base-D'!BP:BP)</f>
        <v>#N/A</v>
      </c>
      <c r="D183" s="1085">
        <f>'Base-D'!S183</f>
        <v>0</v>
      </c>
      <c r="E183" s="1086"/>
      <c r="F183" s="1087"/>
      <c r="G183" s="1087" t="e">
        <f>LOOKUP(A183,'ETAT-PAY-PERM'!A:A,'ETAT-PAY-PERM'!J:J)</f>
        <v>#N/A</v>
      </c>
      <c r="H183" s="1094" t="e">
        <f t="shared" si="17"/>
        <v>#N/A</v>
      </c>
      <c r="I183" s="1094" t="e">
        <f t="shared" si="18"/>
        <v>#N/A</v>
      </c>
      <c r="P183" s="688">
        <f>LOOKUP(J183,'ETAT-PAY-PERM'!J:J,'ETAT-PAY-PERM'!S:S)</f>
        <v>0</v>
      </c>
      <c r="Q183" s="1095">
        <f t="shared" si="19"/>
        <v>0</v>
      </c>
      <c r="R183" s="1095" t="str">
        <f t="shared" si="20"/>
        <v/>
      </c>
    </row>
    <row r="184" spans="1:18" ht="18.75" thickBot="1">
      <c r="A184" s="1085">
        <f>'Base-D'!A184</f>
        <v>183</v>
      </c>
      <c r="B184" s="1085">
        <f>'Base-D'!AX184</f>
        <v>0</v>
      </c>
      <c r="C184" s="1085" t="e">
        <f>LOOKUP(A184,'Base-D'!A:A,'Base-D'!BP:BP)</f>
        <v>#N/A</v>
      </c>
      <c r="D184" s="1085">
        <f>'Base-D'!S184</f>
        <v>0</v>
      </c>
      <c r="E184" s="1086"/>
      <c r="F184" s="1087"/>
      <c r="G184" s="1087" t="e">
        <f>LOOKUP(A184,'ETAT-PAY-PERM'!A:A,'ETAT-PAY-PERM'!J:J)</f>
        <v>#N/A</v>
      </c>
      <c r="H184" s="1094" t="e">
        <f t="shared" si="17"/>
        <v>#N/A</v>
      </c>
      <c r="I184" s="1094" t="e">
        <f t="shared" si="18"/>
        <v>#N/A</v>
      </c>
      <c r="P184" s="688">
        <f>LOOKUP(J184,'ETAT-PAY-PERM'!J:J,'ETAT-PAY-PERM'!S:S)</f>
        <v>0</v>
      </c>
      <c r="Q184" s="1095">
        <f t="shared" si="19"/>
        <v>0</v>
      </c>
      <c r="R184" s="1095" t="str">
        <f t="shared" si="20"/>
        <v/>
      </c>
    </row>
    <row r="185" spans="1:18" ht="18.75" thickBot="1">
      <c r="A185" s="1085">
        <f>'Base-D'!A185</f>
        <v>184</v>
      </c>
      <c r="B185" s="1085">
        <f>'Base-D'!AX185</f>
        <v>0</v>
      </c>
      <c r="C185" s="1085" t="e">
        <f>LOOKUP(A185,'Base-D'!A:A,'Base-D'!BP:BP)</f>
        <v>#N/A</v>
      </c>
      <c r="D185" s="1085">
        <f>'Base-D'!S185</f>
        <v>0</v>
      </c>
      <c r="E185" s="1086"/>
      <c r="F185" s="1087"/>
      <c r="G185" s="1087" t="e">
        <f>LOOKUP(A185,'ETAT-PAY-PERM'!A:A,'ETAT-PAY-PERM'!J:J)</f>
        <v>#N/A</v>
      </c>
      <c r="H185" s="1094" t="e">
        <f t="shared" si="17"/>
        <v>#N/A</v>
      </c>
      <c r="I185" s="1094" t="e">
        <f t="shared" si="18"/>
        <v>#N/A</v>
      </c>
      <c r="P185" s="688">
        <f>LOOKUP(J185,'ETAT-PAY-PERM'!J:J,'ETAT-PAY-PERM'!S:S)</f>
        <v>0</v>
      </c>
      <c r="Q185" s="1095">
        <f t="shared" si="19"/>
        <v>0</v>
      </c>
      <c r="R185" s="1095" t="str">
        <f t="shared" si="20"/>
        <v/>
      </c>
    </row>
    <row r="186" spans="1:18" ht="18.75" thickBot="1">
      <c r="A186" s="1085">
        <f>'Base-D'!A186</f>
        <v>185</v>
      </c>
      <c r="B186" s="1085">
        <f>'Base-D'!AX186</f>
        <v>0</v>
      </c>
      <c r="C186" s="1085" t="e">
        <f>LOOKUP(A186,'Base-D'!A:A,'Base-D'!BP:BP)</f>
        <v>#N/A</v>
      </c>
      <c r="D186" s="1085">
        <f>'Base-D'!S186</f>
        <v>0</v>
      </c>
      <c r="E186" s="1086"/>
      <c r="F186" s="1087"/>
      <c r="G186" s="1087" t="e">
        <f>LOOKUP(A186,'ETAT-PAY-PERM'!A:A,'ETAT-PAY-PERM'!J:J)</f>
        <v>#N/A</v>
      </c>
      <c r="H186" s="1094" t="e">
        <f t="shared" si="17"/>
        <v>#N/A</v>
      </c>
      <c r="I186" s="1094" t="e">
        <f t="shared" si="18"/>
        <v>#N/A</v>
      </c>
      <c r="P186" s="688">
        <f>LOOKUP(J186,'ETAT-PAY-PERM'!J:J,'ETAT-PAY-PERM'!S:S)</f>
        <v>0</v>
      </c>
      <c r="Q186" s="1095">
        <f t="shared" si="19"/>
        <v>0</v>
      </c>
      <c r="R186" s="1095" t="str">
        <f t="shared" si="20"/>
        <v/>
      </c>
    </row>
    <row r="187" spans="1:18" ht="18.75" thickBot="1">
      <c r="A187" s="1085">
        <f>'Base-D'!A187</f>
        <v>186</v>
      </c>
      <c r="B187" s="1085">
        <f>'Base-D'!AX187</f>
        <v>0</v>
      </c>
      <c r="C187" s="1085" t="e">
        <f>LOOKUP(A187,'Base-D'!A:A,'Base-D'!BP:BP)</f>
        <v>#N/A</v>
      </c>
      <c r="D187" s="1085">
        <f>'Base-D'!S187</f>
        <v>0</v>
      </c>
      <c r="E187" s="1086"/>
      <c r="F187" s="1087"/>
      <c r="G187" s="1087" t="e">
        <f>LOOKUP(A187,'ETAT-PAY-PERM'!A:A,'ETAT-PAY-PERM'!J:J)</f>
        <v>#N/A</v>
      </c>
      <c r="H187" s="1094" t="e">
        <f t="shared" si="17"/>
        <v>#N/A</v>
      </c>
      <c r="I187" s="1094" t="e">
        <f t="shared" si="18"/>
        <v>#N/A</v>
      </c>
      <c r="P187" s="688">
        <f>LOOKUP(J187,'ETAT-PAY-PERM'!J:J,'ETAT-PAY-PERM'!S:S)</f>
        <v>0</v>
      </c>
      <c r="Q187" s="1095">
        <f t="shared" si="19"/>
        <v>0</v>
      </c>
      <c r="R187" s="1095" t="str">
        <f t="shared" si="20"/>
        <v/>
      </c>
    </row>
    <row r="188" spans="1:18" ht="18.75" thickBot="1">
      <c r="A188" s="1085">
        <f>'Base-D'!A188</f>
        <v>187</v>
      </c>
      <c r="B188" s="1085">
        <f>'Base-D'!AX188</f>
        <v>0</v>
      </c>
      <c r="C188" s="1085" t="e">
        <f>LOOKUP(A188,'Base-D'!A:A,'Base-D'!BP:BP)</f>
        <v>#N/A</v>
      </c>
      <c r="D188" s="1085">
        <f>'Base-D'!S188</f>
        <v>0</v>
      </c>
      <c r="E188" s="1086"/>
      <c r="F188" s="1087"/>
      <c r="G188" s="1087" t="e">
        <f>LOOKUP(A188,'ETAT-PAY-PERM'!A:A,'ETAT-PAY-PERM'!J:J)</f>
        <v>#N/A</v>
      </c>
      <c r="H188" s="1094" t="e">
        <f t="shared" si="17"/>
        <v>#N/A</v>
      </c>
      <c r="I188" s="1094" t="e">
        <f t="shared" si="18"/>
        <v>#N/A</v>
      </c>
      <c r="P188" s="688">
        <f>LOOKUP(J188,'ETAT-PAY-PERM'!J:J,'ETAT-PAY-PERM'!S:S)</f>
        <v>0</v>
      </c>
      <c r="Q188" s="1095">
        <f t="shared" si="19"/>
        <v>0</v>
      </c>
      <c r="R188" s="1095" t="str">
        <f t="shared" si="20"/>
        <v/>
      </c>
    </row>
    <row r="189" spans="1:18" ht="18.75" thickBot="1">
      <c r="A189" s="1085">
        <f>'Base-D'!A189</f>
        <v>188</v>
      </c>
      <c r="B189" s="1085">
        <f>'Base-D'!AX189</f>
        <v>0</v>
      </c>
      <c r="C189" s="1085" t="e">
        <f>LOOKUP(A189,'Base-D'!A:A,'Base-D'!BP:BP)</f>
        <v>#N/A</v>
      </c>
      <c r="D189" s="1085">
        <f>'Base-D'!S189</f>
        <v>0</v>
      </c>
      <c r="E189" s="1086"/>
      <c r="F189" s="1087"/>
      <c r="G189" s="1087" t="e">
        <f>LOOKUP(A189,'ETAT-PAY-PERM'!A:A,'ETAT-PAY-PERM'!J:J)</f>
        <v>#N/A</v>
      </c>
      <c r="H189" s="1094" t="e">
        <f t="shared" si="17"/>
        <v>#N/A</v>
      </c>
      <c r="I189" s="1094" t="e">
        <f t="shared" si="18"/>
        <v>#N/A</v>
      </c>
      <c r="P189" s="688">
        <f>LOOKUP(J189,'ETAT-PAY-PERM'!J:J,'ETAT-PAY-PERM'!S:S)</f>
        <v>0</v>
      </c>
      <c r="Q189" s="1095">
        <f t="shared" si="19"/>
        <v>0</v>
      </c>
      <c r="R189" s="1095" t="str">
        <f t="shared" si="20"/>
        <v/>
      </c>
    </row>
    <row r="190" spans="1:18" ht="18.75" thickBot="1">
      <c r="A190" s="1085">
        <f>'Base-D'!A190</f>
        <v>189</v>
      </c>
      <c r="B190" s="1085">
        <f>'Base-D'!AX190</f>
        <v>0</v>
      </c>
      <c r="C190" s="1085" t="e">
        <f>LOOKUP(A190,'Base-D'!A:A,'Base-D'!BP:BP)</f>
        <v>#N/A</v>
      </c>
      <c r="D190" s="1085">
        <f>'Base-D'!S190</f>
        <v>0</v>
      </c>
      <c r="E190" s="1086"/>
      <c r="F190" s="1087"/>
      <c r="G190" s="1087" t="e">
        <f>LOOKUP(A190,'ETAT-PAY-PERM'!A:A,'ETAT-PAY-PERM'!J:J)</f>
        <v>#N/A</v>
      </c>
      <c r="H190" s="1094" t="e">
        <f t="shared" si="17"/>
        <v>#N/A</v>
      </c>
      <c r="I190" s="1094" t="e">
        <f t="shared" si="18"/>
        <v>#N/A</v>
      </c>
      <c r="P190" s="688">
        <f>LOOKUP(J190,'ETAT-PAY-PERM'!J:J,'ETAT-PAY-PERM'!S:S)</f>
        <v>0</v>
      </c>
      <c r="Q190" s="1095">
        <f t="shared" si="19"/>
        <v>0</v>
      </c>
      <c r="R190" s="1095" t="str">
        <f t="shared" si="20"/>
        <v/>
      </c>
    </row>
    <row r="191" spans="1:18" ht="18.75" thickBot="1">
      <c r="A191" s="1085">
        <f>'Base-D'!A191</f>
        <v>190</v>
      </c>
      <c r="B191" s="1085">
        <f>'Base-D'!AX191</f>
        <v>0</v>
      </c>
      <c r="C191" s="1085" t="e">
        <f>LOOKUP(A191,'Base-D'!A:A,'Base-D'!BP:BP)</f>
        <v>#N/A</v>
      </c>
      <c r="D191" s="1085">
        <f>'Base-D'!S191</f>
        <v>0</v>
      </c>
      <c r="E191" s="1086"/>
      <c r="F191" s="1087"/>
      <c r="G191" s="1087" t="e">
        <f>LOOKUP(A191,'ETAT-PAY-PERM'!A:A,'ETAT-PAY-PERM'!J:J)</f>
        <v>#N/A</v>
      </c>
      <c r="H191" s="1094" t="e">
        <f t="shared" si="17"/>
        <v>#N/A</v>
      </c>
      <c r="I191" s="1094" t="e">
        <f t="shared" si="18"/>
        <v>#N/A</v>
      </c>
      <c r="P191" s="688">
        <f>LOOKUP(J191,'ETAT-PAY-PERM'!J:J,'ETAT-PAY-PERM'!S:S)</f>
        <v>0</v>
      </c>
      <c r="Q191" s="1095">
        <f t="shared" si="19"/>
        <v>0</v>
      </c>
      <c r="R191" s="1095" t="str">
        <f t="shared" si="20"/>
        <v/>
      </c>
    </row>
    <row r="192" spans="1:18" ht="18.75" thickBot="1">
      <c r="A192" s="1085">
        <f>'Base-D'!A192</f>
        <v>191</v>
      </c>
      <c r="B192" s="1085">
        <f>'Base-D'!AX192</f>
        <v>0</v>
      </c>
      <c r="C192" s="1085" t="e">
        <f>LOOKUP(A192,'Base-D'!A:A,'Base-D'!BP:BP)</f>
        <v>#N/A</v>
      </c>
      <c r="D192" s="1085">
        <f>'Base-D'!S192</f>
        <v>0</v>
      </c>
      <c r="E192" s="1086"/>
      <c r="F192" s="1087"/>
      <c r="G192" s="1087" t="e">
        <f>LOOKUP(A192,'ETAT-PAY-PERM'!A:A,'ETAT-PAY-PERM'!J:J)</f>
        <v>#N/A</v>
      </c>
      <c r="H192" s="1094" t="e">
        <f t="shared" si="17"/>
        <v>#N/A</v>
      </c>
      <c r="I192" s="1094" t="e">
        <f t="shared" si="18"/>
        <v>#N/A</v>
      </c>
      <c r="P192" s="688">
        <f>LOOKUP(J192,'ETAT-PAY-PERM'!J:J,'ETAT-PAY-PERM'!S:S)</f>
        <v>0</v>
      </c>
      <c r="Q192" s="1095">
        <f t="shared" si="19"/>
        <v>0</v>
      </c>
      <c r="R192" s="1095" t="str">
        <f t="shared" si="20"/>
        <v/>
      </c>
    </row>
    <row r="193" spans="1:18" ht="18.75" thickBot="1">
      <c r="A193" s="1085">
        <f>'Base-D'!A193</f>
        <v>192</v>
      </c>
      <c r="B193" s="1085">
        <f>'Base-D'!AX193</f>
        <v>0</v>
      </c>
      <c r="C193" s="1085" t="e">
        <f>LOOKUP(A193,'Base-D'!A:A,'Base-D'!BP:BP)</f>
        <v>#N/A</v>
      </c>
      <c r="D193" s="1085">
        <f>'Base-D'!S193</f>
        <v>0</v>
      </c>
      <c r="E193" s="1086"/>
      <c r="F193" s="1087"/>
      <c r="G193" s="1087" t="e">
        <f>LOOKUP(A193,'ETAT-PAY-PERM'!A:A,'ETAT-PAY-PERM'!J:J)</f>
        <v>#N/A</v>
      </c>
      <c r="H193" s="1094" t="e">
        <f t="shared" si="17"/>
        <v>#N/A</v>
      </c>
      <c r="I193" s="1094" t="e">
        <f t="shared" si="18"/>
        <v>#N/A</v>
      </c>
      <c r="P193" s="688">
        <f>LOOKUP(J193,'ETAT-PAY-PERM'!J:J,'ETAT-PAY-PERM'!S:S)</f>
        <v>0</v>
      </c>
      <c r="Q193" s="1095">
        <f t="shared" si="19"/>
        <v>0</v>
      </c>
      <c r="R193" s="1095" t="str">
        <f t="shared" si="20"/>
        <v/>
      </c>
    </row>
    <row r="194" spans="1:18" ht="18.75" thickBot="1">
      <c r="A194" s="1085">
        <f>'Base-D'!A194</f>
        <v>193</v>
      </c>
      <c r="B194" s="1085">
        <f>'Base-D'!AX194</f>
        <v>0</v>
      </c>
      <c r="C194" s="1085" t="e">
        <f>LOOKUP(A194,'Base-D'!A:A,'Base-D'!BP:BP)</f>
        <v>#N/A</v>
      </c>
      <c r="D194" s="1085">
        <f>'Base-D'!S194</f>
        <v>0</v>
      </c>
      <c r="E194" s="1086"/>
      <c r="F194" s="1087"/>
      <c r="G194" s="1087" t="e">
        <f>LOOKUP(A194,'ETAT-PAY-PERM'!A:A,'ETAT-PAY-PERM'!J:J)</f>
        <v>#N/A</v>
      </c>
      <c r="H194" s="1094" t="e">
        <f t="shared" si="17"/>
        <v>#N/A</v>
      </c>
      <c r="I194" s="1094" t="e">
        <f t="shared" si="18"/>
        <v>#N/A</v>
      </c>
      <c r="P194" s="688">
        <f>LOOKUP(J194,'ETAT-PAY-PERM'!J:J,'ETAT-PAY-PERM'!S:S)</f>
        <v>0</v>
      </c>
      <c r="Q194" s="1095">
        <f t="shared" si="19"/>
        <v>0</v>
      </c>
      <c r="R194" s="1095" t="str">
        <f t="shared" si="20"/>
        <v/>
      </c>
    </row>
    <row r="195" spans="1:18" ht="18.75" thickBot="1">
      <c r="A195" s="1085">
        <f>'Base-D'!A195</f>
        <v>194</v>
      </c>
      <c r="B195" s="1085">
        <f>'Base-D'!AX195</f>
        <v>0</v>
      </c>
      <c r="C195" s="1085" t="e">
        <f>LOOKUP(A195,'Base-D'!A:A,'Base-D'!BP:BP)</f>
        <v>#N/A</v>
      </c>
      <c r="D195" s="1085">
        <f>'Base-D'!S195</f>
        <v>0</v>
      </c>
      <c r="E195" s="1086"/>
      <c r="F195" s="1087"/>
      <c r="G195" s="1087" t="e">
        <f>LOOKUP(A195,'ETAT-PAY-PERM'!A:A,'ETAT-PAY-PERM'!J:J)</f>
        <v>#N/A</v>
      </c>
      <c r="H195" s="1094" t="e">
        <f t="shared" ref="H195:H258" si="21">IF(G195&gt;1,1,0)</f>
        <v>#N/A</v>
      </c>
      <c r="I195" s="1094" t="e">
        <f t="shared" ref="I195:I258" si="22">IF(H195=0,"",A195)</f>
        <v>#N/A</v>
      </c>
      <c r="P195" s="688">
        <f>LOOKUP(J195,'ETAT-PAY-PERM'!J:J,'ETAT-PAY-PERM'!S:S)</f>
        <v>0</v>
      </c>
      <c r="Q195" s="1095">
        <f t="shared" ref="Q195:Q258" si="23">IF(P195&gt;1,1,0)</f>
        <v>0</v>
      </c>
      <c r="R195" s="1095" t="str">
        <f t="shared" ref="R195:R258" si="24">IF(Q195=0,"",J195)</f>
        <v/>
      </c>
    </row>
    <row r="196" spans="1:18" ht="18.75" thickBot="1">
      <c r="A196" s="1085">
        <f>'Base-D'!A196</f>
        <v>195</v>
      </c>
      <c r="B196" s="1085">
        <f>'Base-D'!AX196</f>
        <v>0</v>
      </c>
      <c r="C196" s="1085" t="e">
        <f>LOOKUP(A196,'Base-D'!A:A,'Base-D'!BP:BP)</f>
        <v>#N/A</v>
      </c>
      <c r="D196" s="1085">
        <f>'Base-D'!S196</f>
        <v>0</v>
      </c>
      <c r="E196" s="1086"/>
      <c r="F196" s="1087"/>
      <c r="G196" s="1087" t="e">
        <f>LOOKUP(A196,'ETAT-PAY-PERM'!A:A,'ETAT-PAY-PERM'!J:J)</f>
        <v>#N/A</v>
      </c>
      <c r="H196" s="1094" t="e">
        <f t="shared" si="21"/>
        <v>#N/A</v>
      </c>
      <c r="I196" s="1094" t="e">
        <f t="shared" si="22"/>
        <v>#N/A</v>
      </c>
      <c r="P196" s="688">
        <f>LOOKUP(J196,'ETAT-PAY-PERM'!J:J,'ETAT-PAY-PERM'!S:S)</f>
        <v>0</v>
      </c>
      <c r="Q196" s="1095">
        <f t="shared" si="23"/>
        <v>0</v>
      </c>
      <c r="R196" s="1095" t="str">
        <f t="shared" si="24"/>
        <v/>
      </c>
    </row>
    <row r="197" spans="1:18" ht="18.75" thickBot="1">
      <c r="A197" s="1085">
        <f>'Base-D'!A197</f>
        <v>196</v>
      </c>
      <c r="B197" s="1085">
        <f>'Base-D'!AX197</f>
        <v>0</v>
      </c>
      <c r="C197" s="1085" t="e">
        <f>LOOKUP(A197,'Base-D'!A:A,'Base-D'!BP:BP)</f>
        <v>#N/A</v>
      </c>
      <c r="D197" s="1085">
        <f>'Base-D'!S197</f>
        <v>0</v>
      </c>
      <c r="E197" s="1086"/>
      <c r="F197" s="1087"/>
      <c r="G197" s="1087" t="e">
        <f>LOOKUP(A197,'ETAT-PAY-PERM'!A:A,'ETAT-PAY-PERM'!J:J)</f>
        <v>#N/A</v>
      </c>
      <c r="H197" s="1094" t="e">
        <f t="shared" si="21"/>
        <v>#N/A</v>
      </c>
      <c r="I197" s="1094" t="e">
        <f t="shared" si="22"/>
        <v>#N/A</v>
      </c>
      <c r="P197" s="688">
        <f>LOOKUP(J197,'ETAT-PAY-PERM'!J:J,'ETAT-PAY-PERM'!S:S)</f>
        <v>0</v>
      </c>
      <c r="Q197" s="1095">
        <f t="shared" si="23"/>
        <v>0</v>
      </c>
      <c r="R197" s="1095" t="str">
        <f t="shared" si="24"/>
        <v/>
      </c>
    </row>
    <row r="198" spans="1:18" ht="18.75" thickBot="1">
      <c r="A198" s="1085">
        <f>'Base-D'!A198</f>
        <v>197</v>
      </c>
      <c r="B198" s="1085">
        <f>'Base-D'!AX198</f>
        <v>0</v>
      </c>
      <c r="C198" s="1085" t="e">
        <f>LOOKUP(A198,'Base-D'!A:A,'Base-D'!BP:BP)</f>
        <v>#N/A</v>
      </c>
      <c r="D198" s="1085">
        <f>'Base-D'!S198</f>
        <v>0</v>
      </c>
      <c r="E198" s="1086"/>
      <c r="F198" s="1087"/>
      <c r="G198" s="1087" t="e">
        <f>LOOKUP(A198,'ETAT-PAY-PERM'!A:A,'ETAT-PAY-PERM'!J:J)</f>
        <v>#N/A</v>
      </c>
      <c r="H198" s="1094" t="e">
        <f t="shared" si="21"/>
        <v>#N/A</v>
      </c>
      <c r="I198" s="1094" t="e">
        <f t="shared" si="22"/>
        <v>#N/A</v>
      </c>
      <c r="P198" s="688">
        <f>LOOKUP(J198,'ETAT-PAY-PERM'!J:J,'ETAT-PAY-PERM'!S:S)</f>
        <v>0</v>
      </c>
      <c r="Q198" s="1095">
        <f t="shared" si="23"/>
        <v>0</v>
      </c>
      <c r="R198" s="1095" t="str">
        <f t="shared" si="24"/>
        <v/>
      </c>
    </row>
    <row r="199" spans="1:18" ht="18.75" thickBot="1">
      <c r="A199" s="1085">
        <f>'Base-D'!A199</f>
        <v>198</v>
      </c>
      <c r="B199" s="1085">
        <f>'Base-D'!AX199</f>
        <v>0</v>
      </c>
      <c r="C199" s="1085" t="e">
        <f>LOOKUP(A199,'Base-D'!A:A,'Base-D'!BP:BP)</f>
        <v>#N/A</v>
      </c>
      <c r="D199" s="1085">
        <f>'Base-D'!S199</f>
        <v>0</v>
      </c>
      <c r="E199" s="1086"/>
      <c r="F199" s="1087"/>
      <c r="G199" s="1087" t="e">
        <f>LOOKUP(A199,'ETAT-PAY-PERM'!A:A,'ETAT-PAY-PERM'!J:J)</f>
        <v>#N/A</v>
      </c>
      <c r="H199" s="1094" t="e">
        <f t="shared" si="21"/>
        <v>#N/A</v>
      </c>
      <c r="I199" s="1094" t="e">
        <f t="shared" si="22"/>
        <v>#N/A</v>
      </c>
      <c r="P199" s="688">
        <f>LOOKUP(J199,'ETAT-PAY-PERM'!J:J,'ETAT-PAY-PERM'!S:S)</f>
        <v>0</v>
      </c>
      <c r="Q199" s="1095">
        <f t="shared" si="23"/>
        <v>0</v>
      </c>
      <c r="R199" s="1095" t="str">
        <f t="shared" si="24"/>
        <v/>
      </c>
    </row>
    <row r="200" spans="1:18" ht="18.75" thickBot="1">
      <c r="A200" s="1085">
        <f>'Base-D'!A200</f>
        <v>199</v>
      </c>
      <c r="B200" s="1085">
        <f>'Base-D'!AX200</f>
        <v>0</v>
      </c>
      <c r="C200" s="1085" t="e">
        <f>LOOKUP(A200,'Base-D'!A:A,'Base-D'!BP:BP)</f>
        <v>#N/A</v>
      </c>
      <c r="D200" s="1085">
        <f>'Base-D'!S200</f>
        <v>0</v>
      </c>
      <c r="E200" s="1086"/>
      <c r="F200" s="1087"/>
      <c r="G200" s="1087" t="e">
        <f>LOOKUP(A200,'ETAT-PAY-PERM'!A:A,'ETAT-PAY-PERM'!J:J)</f>
        <v>#N/A</v>
      </c>
      <c r="H200" s="1094" t="e">
        <f t="shared" si="21"/>
        <v>#N/A</v>
      </c>
      <c r="I200" s="1094" t="e">
        <f t="shared" si="22"/>
        <v>#N/A</v>
      </c>
      <c r="P200" s="688">
        <f>LOOKUP(J200,'ETAT-PAY-PERM'!J:J,'ETAT-PAY-PERM'!S:S)</f>
        <v>0</v>
      </c>
      <c r="Q200" s="1095">
        <f t="shared" si="23"/>
        <v>0</v>
      </c>
      <c r="R200" s="1095" t="str">
        <f t="shared" si="24"/>
        <v/>
      </c>
    </row>
    <row r="201" spans="1:18" ht="18.75" thickBot="1">
      <c r="A201" s="1085">
        <f>'Base-D'!A201</f>
        <v>200</v>
      </c>
      <c r="B201" s="1085">
        <f>'Base-D'!AX201</f>
        <v>0</v>
      </c>
      <c r="C201" s="1085" t="e">
        <f>LOOKUP(A201,'Base-D'!A:A,'Base-D'!BP:BP)</f>
        <v>#N/A</v>
      </c>
      <c r="D201" s="1085">
        <f>'Base-D'!S201</f>
        <v>0</v>
      </c>
      <c r="E201" s="1086"/>
      <c r="F201" s="1087"/>
      <c r="G201" s="1087" t="e">
        <f>LOOKUP(A201,'ETAT-PAY-PERM'!A:A,'ETAT-PAY-PERM'!J:J)</f>
        <v>#N/A</v>
      </c>
      <c r="H201" s="1094" t="e">
        <f t="shared" si="21"/>
        <v>#N/A</v>
      </c>
      <c r="I201" s="1094" t="e">
        <f t="shared" si="22"/>
        <v>#N/A</v>
      </c>
      <c r="P201" s="688">
        <f>LOOKUP(J201,'ETAT-PAY-PERM'!J:J,'ETAT-PAY-PERM'!S:S)</f>
        <v>0</v>
      </c>
      <c r="Q201" s="1095">
        <f t="shared" si="23"/>
        <v>0</v>
      </c>
      <c r="R201" s="1095" t="str">
        <f t="shared" si="24"/>
        <v/>
      </c>
    </row>
    <row r="202" spans="1:18" ht="18.75" thickBot="1">
      <c r="A202" s="1085">
        <f>'Base-D'!A202</f>
        <v>201</v>
      </c>
      <c r="B202" s="1085">
        <f>'Base-D'!AX202</f>
        <v>0</v>
      </c>
      <c r="C202" s="1085" t="e">
        <f>LOOKUP(A202,'Base-D'!A:A,'Base-D'!BP:BP)</f>
        <v>#N/A</v>
      </c>
      <c r="D202" s="1085">
        <f>'Base-D'!S202</f>
        <v>0</v>
      </c>
      <c r="E202" s="1086"/>
      <c r="F202" s="1087"/>
      <c r="G202" s="1087" t="e">
        <f>LOOKUP(A202,'ETAT-PAY-PERM'!A:A,'ETAT-PAY-PERM'!J:J)</f>
        <v>#N/A</v>
      </c>
      <c r="H202" s="1094" t="e">
        <f t="shared" si="21"/>
        <v>#N/A</v>
      </c>
      <c r="I202" s="1094" t="e">
        <f t="shared" si="22"/>
        <v>#N/A</v>
      </c>
      <c r="P202" s="688">
        <f>LOOKUP(J202,'ETAT-PAY-PERM'!J:J,'ETAT-PAY-PERM'!S:S)</f>
        <v>0</v>
      </c>
      <c r="Q202" s="1095">
        <f t="shared" si="23"/>
        <v>0</v>
      </c>
      <c r="R202" s="1095" t="str">
        <f t="shared" si="24"/>
        <v/>
      </c>
    </row>
    <row r="203" spans="1:18" ht="18.75" thickBot="1">
      <c r="A203" s="1085">
        <f>'Base-D'!A203</f>
        <v>202</v>
      </c>
      <c r="B203" s="1085">
        <f>'Base-D'!AX203</f>
        <v>0</v>
      </c>
      <c r="C203" s="1085" t="e">
        <f>LOOKUP(A203,'Base-D'!A:A,'Base-D'!BP:BP)</f>
        <v>#N/A</v>
      </c>
      <c r="D203" s="1085">
        <f>'Base-D'!S203</f>
        <v>0</v>
      </c>
      <c r="E203" s="1086"/>
      <c r="F203" s="1087"/>
      <c r="G203" s="1087" t="e">
        <f>LOOKUP(A203,'ETAT-PAY-PERM'!A:A,'ETAT-PAY-PERM'!J:J)</f>
        <v>#N/A</v>
      </c>
      <c r="H203" s="1094" t="e">
        <f t="shared" si="21"/>
        <v>#N/A</v>
      </c>
      <c r="I203" s="1094" t="e">
        <f t="shared" si="22"/>
        <v>#N/A</v>
      </c>
      <c r="P203" s="688">
        <f>LOOKUP(J203,'ETAT-PAY-PERM'!J:J,'ETAT-PAY-PERM'!S:S)</f>
        <v>0</v>
      </c>
      <c r="Q203" s="1095">
        <f t="shared" si="23"/>
        <v>0</v>
      </c>
      <c r="R203" s="1095" t="str">
        <f t="shared" si="24"/>
        <v/>
      </c>
    </row>
    <row r="204" spans="1:18" ht="18.75" thickBot="1">
      <c r="A204" s="1085">
        <f>'Base-D'!A204</f>
        <v>203</v>
      </c>
      <c r="B204" s="1085">
        <f>'Base-D'!AX204</f>
        <v>0</v>
      </c>
      <c r="C204" s="1085" t="e">
        <f>LOOKUP(A204,'Base-D'!A:A,'Base-D'!BP:BP)</f>
        <v>#N/A</v>
      </c>
      <c r="D204" s="1085">
        <f>'Base-D'!S204</f>
        <v>0</v>
      </c>
      <c r="E204" s="1086"/>
      <c r="F204" s="1087"/>
      <c r="G204" s="1087" t="e">
        <f>LOOKUP(A204,'ETAT-PAY-PERM'!A:A,'ETAT-PAY-PERM'!J:J)</f>
        <v>#N/A</v>
      </c>
      <c r="H204" s="1094" t="e">
        <f t="shared" si="21"/>
        <v>#N/A</v>
      </c>
      <c r="I204" s="1094" t="e">
        <f t="shared" si="22"/>
        <v>#N/A</v>
      </c>
      <c r="P204" s="688">
        <f>LOOKUP(J204,'ETAT-PAY-PERM'!J:J,'ETAT-PAY-PERM'!S:S)</f>
        <v>0</v>
      </c>
      <c r="Q204" s="1095">
        <f t="shared" si="23"/>
        <v>0</v>
      </c>
      <c r="R204" s="1095" t="str">
        <f t="shared" si="24"/>
        <v/>
      </c>
    </row>
    <row r="205" spans="1:18" ht="18.75" thickBot="1">
      <c r="A205" s="1085">
        <f>'Base-D'!A205</f>
        <v>204</v>
      </c>
      <c r="B205" s="1085">
        <f>'Base-D'!AX205</f>
        <v>0</v>
      </c>
      <c r="C205" s="1085" t="e">
        <f>LOOKUP(A205,'Base-D'!A:A,'Base-D'!BP:BP)</f>
        <v>#N/A</v>
      </c>
      <c r="D205" s="1085">
        <f>'Base-D'!S205</f>
        <v>0</v>
      </c>
      <c r="E205" s="1086"/>
      <c r="F205" s="1087"/>
      <c r="G205" s="1087" t="e">
        <f>LOOKUP(A205,'ETAT-PAY-PERM'!A:A,'ETAT-PAY-PERM'!J:J)</f>
        <v>#N/A</v>
      </c>
      <c r="H205" s="1094" t="e">
        <f t="shared" si="21"/>
        <v>#N/A</v>
      </c>
      <c r="I205" s="1094" t="e">
        <f t="shared" si="22"/>
        <v>#N/A</v>
      </c>
      <c r="P205" s="688">
        <f>LOOKUP(J205,'ETAT-PAY-PERM'!J:J,'ETAT-PAY-PERM'!S:S)</f>
        <v>0</v>
      </c>
      <c r="Q205" s="1095">
        <f t="shared" si="23"/>
        <v>0</v>
      </c>
      <c r="R205" s="1095" t="str">
        <f t="shared" si="24"/>
        <v/>
      </c>
    </row>
    <row r="206" spans="1:18" ht="18.75" thickBot="1">
      <c r="A206" s="1085">
        <f>'Base-D'!A206</f>
        <v>205</v>
      </c>
      <c r="B206" s="1085">
        <f>'Base-D'!AX206</f>
        <v>0</v>
      </c>
      <c r="C206" s="1085" t="e">
        <f>LOOKUP(A206,'Base-D'!A:A,'Base-D'!BP:BP)</f>
        <v>#N/A</v>
      </c>
      <c r="D206" s="1085">
        <f>'Base-D'!S206</f>
        <v>0</v>
      </c>
      <c r="E206" s="1086"/>
      <c r="F206" s="1087"/>
      <c r="G206" s="1087" t="e">
        <f>LOOKUP(A206,'ETAT-PAY-PERM'!A:A,'ETAT-PAY-PERM'!J:J)</f>
        <v>#N/A</v>
      </c>
      <c r="H206" s="1094" t="e">
        <f t="shared" si="21"/>
        <v>#N/A</v>
      </c>
      <c r="I206" s="1094" t="e">
        <f t="shared" si="22"/>
        <v>#N/A</v>
      </c>
      <c r="P206" s="688">
        <f>LOOKUP(J206,'ETAT-PAY-PERM'!J:J,'ETAT-PAY-PERM'!S:S)</f>
        <v>0</v>
      </c>
      <c r="Q206" s="1095">
        <f t="shared" si="23"/>
        <v>0</v>
      </c>
      <c r="R206" s="1095" t="str">
        <f t="shared" si="24"/>
        <v/>
      </c>
    </row>
    <row r="207" spans="1:18" ht="18.75" thickBot="1">
      <c r="A207" s="1085">
        <f>'Base-D'!A207</f>
        <v>206</v>
      </c>
      <c r="B207" s="1085">
        <f>'Base-D'!AX207</f>
        <v>0</v>
      </c>
      <c r="C207" s="1085" t="e">
        <f>LOOKUP(A207,'Base-D'!A:A,'Base-D'!BP:BP)</f>
        <v>#N/A</v>
      </c>
      <c r="D207" s="1085">
        <f>'Base-D'!S207</f>
        <v>0</v>
      </c>
      <c r="E207" s="1086"/>
      <c r="F207" s="1087"/>
      <c r="G207" s="1087" t="e">
        <f>LOOKUP(A207,'ETAT-PAY-PERM'!A:A,'ETAT-PAY-PERM'!J:J)</f>
        <v>#N/A</v>
      </c>
      <c r="H207" s="1094" t="e">
        <f t="shared" si="21"/>
        <v>#N/A</v>
      </c>
      <c r="I207" s="1094" t="e">
        <f t="shared" si="22"/>
        <v>#N/A</v>
      </c>
      <c r="P207" s="688">
        <f>LOOKUP(J207,'ETAT-PAY-PERM'!J:J,'ETAT-PAY-PERM'!S:S)</f>
        <v>0</v>
      </c>
      <c r="Q207" s="1095">
        <f t="shared" si="23"/>
        <v>0</v>
      </c>
      <c r="R207" s="1095" t="str">
        <f t="shared" si="24"/>
        <v/>
      </c>
    </row>
    <row r="208" spans="1:18" ht="18.75" thickBot="1">
      <c r="A208" s="1085">
        <f>'Base-D'!A208</f>
        <v>207</v>
      </c>
      <c r="B208" s="1085">
        <f>'Base-D'!AX208</f>
        <v>0</v>
      </c>
      <c r="C208" s="1085" t="e">
        <f>LOOKUP(A208,'Base-D'!A:A,'Base-D'!BP:BP)</f>
        <v>#N/A</v>
      </c>
      <c r="D208" s="1085">
        <f>'Base-D'!S208</f>
        <v>0</v>
      </c>
      <c r="E208" s="1086"/>
      <c r="F208" s="1087"/>
      <c r="G208" s="1087" t="e">
        <f>LOOKUP(A208,'ETAT-PAY-PERM'!A:A,'ETAT-PAY-PERM'!J:J)</f>
        <v>#N/A</v>
      </c>
      <c r="H208" s="1094" t="e">
        <f t="shared" si="21"/>
        <v>#N/A</v>
      </c>
      <c r="I208" s="1094" t="e">
        <f t="shared" si="22"/>
        <v>#N/A</v>
      </c>
      <c r="P208" s="688">
        <f>LOOKUP(J208,'ETAT-PAY-PERM'!J:J,'ETAT-PAY-PERM'!S:S)</f>
        <v>0</v>
      </c>
      <c r="Q208" s="1095">
        <f t="shared" si="23"/>
        <v>0</v>
      </c>
      <c r="R208" s="1095" t="str">
        <f t="shared" si="24"/>
        <v/>
      </c>
    </row>
    <row r="209" spans="1:18" ht="18.75" thickBot="1">
      <c r="A209" s="1085">
        <f>'Base-D'!A209</f>
        <v>208</v>
      </c>
      <c r="B209" s="1085">
        <f>'Base-D'!AX209</f>
        <v>0</v>
      </c>
      <c r="C209" s="1085" t="e">
        <f>LOOKUP(A209,'Base-D'!A:A,'Base-D'!BP:BP)</f>
        <v>#N/A</v>
      </c>
      <c r="D209" s="1085">
        <f>'Base-D'!S209</f>
        <v>0</v>
      </c>
      <c r="E209" s="1086"/>
      <c r="F209" s="1087"/>
      <c r="G209" s="1087" t="e">
        <f>LOOKUP(A209,'ETAT-PAY-PERM'!A:A,'ETAT-PAY-PERM'!J:J)</f>
        <v>#N/A</v>
      </c>
      <c r="H209" s="1094" t="e">
        <f t="shared" si="21"/>
        <v>#N/A</v>
      </c>
      <c r="I209" s="1094" t="e">
        <f t="shared" si="22"/>
        <v>#N/A</v>
      </c>
      <c r="P209" s="688">
        <f>LOOKUP(J209,'ETAT-PAY-PERM'!J:J,'ETAT-PAY-PERM'!S:S)</f>
        <v>0</v>
      </c>
      <c r="Q209" s="1095">
        <f t="shared" si="23"/>
        <v>0</v>
      </c>
      <c r="R209" s="1095" t="str">
        <f t="shared" si="24"/>
        <v/>
      </c>
    </row>
    <row r="210" spans="1:18" ht="18.75" thickBot="1">
      <c r="A210" s="1085">
        <f>'Base-D'!A210</f>
        <v>209</v>
      </c>
      <c r="B210" s="1085">
        <f>'Base-D'!AX210</f>
        <v>0</v>
      </c>
      <c r="C210" s="1085" t="e">
        <f>LOOKUP(A210,'Base-D'!A:A,'Base-D'!BP:BP)</f>
        <v>#N/A</v>
      </c>
      <c r="D210" s="1085">
        <f>'Base-D'!S210</f>
        <v>0</v>
      </c>
      <c r="E210" s="1086"/>
      <c r="F210" s="1087"/>
      <c r="G210" s="1087" t="e">
        <f>LOOKUP(A210,'ETAT-PAY-PERM'!A:A,'ETAT-PAY-PERM'!J:J)</f>
        <v>#N/A</v>
      </c>
      <c r="H210" s="1094" t="e">
        <f t="shared" si="21"/>
        <v>#N/A</v>
      </c>
      <c r="I210" s="1094" t="e">
        <f t="shared" si="22"/>
        <v>#N/A</v>
      </c>
      <c r="P210" s="688">
        <f>LOOKUP(J210,'ETAT-PAY-PERM'!J:J,'ETAT-PAY-PERM'!S:S)</f>
        <v>0</v>
      </c>
      <c r="Q210" s="1095">
        <f t="shared" si="23"/>
        <v>0</v>
      </c>
      <c r="R210" s="1095" t="str">
        <f t="shared" si="24"/>
        <v/>
      </c>
    </row>
    <row r="211" spans="1:18" ht="18.75" thickBot="1">
      <c r="A211" s="1085">
        <f>'Base-D'!A211</f>
        <v>210</v>
      </c>
      <c r="B211" s="1085">
        <f>'Base-D'!AX211</f>
        <v>0</v>
      </c>
      <c r="C211" s="1085" t="e">
        <f>LOOKUP(A211,'Base-D'!A:A,'Base-D'!BP:BP)</f>
        <v>#N/A</v>
      </c>
      <c r="D211" s="1085">
        <f>'Base-D'!S211</f>
        <v>0</v>
      </c>
      <c r="E211" s="1086"/>
      <c r="F211" s="1087"/>
      <c r="G211" s="1087" t="e">
        <f>LOOKUP(A211,'ETAT-PAY-PERM'!A:A,'ETAT-PAY-PERM'!J:J)</f>
        <v>#N/A</v>
      </c>
      <c r="H211" s="1094" t="e">
        <f t="shared" si="21"/>
        <v>#N/A</v>
      </c>
      <c r="I211" s="1094" t="e">
        <f t="shared" si="22"/>
        <v>#N/A</v>
      </c>
      <c r="P211" s="688">
        <f>LOOKUP(J211,'ETAT-PAY-PERM'!J:J,'ETAT-PAY-PERM'!S:S)</f>
        <v>0</v>
      </c>
      <c r="Q211" s="1095">
        <f t="shared" si="23"/>
        <v>0</v>
      </c>
      <c r="R211" s="1095" t="str">
        <f t="shared" si="24"/>
        <v/>
      </c>
    </row>
    <row r="212" spans="1:18" ht="18.75" thickBot="1">
      <c r="A212" s="1085">
        <f>'Base-D'!A212</f>
        <v>211</v>
      </c>
      <c r="B212" s="1085">
        <f>'Base-D'!AX212</f>
        <v>0</v>
      </c>
      <c r="C212" s="1085" t="e">
        <f>LOOKUP(A212,'Base-D'!A:A,'Base-D'!BP:BP)</f>
        <v>#N/A</v>
      </c>
      <c r="D212" s="1085">
        <f>'Base-D'!S212</f>
        <v>0</v>
      </c>
      <c r="E212" s="1086"/>
      <c r="F212" s="1087"/>
      <c r="G212" s="1087" t="e">
        <f>LOOKUP(A212,'ETAT-PAY-PERM'!A:A,'ETAT-PAY-PERM'!J:J)</f>
        <v>#N/A</v>
      </c>
      <c r="H212" s="1094" t="e">
        <f t="shared" si="21"/>
        <v>#N/A</v>
      </c>
      <c r="I212" s="1094" t="e">
        <f t="shared" si="22"/>
        <v>#N/A</v>
      </c>
      <c r="P212" s="688">
        <f>LOOKUP(J212,'ETAT-PAY-PERM'!J:J,'ETAT-PAY-PERM'!S:S)</f>
        <v>0</v>
      </c>
      <c r="Q212" s="1095">
        <f t="shared" si="23"/>
        <v>0</v>
      </c>
      <c r="R212" s="1095" t="str">
        <f t="shared" si="24"/>
        <v/>
      </c>
    </row>
    <row r="213" spans="1:18" ht="18.75" thickBot="1">
      <c r="A213" s="1085">
        <f>'Base-D'!A213</f>
        <v>212</v>
      </c>
      <c r="B213" s="1085">
        <f>'Base-D'!AX213</f>
        <v>0</v>
      </c>
      <c r="C213" s="1085" t="e">
        <f>LOOKUP(A213,'Base-D'!A:A,'Base-D'!BP:BP)</f>
        <v>#N/A</v>
      </c>
      <c r="D213" s="1085">
        <f>'Base-D'!S213</f>
        <v>0</v>
      </c>
      <c r="E213" s="1086"/>
      <c r="F213" s="1087"/>
      <c r="G213" s="1087" t="e">
        <f>LOOKUP(A213,'ETAT-PAY-PERM'!A:A,'ETAT-PAY-PERM'!J:J)</f>
        <v>#N/A</v>
      </c>
      <c r="H213" s="1094" t="e">
        <f t="shared" si="21"/>
        <v>#N/A</v>
      </c>
      <c r="I213" s="1094" t="e">
        <f t="shared" si="22"/>
        <v>#N/A</v>
      </c>
      <c r="P213" s="688">
        <f>LOOKUP(J213,'ETAT-PAY-PERM'!J:J,'ETAT-PAY-PERM'!S:S)</f>
        <v>0</v>
      </c>
      <c r="Q213" s="1095">
        <f t="shared" si="23"/>
        <v>0</v>
      </c>
      <c r="R213" s="1095" t="str">
        <f t="shared" si="24"/>
        <v/>
      </c>
    </row>
    <row r="214" spans="1:18" ht="18.75" thickBot="1">
      <c r="A214" s="1085">
        <f>'Base-D'!A214</f>
        <v>213</v>
      </c>
      <c r="B214" s="1085">
        <f>'Base-D'!AX214</f>
        <v>0</v>
      </c>
      <c r="C214" s="1085" t="e">
        <f>LOOKUP(A214,'Base-D'!A:A,'Base-D'!BP:BP)</f>
        <v>#N/A</v>
      </c>
      <c r="D214" s="1085">
        <f>'Base-D'!S214</f>
        <v>0</v>
      </c>
      <c r="E214" s="1086"/>
      <c r="F214" s="1087"/>
      <c r="G214" s="1087" t="e">
        <f>LOOKUP(A214,'ETAT-PAY-PERM'!A:A,'ETAT-PAY-PERM'!J:J)</f>
        <v>#N/A</v>
      </c>
      <c r="H214" s="1094" t="e">
        <f t="shared" si="21"/>
        <v>#N/A</v>
      </c>
      <c r="I214" s="1094" t="e">
        <f t="shared" si="22"/>
        <v>#N/A</v>
      </c>
      <c r="P214" s="688">
        <f>LOOKUP(J214,'ETAT-PAY-PERM'!J:J,'ETAT-PAY-PERM'!S:S)</f>
        <v>0</v>
      </c>
      <c r="Q214" s="1095">
        <f t="shared" si="23"/>
        <v>0</v>
      </c>
      <c r="R214" s="1095" t="str">
        <f t="shared" si="24"/>
        <v/>
      </c>
    </row>
    <row r="215" spans="1:18" ht="18.75" thickBot="1">
      <c r="A215" s="1085">
        <f>'Base-D'!A215</f>
        <v>214</v>
      </c>
      <c r="B215" s="1085">
        <f>'Base-D'!AX215</f>
        <v>0</v>
      </c>
      <c r="C215" s="1085" t="e">
        <f>LOOKUP(A215,'Base-D'!A:A,'Base-D'!BP:BP)</f>
        <v>#N/A</v>
      </c>
      <c r="D215" s="1085">
        <f>'Base-D'!S215</f>
        <v>0</v>
      </c>
      <c r="E215" s="1086"/>
      <c r="F215" s="1087"/>
      <c r="G215" s="1087" t="e">
        <f>LOOKUP(A215,'ETAT-PAY-PERM'!A:A,'ETAT-PAY-PERM'!J:J)</f>
        <v>#N/A</v>
      </c>
      <c r="H215" s="1094" t="e">
        <f t="shared" si="21"/>
        <v>#N/A</v>
      </c>
      <c r="I215" s="1094" t="e">
        <f t="shared" si="22"/>
        <v>#N/A</v>
      </c>
      <c r="P215" s="688">
        <f>LOOKUP(J215,'ETAT-PAY-PERM'!J:J,'ETAT-PAY-PERM'!S:S)</f>
        <v>0</v>
      </c>
      <c r="Q215" s="1095">
        <f t="shared" si="23"/>
        <v>0</v>
      </c>
      <c r="R215" s="1095" t="str">
        <f t="shared" si="24"/>
        <v/>
      </c>
    </row>
    <row r="216" spans="1:18" ht="18.75" thickBot="1">
      <c r="A216" s="1085">
        <f>'Base-D'!A216</f>
        <v>215</v>
      </c>
      <c r="B216" s="1085">
        <f>'Base-D'!AX216</f>
        <v>0</v>
      </c>
      <c r="C216" s="1085" t="e">
        <f>LOOKUP(A216,'Base-D'!A:A,'Base-D'!BP:BP)</f>
        <v>#N/A</v>
      </c>
      <c r="D216" s="1085">
        <f>'Base-D'!S216</f>
        <v>0</v>
      </c>
      <c r="E216" s="1086"/>
      <c r="F216" s="1087"/>
      <c r="G216" s="1087" t="e">
        <f>LOOKUP(A216,'ETAT-PAY-PERM'!A:A,'ETAT-PAY-PERM'!J:J)</f>
        <v>#N/A</v>
      </c>
      <c r="H216" s="1094" t="e">
        <f t="shared" si="21"/>
        <v>#N/A</v>
      </c>
      <c r="I216" s="1094" t="e">
        <f t="shared" si="22"/>
        <v>#N/A</v>
      </c>
      <c r="P216" s="688">
        <f>LOOKUP(J216,'ETAT-PAY-PERM'!J:J,'ETAT-PAY-PERM'!S:S)</f>
        <v>0</v>
      </c>
      <c r="Q216" s="1095">
        <f t="shared" si="23"/>
        <v>0</v>
      </c>
      <c r="R216" s="1095" t="str">
        <f t="shared" si="24"/>
        <v/>
      </c>
    </row>
    <row r="217" spans="1:18" ht="18.75" thickBot="1">
      <c r="A217" s="1085">
        <f>'Base-D'!A217</f>
        <v>216</v>
      </c>
      <c r="B217" s="1085">
        <f>'Base-D'!AX217</f>
        <v>0</v>
      </c>
      <c r="C217" s="1085" t="e">
        <f>LOOKUP(A217,'Base-D'!A:A,'Base-D'!BP:BP)</f>
        <v>#N/A</v>
      </c>
      <c r="D217" s="1085">
        <f>'Base-D'!S217</f>
        <v>0</v>
      </c>
      <c r="E217" s="1086"/>
      <c r="F217" s="1087"/>
      <c r="G217" s="1087" t="e">
        <f>LOOKUP(A217,'ETAT-PAY-PERM'!A:A,'ETAT-PAY-PERM'!J:J)</f>
        <v>#N/A</v>
      </c>
      <c r="H217" s="1094" t="e">
        <f t="shared" si="21"/>
        <v>#N/A</v>
      </c>
      <c r="I217" s="1094" t="e">
        <f t="shared" si="22"/>
        <v>#N/A</v>
      </c>
      <c r="P217" s="688">
        <f>LOOKUP(J217,'ETAT-PAY-PERM'!J:J,'ETAT-PAY-PERM'!S:S)</f>
        <v>0</v>
      </c>
      <c r="Q217" s="1095">
        <f t="shared" si="23"/>
        <v>0</v>
      </c>
      <c r="R217" s="1095" t="str">
        <f t="shared" si="24"/>
        <v/>
      </c>
    </row>
    <row r="218" spans="1:18" ht="18.75" thickBot="1">
      <c r="A218" s="1085">
        <f>'Base-D'!A218</f>
        <v>217</v>
      </c>
      <c r="B218" s="1085">
        <f>'Base-D'!AX218</f>
        <v>0</v>
      </c>
      <c r="C218" s="1085" t="e">
        <f>LOOKUP(A218,'Base-D'!A:A,'Base-D'!BP:BP)</f>
        <v>#N/A</v>
      </c>
      <c r="D218" s="1085">
        <f>'Base-D'!S218</f>
        <v>0</v>
      </c>
      <c r="E218" s="1086"/>
      <c r="F218" s="1087"/>
      <c r="G218" s="1087" t="e">
        <f>LOOKUP(A218,'ETAT-PAY-PERM'!A:A,'ETAT-PAY-PERM'!J:J)</f>
        <v>#N/A</v>
      </c>
      <c r="H218" s="1094" t="e">
        <f t="shared" si="21"/>
        <v>#N/A</v>
      </c>
      <c r="I218" s="1094" t="e">
        <f t="shared" si="22"/>
        <v>#N/A</v>
      </c>
      <c r="P218" s="688">
        <f>LOOKUP(J218,'ETAT-PAY-PERM'!J:J,'ETAT-PAY-PERM'!S:S)</f>
        <v>0</v>
      </c>
      <c r="Q218" s="1095">
        <f t="shared" si="23"/>
        <v>0</v>
      </c>
      <c r="R218" s="1095" t="str">
        <f t="shared" si="24"/>
        <v/>
      </c>
    </row>
    <row r="219" spans="1:18" ht="18.75" thickBot="1">
      <c r="A219" s="1085">
        <f>'Base-D'!A219</f>
        <v>218</v>
      </c>
      <c r="B219" s="1085">
        <f>'Base-D'!AX219</f>
        <v>0</v>
      </c>
      <c r="C219" s="1085" t="e">
        <f>LOOKUP(A219,'Base-D'!A:A,'Base-D'!BP:BP)</f>
        <v>#N/A</v>
      </c>
      <c r="D219" s="1085">
        <f>'Base-D'!S219</f>
        <v>0</v>
      </c>
      <c r="E219" s="1086"/>
      <c r="F219" s="1087"/>
      <c r="G219" s="1087" t="e">
        <f>LOOKUP(A219,'ETAT-PAY-PERM'!A:A,'ETAT-PAY-PERM'!J:J)</f>
        <v>#N/A</v>
      </c>
      <c r="H219" s="1094" t="e">
        <f t="shared" si="21"/>
        <v>#N/A</v>
      </c>
      <c r="I219" s="1094" t="e">
        <f t="shared" si="22"/>
        <v>#N/A</v>
      </c>
      <c r="P219" s="688">
        <f>LOOKUP(J219,'ETAT-PAY-PERM'!J:J,'ETAT-PAY-PERM'!S:S)</f>
        <v>0</v>
      </c>
      <c r="Q219" s="1095">
        <f t="shared" si="23"/>
        <v>0</v>
      </c>
      <c r="R219" s="1095" t="str">
        <f t="shared" si="24"/>
        <v/>
      </c>
    </row>
    <row r="220" spans="1:18" ht="18.75" thickBot="1">
      <c r="A220" s="1085">
        <f>'Base-D'!A220</f>
        <v>219</v>
      </c>
      <c r="B220" s="1085">
        <f>'Base-D'!AX220</f>
        <v>0</v>
      </c>
      <c r="C220" s="1085" t="e">
        <f>LOOKUP(A220,'Base-D'!A:A,'Base-D'!BP:BP)</f>
        <v>#N/A</v>
      </c>
      <c r="D220" s="1085">
        <f>'Base-D'!S220</f>
        <v>0</v>
      </c>
      <c r="E220" s="1086"/>
      <c r="F220" s="1087"/>
      <c r="G220" s="1087" t="e">
        <f>LOOKUP(A220,'ETAT-PAY-PERM'!A:A,'ETAT-PAY-PERM'!J:J)</f>
        <v>#N/A</v>
      </c>
      <c r="H220" s="1094" t="e">
        <f t="shared" si="21"/>
        <v>#N/A</v>
      </c>
      <c r="I220" s="1094" t="e">
        <f t="shared" si="22"/>
        <v>#N/A</v>
      </c>
      <c r="P220" s="688">
        <f>LOOKUP(J220,'ETAT-PAY-PERM'!J:J,'ETAT-PAY-PERM'!S:S)</f>
        <v>0</v>
      </c>
      <c r="Q220" s="1095">
        <f t="shared" si="23"/>
        <v>0</v>
      </c>
      <c r="R220" s="1095" t="str">
        <f t="shared" si="24"/>
        <v/>
      </c>
    </row>
    <row r="221" spans="1:18" ht="18.75" thickBot="1">
      <c r="A221" s="1085">
        <f>'Base-D'!A221</f>
        <v>220</v>
      </c>
      <c r="B221" s="1085">
        <f>'Base-D'!AX221</f>
        <v>0</v>
      </c>
      <c r="C221" s="1085" t="e">
        <f>LOOKUP(A221,'Base-D'!A:A,'Base-D'!BP:BP)</f>
        <v>#N/A</v>
      </c>
      <c r="D221" s="1085">
        <f>'Base-D'!S221</f>
        <v>0</v>
      </c>
      <c r="E221" s="1086"/>
      <c r="F221" s="1087"/>
      <c r="G221" s="1087" t="e">
        <f>LOOKUP(A221,'ETAT-PAY-PERM'!A:A,'ETAT-PAY-PERM'!J:J)</f>
        <v>#N/A</v>
      </c>
      <c r="H221" s="1094" t="e">
        <f t="shared" si="21"/>
        <v>#N/A</v>
      </c>
      <c r="I221" s="1094" t="e">
        <f t="shared" si="22"/>
        <v>#N/A</v>
      </c>
      <c r="P221" s="688">
        <f>LOOKUP(J221,'ETAT-PAY-PERM'!J:J,'ETAT-PAY-PERM'!S:S)</f>
        <v>0</v>
      </c>
      <c r="Q221" s="1095">
        <f t="shared" si="23"/>
        <v>0</v>
      </c>
      <c r="R221" s="1095" t="str">
        <f t="shared" si="24"/>
        <v/>
      </c>
    </row>
    <row r="222" spans="1:18" ht="18.75" thickBot="1">
      <c r="A222" s="1085">
        <f>'Base-D'!A222</f>
        <v>221</v>
      </c>
      <c r="B222" s="1085">
        <f>'Base-D'!AX222</f>
        <v>0</v>
      </c>
      <c r="C222" s="1085" t="e">
        <f>LOOKUP(A222,'Base-D'!A:A,'Base-D'!BP:BP)</f>
        <v>#N/A</v>
      </c>
      <c r="D222" s="1085">
        <f>'Base-D'!S222</f>
        <v>0</v>
      </c>
      <c r="E222" s="1086"/>
      <c r="F222" s="1087"/>
      <c r="G222" s="1087" t="e">
        <f>LOOKUP(A222,'ETAT-PAY-PERM'!A:A,'ETAT-PAY-PERM'!J:J)</f>
        <v>#N/A</v>
      </c>
      <c r="H222" s="1094" t="e">
        <f t="shared" si="21"/>
        <v>#N/A</v>
      </c>
      <c r="I222" s="1094" t="e">
        <f t="shared" si="22"/>
        <v>#N/A</v>
      </c>
      <c r="P222" s="688">
        <f>LOOKUP(J222,'ETAT-PAY-PERM'!J:J,'ETAT-PAY-PERM'!S:S)</f>
        <v>0</v>
      </c>
      <c r="Q222" s="1095">
        <f t="shared" si="23"/>
        <v>0</v>
      </c>
      <c r="R222" s="1095" t="str">
        <f t="shared" si="24"/>
        <v/>
      </c>
    </row>
    <row r="223" spans="1:18" ht="18.75" thickBot="1">
      <c r="A223" s="1085">
        <f>'Base-D'!A223</f>
        <v>222</v>
      </c>
      <c r="B223" s="1085">
        <f>'Base-D'!AX223</f>
        <v>0</v>
      </c>
      <c r="C223" s="1085" t="e">
        <f>LOOKUP(A223,'Base-D'!A:A,'Base-D'!BP:BP)</f>
        <v>#N/A</v>
      </c>
      <c r="D223" s="1085">
        <f>'Base-D'!S223</f>
        <v>0</v>
      </c>
      <c r="E223" s="1086"/>
      <c r="F223" s="1087"/>
      <c r="G223" s="1087" t="e">
        <f>LOOKUP(A223,'ETAT-PAY-PERM'!A:A,'ETAT-PAY-PERM'!J:J)</f>
        <v>#N/A</v>
      </c>
      <c r="H223" s="1094" t="e">
        <f t="shared" si="21"/>
        <v>#N/A</v>
      </c>
      <c r="I223" s="1094" t="e">
        <f t="shared" si="22"/>
        <v>#N/A</v>
      </c>
      <c r="P223" s="688">
        <f>LOOKUP(J223,'ETAT-PAY-PERM'!J:J,'ETAT-PAY-PERM'!S:S)</f>
        <v>0</v>
      </c>
      <c r="Q223" s="1095">
        <f t="shared" si="23"/>
        <v>0</v>
      </c>
      <c r="R223" s="1095" t="str">
        <f t="shared" si="24"/>
        <v/>
      </c>
    </row>
    <row r="224" spans="1:18" ht="18.75" thickBot="1">
      <c r="A224" s="1085">
        <f>'Base-D'!A224</f>
        <v>223</v>
      </c>
      <c r="B224" s="1085">
        <f>'Base-D'!AX224</f>
        <v>0</v>
      </c>
      <c r="C224" s="1085" t="e">
        <f>LOOKUP(A224,'Base-D'!A:A,'Base-D'!BP:BP)</f>
        <v>#N/A</v>
      </c>
      <c r="D224" s="1085">
        <f>'Base-D'!S224</f>
        <v>0</v>
      </c>
      <c r="E224" s="1086"/>
      <c r="F224" s="1087"/>
      <c r="G224" s="1087" t="e">
        <f>LOOKUP(A224,'ETAT-PAY-PERM'!A:A,'ETAT-PAY-PERM'!J:J)</f>
        <v>#N/A</v>
      </c>
      <c r="H224" s="1094" t="e">
        <f t="shared" si="21"/>
        <v>#N/A</v>
      </c>
      <c r="I224" s="1094" t="e">
        <f t="shared" si="22"/>
        <v>#N/A</v>
      </c>
      <c r="P224" s="688">
        <f>LOOKUP(J224,'ETAT-PAY-PERM'!J:J,'ETAT-PAY-PERM'!S:S)</f>
        <v>0</v>
      </c>
      <c r="Q224" s="1095">
        <f t="shared" si="23"/>
        <v>0</v>
      </c>
      <c r="R224" s="1095" t="str">
        <f t="shared" si="24"/>
        <v/>
      </c>
    </row>
    <row r="225" spans="1:18" ht="18.75" thickBot="1">
      <c r="A225" s="1085">
        <f>'Base-D'!A225</f>
        <v>224</v>
      </c>
      <c r="B225" s="1085">
        <f>'Base-D'!AX225</f>
        <v>0</v>
      </c>
      <c r="C225" s="1085" t="e">
        <f>LOOKUP(A225,'Base-D'!A:A,'Base-D'!BP:BP)</f>
        <v>#N/A</v>
      </c>
      <c r="D225" s="1085">
        <f>'Base-D'!S225</f>
        <v>0</v>
      </c>
      <c r="E225" s="1086"/>
      <c r="F225" s="1087"/>
      <c r="G225" s="1087" t="e">
        <f>LOOKUP(A225,'ETAT-PAY-PERM'!A:A,'ETAT-PAY-PERM'!J:J)</f>
        <v>#N/A</v>
      </c>
      <c r="H225" s="1094" t="e">
        <f t="shared" si="21"/>
        <v>#N/A</v>
      </c>
      <c r="I225" s="1094" t="e">
        <f t="shared" si="22"/>
        <v>#N/A</v>
      </c>
      <c r="P225" s="688">
        <f>LOOKUP(J225,'ETAT-PAY-PERM'!J:J,'ETAT-PAY-PERM'!S:S)</f>
        <v>0</v>
      </c>
      <c r="Q225" s="1095">
        <f t="shared" si="23"/>
        <v>0</v>
      </c>
      <c r="R225" s="1095" t="str">
        <f t="shared" si="24"/>
        <v/>
      </c>
    </row>
    <row r="226" spans="1:18" ht="18.75" thickBot="1">
      <c r="A226" s="1085">
        <f>'Base-D'!A226</f>
        <v>225</v>
      </c>
      <c r="B226" s="1085">
        <f>'Base-D'!AX226</f>
        <v>0</v>
      </c>
      <c r="C226" s="1085" t="e">
        <f>LOOKUP(A226,'Base-D'!A:A,'Base-D'!BP:BP)</f>
        <v>#N/A</v>
      </c>
      <c r="D226" s="1085">
        <f>'Base-D'!S226</f>
        <v>0</v>
      </c>
      <c r="E226" s="1086"/>
      <c r="F226" s="1087"/>
      <c r="G226" s="1087" t="e">
        <f>LOOKUP(A226,'ETAT-PAY-PERM'!A:A,'ETAT-PAY-PERM'!J:J)</f>
        <v>#N/A</v>
      </c>
      <c r="H226" s="1094" t="e">
        <f t="shared" si="21"/>
        <v>#N/A</v>
      </c>
      <c r="I226" s="1094" t="e">
        <f t="shared" si="22"/>
        <v>#N/A</v>
      </c>
      <c r="P226" s="688">
        <f>LOOKUP(J226,'ETAT-PAY-PERM'!J:J,'ETAT-PAY-PERM'!S:S)</f>
        <v>0</v>
      </c>
      <c r="Q226" s="1095">
        <f t="shared" si="23"/>
        <v>0</v>
      </c>
      <c r="R226" s="1095" t="str">
        <f t="shared" si="24"/>
        <v/>
      </c>
    </row>
    <row r="227" spans="1:18" ht="18.75" thickBot="1">
      <c r="A227" s="1085">
        <f>'Base-D'!A227</f>
        <v>226</v>
      </c>
      <c r="B227" s="1085">
        <f>'Base-D'!AX227</f>
        <v>0</v>
      </c>
      <c r="C227" s="1085" t="e">
        <f>LOOKUP(A227,'Base-D'!A:A,'Base-D'!BP:BP)</f>
        <v>#N/A</v>
      </c>
      <c r="D227" s="1085">
        <f>'Base-D'!S227</f>
        <v>0</v>
      </c>
      <c r="E227" s="1086"/>
      <c r="F227" s="1087"/>
      <c r="G227" s="1087" t="e">
        <f>LOOKUP(A227,'ETAT-PAY-PERM'!A:A,'ETAT-PAY-PERM'!J:J)</f>
        <v>#N/A</v>
      </c>
      <c r="H227" s="1094" t="e">
        <f t="shared" si="21"/>
        <v>#N/A</v>
      </c>
      <c r="I227" s="1094" t="e">
        <f t="shared" si="22"/>
        <v>#N/A</v>
      </c>
      <c r="P227" s="688">
        <f>LOOKUP(J227,'ETAT-PAY-PERM'!J:J,'ETAT-PAY-PERM'!S:S)</f>
        <v>0</v>
      </c>
      <c r="Q227" s="1095">
        <f t="shared" si="23"/>
        <v>0</v>
      </c>
      <c r="R227" s="1095" t="str">
        <f t="shared" si="24"/>
        <v/>
      </c>
    </row>
    <row r="228" spans="1:18" ht="18.75" thickBot="1">
      <c r="A228" s="1085">
        <f>'Base-D'!A228</f>
        <v>227</v>
      </c>
      <c r="B228" s="1085">
        <f>'Base-D'!AX228</f>
        <v>0</v>
      </c>
      <c r="C228" s="1085" t="e">
        <f>LOOKUP(A228,'Base-D'!A:A,'Base-D'!BP:BP)</f>
        <v>#N/A</v>
      </c>
      <c r="D228" s="1085">
        <f>'Base-D'!S228</f>
        <v>0</v>
      </c>
      <c r="E228" s="1086"/>
      <c r="F228" s="1087"/>
      <c r="G228" s="1087" t="e">
        <f>LOOKUP(A228,'ETAT-PAY-PERM'!A:A,'ETAT-PAY-PERM'!J:J)</f>
        <v>#N/A</v>
      </c>
      <c r="H228" s="1094" t="e">
        <f t="shared" si="21"/>
        <v>#N/A</v>
      </c>
      <c r="I228" s="1094" t="e">
        <f t="shared" si="22"/>
        <v>#N/A</v>
      </c>
      <c r="P228" s="688">
        <f>LOOKUP(J228,'ETAT-PAY-PERM'!J:J,'ETAT-PAY-PERM'!S:S)</f>
        <v>0</v>
      </c>
      <c r="Q228" s="1095">
        <f t="shared" si="23"/>
        <v>0</v>
      </c>
      <c r="R228" s="1095" t="str">
        <f t="shared" si="24"/>
        <v/>
      </c>
    </row>
    <row r="229" spans="1:18" ht="18.75" thickBot="1">
      <c r="A229" s="1085">
        <f>'Base-D'!A229</f>
        <v>228</v>
      </c>
      <c r="B229" s="1085">
        <f>'Base-D'!AX229</f>
        <v>0</v>
      </c>
      <c r="C229" s="1085" t="e">
        <f>LOOKUP(A229,'Base-D'!A:A,'Base-D'!BP:BP)</f>
        <v>#N/A</v>
      </c>
      <c r="D229" s="1085">
        <f>'Base-D'!S229</f>
        <v>0</v>
      </c>
      <c r="E229" s="1086"/>
      <c r="F229" s="1087"/>
      <c r="G229" s="1087" t="e">
        <f>LOOKUP(A229,'ETAT-PAY-PERM'!A:A,'ETAT-PAY-PERM'!J:J)</f>
        <v>#N/A</v>
      </c>
      <c r="H229" s="1094" t="e">
        <f t="shared" si="21"/>
        <v>#N/A</v>
      </c>
      <c r="I229" s="1094" t="e">
        <f t="shared" si="22"/>
        <v>#N/A</v>
      </c>
      <c r="P229" s="688">
        <f>LOOKUP(J229,'ETAT-PAY-PERM'!J:J,'ETAT-PAY-PERM'!S:S)</f>
        <v>0</v>
      </c>
      <c r="Q229" s="1095">
        <f t="shared" si="23"/>
        <v>0</v>
      </c>
      <c r="R229" s="1095" t="str">
        <f t="shared" si="24"/>
        <v/>
      </c>
    </row>
    <row r="230" spans="1:18" ht="18.75" thickBot="1">
      <c r="A230" s="1085">
        <f>'Base-D'!A230</f>
        <v>229</v>
      </c>
      <c r="B230" s="1085">
        <f>'Base-D'!AX230</f>
        <v>0</v>
      </c>
      <c r="C230" s="1085" t="e">
        <f>LOOKUP(A230,'Base-D'!A:A,'Base-D'!BP:BP)</f>
        <v>#N/A</v>
      </c>
      <c r="D230" s="1085">
        <f>'Base-D'!S230</f>
        <v>0</v>
      </c>
      <c r="E230" s="1086"/>
      <c r="F230" s="1087"/>
      <c r="G230" s="1087" t="e">
        <f>LOOKUP(A230,'ETAT-PAY-PERM'!A:A,'ETAT-PAY-PERM'!J:J)</f>
        <v>#N/A</v>
      </c>
      <c r="H230" s="1094" t="e">
        <f t="shared" si="21"/>
        <v>#N/A</v>
      </c>
      <c r="I230" s="1094" t="e">
        <f t="shared" si="22"/>
        <v>#N/A</v>
      </c>
      <c r="P230" s="688">
        <f>LOOKUP(J230,'ETAT-PAY-PERM'!J:J,'ETAT-PAY-PERM'!S:S)</f>
        <v>0</v>
      </c>
      <c r="Q230" s="1095">
        <f t="shared" si="23"/>
        <v>0</v>
      </c>
      <c r="R230" s="1095" t="str">
        <f t="shared" si="24"/>
        <v/>
      </c>
    </row>
    <row r="231" spans="1:18" ht="18.75" thickBot="1">
      <c r="A231" s="1085">
        <f>'Base-D'!A231</f>
        <v>230</v>
      </c>
      <c r="B231" s="1085">
        <f>'Base-D'!AX231</f>
        <v>0</v>
      </c>
      <c r="C231" s="1085" t="e">
        <f>LOOKUP(A231,'Base-D'!A:A,'Base-D'!BP:BP)</f>
        <v>#N/A</v>
      </c>
      <c r="D231" s="1085">
        <f>'Base-D'!S231</f>
        <v>0</v>
      </c>
      <c r="E231" s="1086"/>
      <c r="F231" s="1087"/>
      <c r="G231" s="1087" t="e">
        <f>LOOKUP(A231,'ETAT-PAY-PERM'!A:A,'ETAT-PAY-PERM'!J:J)</f>
        <v>#N/A</v>
      </c>
      <c r="H231" s="1094" t="e">
        <f t="shared" si="21"/>
        <v>#N/A</v>
      </c>
      <c r="I231" s="1094" t="e">
        <f t="shared" si="22"/>
        <v>#N/A</v>
      </c>
      <c r="P231" s="688">
        <f>LOOKUP(J231,'ETAT-PAY-PERM'!J:J,'ETAT-PAY-PERM'!S:S)</f>
        <v>0</v>
      </c>
      <c r="Q231" s="1095">
        <f t="shared" si="23"/>
        <v>0</v>
      </c>
      <c r="R231" s="1095" t="str">
        <f t="shared" si="24"/>
        <v/>
      </c>
    </row>
    <row r="232" spans="1:18" ht="18.75" thickBot="1">
      <c r="A232" s="1085">
        <f>'Base-D'!A232</f>
        <v>231</v>
      </c>
      <c r="B232" s="1085">
        <f>'Base-D'!AX232</f>
        <v>0</v>
      </c>
      <c r="C232" s="1085" t="e">
        <f>LOOKUP(A232,'Base-D'!A:A,'Base-D'!BP:BP)</f>
        <v>#N/A</v>
      </c>
      <c r="D232" s="1085">
        <f>'Base-D'!S232</f>
        <v>0</v>
      </c>
      <c r="E232" s="1086"/>
      <c r="F232" s="1087"/>
      <c r="G232" s="1087" t="e">
        <f>LOOKUP(A232,'ETAT-PAY-PERM'!A:A,'ETAT-PAY-PERM'!J:J)</f>
        <v>#N/A</v>
      </c>
      <c r="H232" s="1094" t="e">
        <f t="shared" si="21"/>
        <v>#N/A</v>
      </c>
      <c r="I232" s="1094" t="e">
        <f t="shared" si="22"/>
        <v>#N/A</v>
      </c>
      <c r="P232" s="688">
        <f>LOOKUP(J232,'ETAT-PAY-PERM'!J:J,'ETAT-PAY-PERM'!S:S)</f>
        <v>0</v>
      </c>
      <c r="Q232" s="1095">
        <f t="shared" si="23"/>
        <v>0</v>
      </c>
      <c r="R232" s="1095" t="str">
        <f t="shared" si="24"/>
        <v/>
      </c>
    </row>
    <row r="233" spans="1:18" ht="18.75" thickBot="1">
      <c r="A233" s="1085">
        <f>'Base-D'!A233</f>
        <v>232</v>
      </c>
      <c r="B233" s="1085">
        <f>'Base-D'!AX233</f>
        <v>0</v>
      </c>
      <c r="C233" s="1085" t="e">
        <f>LOOKUP(A233,'Base-D'!A:A,'Base-D'!BP:BP)</f>
        <v>#N/A</v>
      </c>
      <c r="D233" s="1085">
        <f>'Base-D'!S233</f>
        <v>0</v>
      </c>
      <c r="E233" s="1086"/>
      <c r="F233" s="1087"/>
      <c r="G233" s="1087" t="e">
        <f>LOOKUP(A233,'ETAT-PAY-PERM'!A:A,'ETAT-PAY-PERM'!J:J)</f>
        <v>#N/A</v>
      </c>
      <c r="H233" s="1094" t="e">
        <f t="shared" si="21"/>
        <v>#N/A</v>
      </c>
      <c r="I233" s="1094" t="e">
        <f t="shared" si="22"/>
        <v>#N/A</v>
      </c>
      <c r="P233" s="688">
        <f>LOOKUP(J233,'ETAT-PAY-PERM'!J:J,'ETAT-PAY-PERM'!S:S)</f>
        <v>0</v>
      </c>
      <c r="Q233" s="1095">
        <f t="shared" si="23"/>
        <v>0</v>
      </c>
      <c r="R233" s="1095" t="str">
        <f t="shared" si="24"/>
        <v/>
      </c>
    </row>
    <row r="234" spans="1:18" ht="18.75" thickBot="1">
      <c r="A234" s="1085">
        <f>'Base-D'!A234</f>
        <v>233</v>
      </c>
      <c r="B234" s="1085">
        <f>'Base-D'!AX234</f>
        <v>0</v>
      </c>
      <c r="C234" s="1085" t="e">
        <f>LOOKUP(A234,'Base-D'!A:A,'Base-D'!BP:BP)</f>
        <v>#N/A</v>
      </c>
      <c r="D234" s="1085">
        <f>'Base-D'!S234</f>
        <v>0</v>
      </c>
      <c r="E234" s="1086"/>
      <c r="F234" s="1087"/>
      <c r="G234" s="1087" t="e">
        <f>LOOKUP(A234,'ETAT-PAY-PERM'!A:A,'ETAT-PAY-PERM'!J:J)</f>
        <v>#N/A</v>
      </c>
      <c r="H234" s="1094" t="e">
        <f t="shared" si="21"/>
        <v>#N/A</v>
      </c>
      <c r="I234" s="1094" t="e">
        <f t="shared" si="22"/>
        <v>#N/A</v>
      </c>
      <c r="P234" s="688">
        <f>LOOKUP(J234,'ETAT-PAY-PERM'!J:J,'ETAT-PAY-PERM'!S:S)</f>
        <v>0</v>
      </c>
      <c r="Q234" s="1095">
        <f t="shared" si="23"/>
        <v>0</v>
      </c>
      <c r="R234" s="1095" t="str">
        <f t="shared" si="24"/>
        <v/>
      </c>
    </row>
    <row r="235" spans="1:18" ht="18.75" thickBot="1">
      <c r="A235" s="1085">
        <f>'Base-D'!A235</f>
        <v>234</v>
      </c>
      <c r="B235" s="1085">
        <f>'Base-D'!AX235</f>
        <v>0</v>
      </c>
      <c r="C235" s="1085" t="e">
        <f>LOOKUP(A235,'Base-D'!A:A,'Base-D'!BP:BP)</f>
        <v>#N/A</v>
      </c>
      <c r="D235" s="1085">
        <f>'Base-D'!S235</f>
        <v>0</v>
      </c>
      <c r="E235" s="1086"/>
      <c r="F235" s="1087"/>
      <c r="G235" s="1087" t="e">
        <f>LOOKUP(A235,'ETAT-PAY-PERM'!A:A,'ETAT-PAY-PERM'!J:J)</f>
        <v>#N/A</v>
      </c>
      <c r="H235" s="1094" t="e">
        <f t="shared" si="21"/>
        <v>#N/A</v>
      </c>
      <c r="I235" s="1094" t="e">
        <f t="shared" si="22"/>
        <v>#N/A</v>
      </c>
      <c r="P235" s="688">
        <f>LOOKUP(J235,'ETAT-PAY-PERM'!J:J,'ETAT-PAY-PERM'!S:S)</f>
        <v>0</v>
      </c>
      <c r="Q235" s="1095">
        <f t="shared" si="23"/>
        <v>0</v>
      </c>
      <c r="R235" s="1095" t="str">
        <f t="shared" si="24"/>
        <v/>
      </c>
    </row>
    <row r="236" spans="1:18" ht="18.75" thickBot="1">
      <c r="A236" s="1085">
        <f>'Base-D'!A236</f>
        <v>235</v>
      </c>
      <c r="B236" s="1085">
        <f>'Base-D'!AX236</f>
        <v>0</v>
      </c>
      <c r="C236" s="1085" t="e">
        <f>LOOKUP(A236,'Base-D'!A:A,'Base-D'!BP:BP)</f>
        <v>#N/A</v>
      </c>
      <c r="D236" s="1085">
        <f>'Base-D'!S236</f>
        <v>0</v>
      </c>
      <c r="E236" s="1086"/>
      <c r="F236" s="1087"/>
      <c r="G236" s="1087" t="e">
        <f>LOOKUP(A236,'ETAT-PAY-PERM'!A:A,'ETAT-PAY-PERM'!J:J)</f>
        <v>#N/A</v>
      </c>
      <c r="H236" s="1094" t="e">
        <f t="shared" si="21"/>
        <v>#N/A</v>
      </c>
      <c r="I236" s="1094" t="e">
        <f t="shared" si="22"/>
        <v>#N/A</v>
      </c>
      <c r="P236" s="688">
        <f>LOOKUP(J236,'ETAT-PAY-PERM'!J:J,'ETAT-PAY-PERM'!S:S)</f>
        <v>0</v>
      </c>
      <c r="Q236" s="1095">
        <f t="shared" si="23"/>
        <v>0</v>
      </c>
      <c r="R236" s="1095" t="str">
        <f t="shared" si="24"/>
        <v/>
      </c>
    </row>
    <row r="237" spans="1:18" ht="18.75" thickBot="1">
      <c r="A237" s="1085">
        <f>'Base-D'!A237</f>
        <v>236</v>
      </c>
      <c r="B237" s="1085">
        <f>'Base-D'!AX237</f>
        <v>0</v>
      </c>
      <c r="C237" s="1085" t="e">
        <f>LOOKUP(A237,'Base-D'!A:A,'Base-D'!BP:BP)</f>
        <v>#N/A</v>
      </c>
      <c r="D237" s="1085">
        <f>'Base-D'!S237</f>
        <v>0</v>
      </c>
      <c r="E237" s="1086"/>
      <c r="F237" s="1087"/>
      <c r="G237" s="1087" t="e">
        <f>LOOKUP(A237,'ETAT-PAY-PERM'!A:A,'ETAT-PAY-PERM'!J:J)</f>
        <v>#N/A</v>
      </c>
      <c r="H237" s="1094" t="e">
        <f t="shared" si="21"/>
        <v>#N/A</v>
      </c>
      <c r="I237" s="1094" t="e">
        <f t="shared" si="22"/>
        <v>#N/A</v>
      </c>
      <c r="P237" s="688">
        <f>LOOKUP(J237,'ETAT-PAY-PERM'!J:J,'ETAT-PAY-PERM'!S:S)</f>
        <v>0</v>
      </c>
      <c r="Q237" s="1095">
        <f t="shared" si="23"/>
        <v>0</v>
      </c>
      <c r="R237" s="1095" t="str">
        <f t="shared" si="24"/>
        <v/>
      </c>
    </row>
    <row r="238" spans="1:18" ht="18.75" thickBot="1">
      <c r="A238" s="1085">
        <f>'Base-D'!A238</f>
        <v>237</v>
      </c>
      <c r="B238" s="1085">
        <f>'Base-D'!AX238</f>
        <v>0</v>
      </c>
      <c r="C238" s="1085" t="e">
        <f>LOOKUP(A238,'Base-D'!A:A,'Base-D'!BP:BP)</f>
        <v>#N/A</v>
      </c>
      <c r="D238" s="1085">
        <f>'Base-D'!S238</f>
        <v>0</v>
      </c>
      <c r="E238" s="1086"/>
      <c r="F238" s="1087"/>
      <c r="G238" s="1087" t="e">
        <f>LOOKUP(A238,'ETAT-PAY-PERM'!A:A,'ETAT-PAY-PERM'!J:J)</f>
        <v>#N/A</v>
      </c>
      <c r="H238" s="1094" t="e">
        <f t="shared" si="21"/>
        <v>#N/A</v>
      </c>
      <c r="I238" s="1094" t="e">
        <f t="shared" si="22"/>
        <v>#N/A</v>
      </c>
      <c r="P238" s="688">
        <f>LOOKUP(J238,'ETAT-PAY-PERM'!J:J,'ETAT-PAY-PERM'!S:S)</f>
        <v>0</v>
      </c>
      <c r="Q238" s="1095">
        <f t="shared" si="23"/>
        <v>0</v>
      </c>
      <c r="R238" s="1095" t="str">
        <f t="shared" si="24"/>
        <v/>
      </c>
    </row>
    <row r="239" spans="1:18" ht="18.75" thickBot="1">
      <c r="A239" s="1085">
        <f>'Base-D'!A239</f>
        <v>238</v>
      </c>
      <c r="B239" s="1085">
        <f>'Base-D'!AX239</f>
        <v>0</v>
      </c>
      <c r="C239" s="1085" t="e">
        <f>LOOKUP(A239,'Base-D'!A:A,'Base-D'!BP:BP)</f>
        <v>#N/A</v>
      </c>
      <c r="D239" s="1085">
        <f>'Base-D'!S239</f>
        <v>0</v>
      </c>
      <c r="E239" s="1086"/>
      <c r="F239" s="1087"/>
      <c r="G239" s="1087" t="e">
        <f>LOOKUP(A239,'ETAT-PAY-PERM'!A:A,'ETAT-PAY-PERM'!J:J)</f>
        <v>#N/A</v>
      </c>
      <c r="H239" s="1094" t="e">
        <f t="shared" si="21"/>
        <v>#N/A</v>
      </c>
      <c r="I239" s="1094" t="e">
        <f t="shared" si="22"/>
        <v>#N/A</v>
      </c>
      <c r="P239" s="688">
        <f>LOOKUP(J239,'ETAT-PAY-PERM'!J:J,'ETAT-PAY-PERM'!S:S)</f>
        <v>0</v>
      </c>
      <c r="Q239" s="1095">
        <f t="shared" si="23"/>
        <v>0</v>
      </c>
      <c r="R239" s="1095" t="str">
        <f t="shared" si="24"/>
        <v/>
      </c>
    </row>
    <row r="240" spans="1:18" ht="18.75" thickBot="1">
      <c r="A240" s="1085">
        <f>'Base-D'!A240</f>
        <v>239</v>
      </c>
      <c r="B240" s="1085">
        <f>'Base-D'!AX240</f>
        <v>0</v>
      </c>
      <c r="C240" s="1085" t="e">
        <f>LOOKUP(A240,'Base-D'!A:A,'Base-D'!BP:BP)</f>
        <v>#N/A</v>
      </c>
      <c r="D240" s="1085">
        <f>'Base-D'!S240</f>
        <v>0</v>
      </c>
      <c r="E240" s="1086"/>
      <c r="F240" s="1087"/>
      <c r="G240" s="1087" t="e">
        <f>LOOKUP(A240,'ETAT-PAY-PERM'!A:A,'ETAT-PAY-PERM'!J:J)</f>
        <v>#N/A</v>
      </c>
      <c r="H240" s="1094" t="e">
        <f t="shared" si="21"/>
        <v>#N/A</v>
      </c>
      <c r="I240" s="1094" t="e">
        <f t="shared" si="22"/>
        <v>#N/A</v>
      </c>
      <c r="P240" s="688">
        <f>LOOKUP(J240,'ETAT-PAY-PERM'!J:J,'ETAT-PAY-PERM'!S:S)</f>
        <v>0</v>
      </c>
      <c r="Q240" s="1095">
        <f t="shared" si="23"/>
        <v>0</v>
      </c>
      <c r="R240" s="1095" t="str">
        <f t="shared" si="24"/>
        <v/>
      </c>
    </row>
    <row r="241" spans="1:18" ht="18.75" thickBot="1">
      <c r="A241" s="1085">
        <f>'Base-D'!A241</f>
        <v>240</v>
      </c>
      <c r="B241" s="1085">
        <f>'Base-D'!AX241</f>
        <v>0</v>
      </c>
      <c r="C241" s="1085" t="e">
        <f>LOOKUP(A241,'Base-D'!A:A,'Base-D'!BP:BP)</f>
        <v>#N/A</v>
      </c>
      <c r="D241" s="1085">
        <f>'Base-D'!S241</f>
        <v>0</v>
      </c>
      <c r="E241" s="1086"/>
      <c r="F241" s="1087"/>
      <c r="G241" s="1087" t="e">
        <f>LOOKUP(A241,'ETAT-PAY-PERM'!A:A,'ETAT-PAY-PERM'!J:J)</f>
        <v>#N/A</v>
      </c>
      <c r="H241" s="1094" t="e">
        <f t="shared" si="21"/>
        <v>#N/A</v>
      </c>
      <c r="I241" s="1094" t="e">
        <f t="shared" si="22"/>
        <v>#N/A</v>
      </c>
      <c r="P241" s="688">
        <f>LOOKUP(J241,'ETAT-PAY-PERM'!J:J,'ETAT-PAY-PERM'!S:S)</f>
        <v>0</v>
      </c>
      <c r="Q241" s="1095">
        <f t="shared" si="23"/>
        <v>0</v>
      </c>
      <c r="R241" s="1095" t="str">
        <f t="shared" si="24"/>
        <v/>
      </c>
    </row>
    <row r="242" spans="1:18" ht="18.75" thickBot="1">
      <c r="A242" s="1085">
        <f>'Base-D'!A242</f>
        <v>241</v>
      </c>
      <c r="B242" s="1085">
        <f>'Base-D'!AX242</f>
        <v>0</v>
      </c>
      <c r="C242" s="1085" t="e">
        <f>LOOKUP(A242,'Base-D'!A:A,'Base-D'!BP:BP)</f>
        <v>#N/A</v>
      </c>
      <c r="D242" s="1085">
        <f>'Base-D'!S242</f>
        <v>0</v>
      </c>
      <c r="E242" s="1086"/>
      <c r="F242" s="1087"/>
      <c r="G242" s="1087" t="e">
        <f>LOOKUP(A242,'ETAT-PAY-PERM'!A:A,'ETAT-PAY-PERM'!J:J)</f>
        <v>#N/A</v>
      </c>
      <c r="H242" s="1094" t="e">
        <f t="shared" si="21"/>
        <v>#N/A</v>
      </c>
      <c r="I242" s="1094" t="e">
        <f t="shared" si="22"/>
        <v>#N/A</v>
      </c>
      <c r="P242" s="688">
        <f>LOOKUP(J242,'ETAT-PAY-PERM'!J:J,'ETAT-PAY-PERM'!S:S)</f>
        <v>0</v>
      </c>
      <c r="Q242" s="1095">
        <f t="shared" si="23"/>
        <v>0</v>
      </c>
      <c r="R242" s="1095" t="str">
        <f t="shared" si="24"/>
        <v/>
      </c>
    </row>
    <row r="243" spans="1:18" ht="18.75" thickBot="1">
      <c r="A243" s="1085">
        <f>'Base-D'!A243</f>
        <v>242</v>
      </c>
      <c r="B243" s="1085">
        <f>'Base-D'!AX243</f>
        <v>0</v>
      </c>
      <c r="C243" s="1085" t="e">
        <f>LOOKUP(A243,'Base-D'!A:A,'Base-D'!BP:BP)</f>
        <v>#N/A</v>
      </c>
      <c r="D243" s="1085">
        <f>'Base-D'!S243</f>
        <v>0</v>
      </c>
      <c r="E243" s="1086"/>
      <c r="F243" s="1087"/>
      <c r="G243" s="1087" t="e">
        <f>LOOKUP(A243,'ETAT-PAY-PERM'!A:A,'ETAT-PAY-PERM'!J:J)</f>
        <v>#N/A</v>
      </c>
      <c r="H243" s="1094" t="e">
        <f t="shared" si="21"/>
        <v>#N/A</v>
      </c>
      <c r="I243" s="1094" t="e">
        <f t="shared" si="22"/>
        <v>#N/A</v>
      </c>
      <c r="P243" s="688">
        <f>LOOKUP(J243,'ETAT-PAY-PERM'!J:J,'ETAT-PAY-PERM'!S:S)</f>
        <v>0</v>
      </c>
      <c r="Q243" s="1095">
        <f t="shared" si="23"/>
        <v>0</v>
      </c>
      <c r="R243" s="1095" t="str">
        <f t="shared" si="24"/>
        <v/>
      </c>
    </row>
    <row r="244" spans="1:18" ht="18.75" thickBot="1">
      <c r="A244" s="1085">
        <f>'Base-D'!A244</f>
        <v>243</v>
      </c>
      <c r="B244" s="1085">
        <f>'Base-D'!AX244</f>
        <v>0</v>
      </c>
      <c r="C244" s="1085" t="e">
        <f>LOOKUP(A244,'Base-D'!A:A,'Base-D'!BP:BP)</f>
        <v>#N/A</v>
      </c>
      <c r="D244" s="1085">
        <f>'Base-D'!S244</f>
        <v>0</v>
      </c>
      <c r="E244" s="1086"/>
      <c r="F244" s="1087"/>
      <c r="G244" s="1087" t="e">
        <f>LOOKUP(A244,'ETAT-PAY-PERM'!A:A,'ETAT-PAY-PERM'!J:J)</f>
        <v>#N/A</v>
      </c>
      <c r="H244" s="1094" t="e">
        <f t="shared" si="21"/>
        <v>#N/A</v>
      </c>
      <c r="I244" s="1094" t="e">
        <f t="shared" si="22"/>
        <v>#N/A</v>
      </c>
      <c r="P244" s="688">
        <f>LOOKUP(J244,'ETAT-PAY-PERM'!J:J,'ETAT-PAY-PERM'!S:S)</f>
        <v>0</v>
      </c>
      <c r="Q244" s="1095">
        <f t="shared" si="23"/>
        <v>0</v>
      </c>
      <c r="R244" s="1095" t="str">
        <f t="shared" si="24"/>
        <v/>
      </c>
    </row>
    <row r="245" spans="1:18" ht="18.75" thickBot="1">
      <c r="A245" s="1085">
        <f>'Base-D'!A245</f>
        <v>244</v>
      </c>
      <c r="B245" s="1085">
        <f>'Base-D'!AX245</f>
        <v>0</v>
      </c>
      <c r="C245" s="1085" t="e">
        <f>LOOKUP(A245,'Base-D'!A:A,'Base-D'!BP:BP)</f>
        <v>#N/A</v>
      </c>
      <c r="D245" s="1085">
        <f>'Base-D'!S245</f>
        <v>0</v>
      </c>
      <c r="E245" s="1086"/>
      <c r="F245" s="1087"/>
      <c r="G245" s="1087" t="e">
        <f>LOOKUP(A245,'ETAT-PAY-PERM'!A:A,'ETAT-PAY-PERM'!J:J)</f>
        <v>#N/A</v>
      </c>
      <c r="H245" s="1094" t="e">
        <f t="shared" si="21"/>
        <v>#N/A</v>
      </c>
      <c r="I245" s="1094" t="e">
        <f t="shared" si="22"/>
        <v>#N/A</v>
      </c>
      <c r="P245" s="688">
        <f>LOOKUP(J245,'ETAT-PAY-PERM'!J:J,'ETAT-PAY-PERM'!S:S)</f>
        <v>0</v>
      </c>
      <c r="Q245" s="1095">
        <f t="shared" si="23"/>
        <v>0</v>
      </c>
      <c r="R245" s="1095" t="str">
        <f t="shared" si="24"/>
        <v/>
      </c>
    </row>
    <row r="246" spans="1:18" ht="18.75" thickBot="1">
      <c r="A246" s="1085">
        <f>'Base-D'!A246</f>
        <v>245</v>
      </c>
      <c r="B246" s="1085">
        <f>'Base-D'!AX246</f>
        <v>0</v>
      </c>
      <c r="C246" s="1085" t="e">
        <f>LOOKUP(A246,'Base-D'!A:A,'Base-D'!BP:BP)</f>
        <v>#N/A</v>
      </c>
      <c r="D246" s="1085">
        <f>'Base-D'!S246</f>
        <v>0</v>
      </c>
      <c r="E246" s="1086"/>
      <c r="F246" s="1087"/>
      <c r="G246" s="1087" t="e">
        <f>LOOKUP(A246,'ETAT-PAY-PERM'!A:A,'ETAT-PAY-PERM'!J:J)</f>
        <v>#N/A</v>
      </c>
      <c r="H246" s="1094" t="e">
        <f t="shared" si="21"/>
        <v>#N/A</v>
      </c>
      <c r="I246" s="1094" t="e">
        <f t="shared" si="22"/>
        <v>#N/A</v>
      </c>
      <c r="P246" s="688">
        <f>LOOKUP(J246,'ETAT-PAY-PERM'!J:J,'ETAT-PAY-PERM'!S:S)</f>
        <v>0</v>
      </c>
      <c r="Q246" s="1095">
        <f t="shared" si="23"/>
        <v>0</v>
      </c>
      <c r="R246" s="1095" t="str">
        <f t="shared" si="24"/>
        <v/>
      </c>
    </row>
    <row r="247" spans="1:18" ht="18.75" thickBot="1">
      <c r="A247" s="1085">
        <f>'Base-D'!A247</f>
        <v>246</v>
      </c>
      <c r="B247" s="1085">
        <f>'Base-D'!AX247</f>
        <v>0</v>
      </c>
      <c r="C247" s="1085" t="e">
        <f>LOOKUP(A247,'Base-D'!A:A,'Base-D'!BP:BP)</f>
        <v>#N/A</v>
      </c>
      <c r="D247" s="1085">
        <f>'Base-D'!S247</f>
        <v>0</v>
      </c>
      <c r="E247" s="1086"/>
      <c r="F247" s="1087"/>
      <c r="G247" s="1087" t="e">
        <f>LOOKUP(A247,'ETAT-PAY-PERM'!A:A,'ETAT-PAY-PERM'!J:J)</f>
        <v>#N/A</v>
      </c>
      <c r="H247" s="1094" t="e">
        <f t="shared" si="21"/>
        <v>#N/A</v>
      </c>
      <c r="I247" s="1094" t="e">
        <f t="shared" si="22"/>
        <v>#N/A</v>
      </c>
      <c r="P247" s="688">
        <f>LOOKUP(J247,'ETAT-PAY-PERM'!J:J,'ETAT-PAY-PERM'!S:S)</f>
        <v>0</v>
      </c>
      <c r="Q247" s="1095">
        <f t="shared" si="23"/>
        <v>0</v>
      </c>
      <c r="R247" s="1095" t="str">
        <f t="shared" si="24"/>
        <v/>
      </c>
    </row>
    <row r="248" spans="1:18" ht="18.75" thickBot="1">
      <c r="A248" s="1085">
        <f>'Base-D'!A248</f>
        <v>247</v>
      </c>
      <c r="B248" s="1085">
        <f>'Base-D'!AX248</f>
        <v>0</v>
      </c>
      <c r="C248" s="1085" t="e">
        <f>LOOKUP(A248,'Base-D'!A:A,'Base-D'!BP:BP)</f>
        <v>#N/A</v>
      </c>
      <c r="D248" s="1085">
        <f>'Base-D'!S248</f>
        <v>0</v>
      </c>
      <c r="E248" s="1086"/>
      <c r="F248" s="1087"/>
      <c r="G248" s="1087" t="e">
        <f>LOOKUP(A248,'ETAT-PAY-PERM'!A:A,'ETAT-PAY-PERM'!J:J)</f>
        <v>#N/A</v>
      </c>
      <c r="H248" s="1094" t="e">
        <f t="shared" si="21"/>
        <v>#N/A</v>
      </c>
      <c r="I248" s="1094" t="e">
        <f t="shared" si="22"/>
        <v>#N/A</v>
      </c>
      <c r="P248" s="688">
        <f>LOOKUP(J248,'ETAT-PAY-PERM'!J:J,'ETAT-PAY-PERM'!S:S)</f>
        <v>0</v>
      </c>
      <c r="Q248" s="1095">
        <f t="shared" si="23"/>
        <v>0</v>
      </c>
      <c r="R248" s="1095" t="str">
        <f t="shared" si="24"/>
        <v/>
      </c>
    </row>
    <row r="249" spans="1:18" ht="18.75" thickBot="1">
      <c r="A249" s="1085">
        <f>'Base-D'!A249</f>
        <v>248</v>
      </c>
      <c r="B249" s="1085">
        <f>'Base-D'!AX249</f>
        <v>0</v>
      </c>
      <c r="C249" s="1085" t="e">
        <f>LOOKUP(A249,'Base-D'!A:A,'Base-D'!BP:BP)</f>
        <v>#N/A</v>
      </c>
      <c r="D249" s="1085">
        <f>'Base-D'!S249</f>
        <v>0</v>
      </c>
      <c r="E249" s="1086"/>
      <c r="F249" s="1087"/>
      <c r="G249" s="1087" t="e">
        <f>LOOKUP(A249,'ETAT-PAY-PERM'!A:A,'ETAT-PAY-PERM'!J:J)</f>
        <v>#N/A</v>
      </c>
      <c r="H249" s="1094" t="e">
        <f t="shared" si="21"/>
        <v>#N/A</v>
      </c>
      <c r="I249" s="1094" t="e">
        <f t="shared" si="22"/>
        <v>#N/A</v>
      </c>
      <c r="P249" s="688">
        <f>LOOKUP(J249,'ETAT-PAY-PERM'!J:J,'ETAT-PAY-PERM'!S:S)</f>
        <v>0</v>
      </c>
      <c r="Q249" s="1095">
        <f t="shared" si="23"/>
        <v>0</v>
      </c>
      <c r="R249" s="1095" t="str">
        <f t="shared" si="24"/>
        <v/>
      </c>
    </row>
    <row r="250" spans="1:18" ht="18.75" thickBot="1">
      <c r="A250" s="1085">
        <f>'Base-D'!A250</f>
        <v>249</v>
      </c>
      <c r="B250" s="1085">
        <f>'Base-D'!AX250</f>
        <v>0</v>
      </c>
      <c r="C250" s="1085" t="e">
        <f>LOOKUP(A250,'Base-D'!A:A,'Base-D'!BP:BP)</f>
        <v>#N/A</v>
      </c>
      <c r="D250" s="1085">
        <f>'Base-D'!S250</f>
        <v>0</v>
      </c>
      <c r="E250" s="1086"/>
      <c r="F250" s="1087"/>
      <c r="G250" s="1087" t="e">
        <f>LOOKUP(A250,'ETAT-PAY-PERM'!A:A,'ETAT-PAY-PERM'!J:J)</f>
        <v>#N/A</v>
      </c>
      <c r="H250" s="1094" t="e">
        <f t="shared" si="21"/>
        <v>#N/A</v>
      </c>
      <c r="I250" s="1094" t="e">
        <f t="shared" si="22"/>
        <v>#N/A</v>
      </c>
      <c r="P250" s="688">
        <f>LOOKUP(J250,'ETAT-PAY-PERM'!J:J,'ETAT-PAY-PERM'!S:S)</f>
        <v>0</v>
      </c>
      <c r="Q250" s="1095">
        <f t="shared" si="23"/>
        <v>0</v>
      </c>
      <c r="R250" s="1095" t="str">
        <f t="shared" si="24"/>
        <v/>
      </c>
    </row>
    <row r="251" spans="1:18" ht="18.75" thickBot="1">
      <c r="A251" s="1085">
        <f>'Base-D'!A251</f>
        <v>250</v>
      </c>
      <c r="B251" s="1085">
        <f>'Base-D'!AX251</f>
        <v>0</v>
      </c>
      <c r="C251" s="1085" t="e">
        <f>LOOKUP(A251,'Base-D'!A:A,'Base-D'!BP:BP)</f>
        <v>#N/A</v>
      </c>
      <c r="D251" s="1085">
        <f>'Base-D'!S251</f>
        <v>0</v>
      </c>
      <c r="E251" s="1086"/>
      <c r="F251" s="1087"/>
      <c r="G251" s="1087" t="e">
        <f>LOOKUP(A251,'ETAT-PAY-PERM'!A:A,'ETAT-PAY-PERM'!J:J)</f>
        <v>#N/A</v>
      </c>
      <c r="H251" s="1094" t="e">
        <f t="shared" si="21"/>
        <v>#N/A</v>
      </c>
      <c r="I251" s="1094" t="e">
        <f t="shared" si="22"/>
        <v>#N/A</v>
      </c>
      <c r="P251" s="688">
        <f>LOOKUP(J251,'ETAT-PAY-PERM'!J:J,'ETAT-PAY-PERM'!S:S)</f>
        <v>0</v>
      </c>
      <c r="Q251" s="1095">
        <f t="shared" si="23"/>
        <v>0</v>
      </c>
      <c r="R251" s="1095" t="str">
        <f t="shared" si="24"/>
        <v/>
      </c>
    </row>
    <row r="252" spans="1:18" ht="18.75" thickBot="1">
      <c r="A252" s="1085">
        <f>'Base-D'!A252</f>
        <v>251</v>
      </c>
      <c r="B252" s="1085">
        <f>'Base-D'!AX252</f>
        <v>0</v>
      </c>
      <c r="C252" s="1085" t="e">
        <f>LOOKUP(A252,'Base-D'!A:A,'Base-D'!BP:BP)</f>
        <v>#N/A</v>
      </c>
      <c r="D252" s="1085">
        <f>'Base-D'!S252</f>
        <v>0</v>
      </c>
      <c r="E252" s="1086"/>
      <c r="F252" s="1087"/>
      <c r="G252" s="1087" t="e">
        <f>LOOKUP(A252,'ETAT-PAY-PERM'!A:A,'ETAT-PAY-PERM'!J:J)</f>
        <v>#N/A</v>
      </c>
      <c r="H252" s="1094" t="e">
        <f t="shared" si="21"/>
        <v>#N/A</v>
      </c>
      <c r="I252" s="1094" t="e">
        <f t="shared" si="22"/>
        <v>#N/A</v>
      </c>
      <c r="P252" s="688">
        <f>LOOKUP(J252,'ETAT-PAY-PERM'!J:J,'ETAT-PAY-PERM'!S:S)</f>
        <v>0</v>
      </c>
      <c r="Q252" s="1095">
        <f t="shared" si="23"/>
        <v>0</v>
      </c>
      <c r="R252" s="1095" t="str">
        <f t="shared" si="24"/>
        <v/>
      </c>
    </row>
    <row r="253" spans="1:18" ht="18.75" thickBot="1">
      <c r="A253" s="1085">
        <f>'Base-D'!A253</f>
        <v>252</v>
      </c>
      <c r="B253" s="1085">
        <f>'Base-D'!AX253</f>
        <v>0</v>
      </c>
      <c r="C253" s="1085" t="e">
        <f>LOOKUP(A253,'Base-D'!A:A,'Base-D'!BP:BP)</f>
        <v>#N/A</v>
      </c>
      <c r="D253" s="1085">
        <f>'Base-D'!S253</f>
        <v>0</v>
      </c>
      <c r="E253" s="1086"/>
      <c r="F253" s="1087"/>
      <c r="G253" s="1087" t="e">
        <f>LOOKUP(A253,'ETAT-PAY-PERM'!A:A,'ETAT-PAY-PERM'!J:J)</f>
        <v>#N/A</v>
      </c>
      <c r="H253" s="1094" t="e">
        <f t="shared" si="21"/>
        <v>#N/A</v>
      </c>
      <c r="I253" s="1094" t="e">
        <f t="shared" si="22"/>
        <v>#N/A</v>
      </c>
      <c r="P253" s="688">
        <f>LOOKUP(J253,'ETAT-PAY-PERM'!J:J,'ETAT-PAY-PERM'!S:S)</f>
        <v>0</v>
      </c>
      <c r="Q253" s="1095">
        <f t="shared" si="23"/>
        <v>0</v>
      </c>
      <c r="R253" s="1095" t="str">
        <f t="shared" si="24"/>
        <v/>
      </c>
    </row>
    <row r="254" spans="1:18" ht="18.75" thickBot="1">
      <c r="A254" s="1085">
        <f>'Base-D'!A254</f>
        <v>253</v>
      </c>
      <c r="B254" s="1085">
        <f>'Base-D'!AX254</f>
        <v>0</v>
      </c>
      <c r="C254" s="1085" t="e">
        <f>LOOKUP(A254,'Base-D'!A:A,'Base-D'!BP:BP)</f>
        <v>#N/A</v>
      </c>
      <c r="D254" s="1085">
        <f>'Base-D'!S254</f>
        <v>0</v>
      </c>
      <c r="E254" s="1086"/>
      <c r="F254" s="1087"/>
      <c r="G254" s="1087" t="e">
        <f>LOOKUP(A254,'ETAT-PAY-PERM'!A:A,'ETAT-PAY-PERM'!J:J)</f>
        <v>#N/A</v>
      </c>
      <c r="H254" s="1094" t="e">
        <f t="shared" si="21"/>
        <v>#N/A</v>
      </c>
      <c r="I254" s="1094" t="e">
        <f t="shared" si="22"/>
        <v>#N/A</v>
      </c>
      <c r="P254" s="688">
        <f>LOOKUP(J254,'ETAT-PAY-PERM'!J:J,'ETAT-PAY-PERM'!S:S)</f>
        <v>0</v>
      </c>
      <c r="Q254" s="1095">
        <f t="shared" si="23"/>
        <v>0</v>
      </c>
      <c r="R254" s="1095" t="str">
        <f t="shared" si="24"/>
        <v/>
      </c>
    </row>
    <row r="255" spans="1:18" ht="18.75" thickBot="1">
      <c r="A255" s="1085">
        <f>'Base-D'!A255</f>
        <v>254</v>
      </c>
      <c r="B255" s="1085">
        <f>'Base-D'!AX255</f>
        <v>0</v>
      </c>
      <c r="C255" s="1085" t="e">
        <f>LOOKUP(A255,'Base-D'!A:A,'Base-D'!BP:BP)</f>
        <v>#N/A</v>
      </c>
      <c r="D255" s="1085">
        <f>'Base-D'!S255</f>
        <v>0</v>
      </c>
      <c r="E255" s="1086"/>
      <c r="F255" s="1087"/>
      <c r="G255" s="1087" t="e">
        <f>LOOKUP(A255,'ETAT-PAY-PERM'!A:A,'ETAT-PAY-PERM'!J:J)</f>
        <v>#N/A</v>
      </c>
      <c r="H255" s="1094" t="e">
        <f t="shared" si="21"/>
        <v>#N/A</v>
      </c>
      <c r="I255" s="1094" t="e">
        <f t="shared" si="22"/>
        <v>#N/A</v>
      </c>
      <c r="P255" s="688">
        <f>LOOKUP(J255,'ETAT-PAY-PERM'!J:J,'ETAT-PAY-PERM'!S:S)</f>
        <v>0</v>
      </c>
      <c r="Q255" s="1095">
        <f t="shared" si="23"/>
        <v>0</v>
      </c>
      <c r="R255" s="1095" t="str">
        <f t="shared" si="24"/>
        <v/>
      </c>
    </row>
    <row r="256" spans="1:18" ht="18.75" thickBot="1">
      <c r="A256" s="1085">
        <f>'Base-D'!A256</f>
        <v>255</v>
      </c>
      <c r="B256" s="1085">
        <f>'Base-D'!AX256</f>
        <v>0</v>
      </c>
      <c r="C256" s="1085" t="e">
        <f>LOOKUP(A256,'Base-D'!A:A,'Base-D'!BP:BP)</f>
        <v>#N/A</v>
      </c>
      <c r="D256" s="1085">
        <f>'Base-D'!S256</f>
        <v>0</v>
      </c>
      <c r="E256" s="1086"/>
      <c r="F256" s="1087"/>
      <c r="G256" s="1087" t="e">
        <f>LOOKUP(A256,'ETAT-PAY-PERM'!A:A,'ETAT-PAY-PERM'!J:J)</f>
        <v>#N/A</v>
      </c>
      <c r="H256" s="1094" t="e">
        <f t="shared" si="21"/>
        <v>#N/A</v>
      </c>
      <c r="I256" s="1094" t="e">
        <f t="shared" si="22"/>
        <v>#N/A</v>
      </c>
      <c r="P256" s="688">
        <f>LOOKUP(J256,'ETAT-PAY-PERM'!J:J,'ETAT-PAY-PERM'!S:S)</f>
        <v>0</v>
      </c>
      <c r="Q256" s="1095">
        <f t="shared" si="23"/>
        <v>0</v>
      </c>
      <c r="R256" s="1095" t="str">
        <f t="shared" si="24"/>
        <v/>
      </c>
    </row>
    <row r="257" spans="1:18" ht="18.75" thickBot="1">
      <c r="A257" s="1085">
        <f>'Base-D'!A257</f>
        <v>256</v>
      </c>
      <c r="B257" s="1085">
        <f>'Base-D'!AX257</f>
        <v>0</v>
      </c>
      <c r="C257" s="1085" t="e">
        <f>LOOKUP(A257,'Base-D'!A:A,'Base-D'!BP:BP)</f>
        <v>#N/A</v>
      </c>
      <c r="D257" s="1085">
        <f>'Base-D'!S257</f>
        <v>0</v>
      </c>
      <c r="E257" s="1086"/>
      <c r="F257" s="1087"/>
      <c r="G257" s="1087" t="e">
        <f>LOOKUP(A257,'ETAT-PAY-PERM'!A:A,'ETAT-PAY-PERM'!J:J)</f>
        <v>#N/A</v>
      </c>
      <c r="H257" s="1094" t="e">
        <f t="shared" si="21"/>
        <v>#N/A</v>
      </c>
      <c r="I257" s="1094" t="e">
        <f t="shared" si="22"/>
        <v>#N/A</v>
      </c>
      <c r="P257" s="688">
        <f>LOOKUP(J257,'ETAT-PAY-PERM'!J:J,'ETAT-PAY-PERM'!S:S)</f>
        <v>0</v>
      </c>
      <c r="Q257" s="1095">
        <f t="shared" si="23"/>
        <v>0</v>
      </c>
      <c r="R257" s="1095" t="str">
        <f t="shared" si="24"/>
        <v/>
      </c>
    </row>
    <row r="258" spans="1:18" ht="18.75" thickBot="1">
      <c r="A258" s="1085">
        <f>'Base-D'!A258</f>
        <v>257</v>
      </c>
      <c r="B258" s="1085">
        <f>'Base-D'!AX258</f>
        <v>0</v>
      </c>
      <c r="C258" s="1085" t="e">
        <f>LOOKUP(A258,'Base-D'!A:A,'Base-D'!BP:BP)</f>
        <v>#N/A</v>
      </c>
      <c r="D258" s="1085">
        <f>'Base-D'!S258</f>
        <v>0</v>
      </c>
      <c r="E258" s="1086"/>
      <c r="F258" s="1087"/>
      <c r="G258" s="1087" t="e">
        <f>LOOKUP(A258,'ETAT-PAY-PERM'!A:A,'ETAT-PAY-PERM'!J:J)</f>
        <v>#N/A</v>
      </c>
      <c r="H258" s="1094" t="e">
        <f t="shared" si="21"/>
        <v>#N/A</v>
      </c>
      <c r="I258" s="1094" t="e">
        <f t="shared" si="22"/>
        <v>#N/A</v>
      </c>
      <c r="P258" s="688">
        <f>LOOKUP(J258,'ETAT-PAY-PERM'!J:J,'ETAT-PAY-PERM'!S:S)</f>
        <v>0</v>
      </c>
      <c r="Q258" s="1095">
        <f t="shared" si="23"/>
        <v>0</v>
      </c>
      <c r="R258" s="1095" t="str">
        <f t="shared" si="24"/>
        <v/>
      </c>
    </row>
    <row r="259" spans="1:18" ht="18.75" thickBot="1">
      <c r="A259" s="1085">
        <f>'Base-D'!A259</f>
        <v>258</v>
      </c>
      <c r="B259" s="1085">
        <f>'Base-D'!AX259</f>
        <v>0</v>
      </c>
      <c r="C259" s="1085" t="e">
        <f>LOOKUP(A259,'Base-D'!A:A,'Base-D'!BP:BP)</f>
        <v>#N/A</v>
      </c>
      <c r="D259" s="1085">
        <f>'Base-D'!S259</f>
        <v>0</v>
      </c>
      <c r="E259" s="1086"/>
      <c r="F259" s="1087"/>
      <c r="G259" s="1087" t="e">
        <f>LOOKUP(A259,'ETAT-PAY-PERM'!A:A,'ETAT-PAY-PERM'!J:J)</f>
        <v>#N/A</v>
      </c>
      <c r="H259" s="1094" t="e">
        <f t="shared" ref="H259:H322" si="25">IF(G259&gt;1,1,0)</f>
        <v>#N/A</v>
      </c>
      <c r="I259" s="1094" t="e">
        <f t="shared" ref="I259:I322" si="26">IF(H259=0,"",A259)</f>
        <v>#N/A</v>
      </c>
      <c r="P259" s="688">
        <f>LOOKUP(J259,'ETAT-PAY-PERM'!J:J,'ETAT-PAY-PERM'!S:S)</f>
        <v>0</v>
      </c>
      <c r="Q259" s="1095">
        <f t="shared" ref="Q259:Q322" si="27">IF(P259&gt;1,1,0)</f>
        <v>0</v>
      </c>
      <c r="R259" s="1095" t="str">
        <f t="shared" ref="R259:R322" si="28">IF(Q259=0,"",J259)</f>
        <v/>
      </c>
    </row>
    <row r="260" spans="1:18" ht="18.75" thickBot="1">
      <c r="A260" s="1085">
        <f>'Base-D'!A260</f>
        <v>259</v>
      </c>
      <c r="B260" s="1085">
        <f>'Base-D'!AX260</f>
        <v>0</v>
      </c>
      <c r="C260" s="1085" t="e">
        <f>LOOKUP(A260,'Base-D'!A:A,'Base-D'!BP:BP)</f>
        <v>#N/A</v>
      </c>
      <c r="D260" s="1085">
        <f>'Base-D'!S260</f>
        <v>0</v>
      </c>
      <c r="E260" s="1086"/>
      <c r="F260" s="1087"/>
      <c r="G260" s="1087" t="e">
        <f>LOOKUP(A260,'ETAT-PAY-PERM'!A:A,'ETAT-PAY-PERM'!J:J)</f>
        <v>#N/A</v>
      </c>
      <c r="H260" s="1094" t="e">
        <f t="shared" si="25"/>
        <v>#N/A</v>
      </c>
      <c r="I260" s="1094" t="e">
        <f t="shared" si="26"/>
        <v>#N/A</v>
      </c>
      <c r="P260" s="688">
        <f>LOOKUP(J260,'ETAT-PAY-PERM'!J:J,'ETAT-PAY-PERM'!S:S)</f>
        <v>0</v>
      </c>
      <c r="Q260" s="1095">
        <f t="shared" si="27"/>
        <v>0</v>
      </c>
      <c r="R260" s="1095" t="str">
        <f t="shared" si="28"/>
        <v/>
      </c>
    </row>
    <row r="261" spans="1:18" ht="18.75" thickBot="1">
      <c r="A261" s="1085">
        <f>'Base-D'!A261</f>
        <v>260</v>
      </c>
      <c r="B261" s="1085">
        <f>'Base-D'!AX261</f>
        <v>0</v>
      </c>
      <c r="C261" s="1085" t="e">
        <f>LOOKUP(A261,'Base-D'!A:A,'Base-D'!BP:BP)</f>
        <v>#N/A</v>
      </c>
      <c r="D261" s="1085">
        <f>'Base-D'!S261</f>
        <v>0</v>
      </c>
      <c r="E261" s="1086"/>
      <c r="F261" s="1087"/>
      <c r="G261" s="1087" t="e">
        <f>LOOKUP(A261,'ETAT-PAY-PERM'!A:A,'ETAT-PAY-PERM'!J:J)</f>
        <v>#N/A</v>
      </c>
      <c r="H261" s="1094" t="e">
        <f t="shared" si="25"/>
        <v>#N/A</v>
      </c>
      <c r="I261" s="1094" t="e">
        <f t="shared" si="26"/>
        <v>#N/A</v>
      </c>
      <c r="P261" s="688">
        <f>LOOKUP(J261,'ETAT-PAY-PERM'!J:J,'ETAT-PAY-PERM'!S:S)</f>
        <v>0</v>
      </c>
      <c r="Q261" s="1095">
        <f t="shared" si="27"/>
        <v>0</v>
      </c>
      <c r="R261" s="1095" t="str">
        <f t="shared" si="28"/>
        <v/>
      </c>
    </row>
    <row r="262" spans="1:18" ht="18.75" thickBot="1">
      <c r="A262" s="1085">
        <f>'Base-D'!A262</f>
        <v>261</v>
      </c>
      <c r="B262" s="1085">
        <f>'Base-D'!AX262</f>
        <v>0</v>
      </c>
      <c r="C262" s="1085" t="e">
        <f>LOOKUP(A262,'Base-D'!A:A,'Base-D'!BP:BP)</f>
        <v>#N/A</v>
      </c>
      <c r="D262" s="1085">
        <f>'Base-D'!S262</f>
        <v>0</v>
      </c>
      <c r="E262" s="1086"/>
      <c r="F262" s="1087"/>
      <c r="G262" s="1087" t="e">
        <f>LOOKUP(A262,'ETAT-PAY-PERM'!A:A,'ETAT-PAY-PERM'!J:J)</f>
        <v>#N/A</v>
      </c>
      <c r="H262" s="1094" t="e">
        <f t="shared" si="25"/>
        <v>#N/A</v>
      </c>
      <c r="I262" s="1094" t="e">
        <f t="shared" si="26"/>
        <v>#N/A</v>
      </c>
      <c r="P262" s="688">
        <f>LOOKUP(J262,'ETAT-PAY-PERM'!J:J,'ETAT-PAY-PERM'!S:S)</f>
        <v>0</v>
      </c>
      <c r="Q262" s="1095">
        <f t="shared" si="27"/>
        <v>0</v>
      </c>
      <c r="R262" s="1095" t="str">
        <f t="shared" si="28"/>
        <v/>
      </c>
    </row>
    <row r="263" spans="1:18" ht="18.75" thickBot="1">
      <c r="A263" s="1085">
        <f>'Base-D'!A263</f>
        <v>262</v>
      </c>
      <c r="B263" s="1085">
        <f>'Base-D'!AX263</f>
        <v>0</v>
      </c>
      <c r="C263" s="1085" t="e">
        <f>LOOKUP(A263,'Base-D'!A:A,'Base-D'!BP:BP)</f>
        <v>#N/A</v>
      </c>
      <c r="D263" s="1085">
        <f>'Base-D'!S263</f>
        <v>0</v>
      </c>
      <c r="E263" s="1086"/>
      <c r="F263" s="1087"/>
      <c r="G263" s="1087" t="e">
        <f>LOOKUP(A263,'ETAT-PAY-PERM'!A:A,'ETAT-PAY-PERM'!J:J)</f>
        <v>#N/A</v>
      </c>
      <c r="H263" s="1094" t="e">
        <f t="shared" si="25"/>
        <v>#N/A</v>
      </c>
      <c r="I263" s="1094" t="e">
        <f t="shared" si="26"/>
        <v>#N/A</v>
      </c>
      <c r="P263" s="688">
        <f>LOOKUP(J263,'ETAT-PAY-PERM'!J:J,'ETAT-PAY-PERM'!S:S)</f>
        <v>0</v>
      </c>
      <c r="Q263" s="1095">
        <f t="shared" si="27"/>
        <v>0</v>
      </c>
      <c r="R263" s="1095" t="str">
        <f t="shared" si="28"/>
        <v/>
      </c>
    </row>
    <row r="264" spans="1:18" ht="18.75" thickBot="1">
      <c r="A264" s="1085">
        <f>'Base-D'!A264</f>
        <v>263</v>
      </c>
      <c r="B264" s="1085">
        <f>'Base-D'!AX264</f>
        <v>0</v>
      </c>
      <c r="C264" s="1085" t="e">
        <f>LOOKUP(A264,'Base-D'!A:A,'Base-D'!BP:BP)</f>
        <v>#N/A</v>
      </c>
      <c r="D264" s="1085">
        <f>'Base-D'!S264</f>
        <v>0</v>
      </c>
      <c r="E264" s="1086"/>
      <c r="F264" s="1087"/>
      <c r="G264" s="1087" t="e">
        <f>LOOKUP(A264,'ETAT-PAY-PERM'!A:A,'ETAT-PAY-PERM'!J:J)</f>
        <v>#N/A</v>
      </c>
      <c r="H264" s="1094" t="e">
        <f t="shared" si="25"/>
        <v>#N/A</v>
      </c>
      <c r="I264" s="1094" t="e">
        <f t="shared" si="26"/>
        <v>#N/A</v>
      </c>
      <c r="P264" s="688">
        <f>LOOKUP(J264,'ETAT-PAY-PERM'!J:J,'ETAT-PAY-PERM'!S:S)</f>
        <v>0</v>
      </c>
      <c r="Q264" s="1095">
        <f t="shared" si="27"/>
        <v>0</v>
      </c>
      <c r="R264" s="1095" t="str">
        <f t="shared" si="28"/>
        <v/>
      </c>
    </row>
    <row r="265" spans="1:18" ht="18.75" thickBot="1">
      <c r="A265" s="1085">
        <f>'Base-D'!A265</f>
        <v>264</v>
      </c>
      <c r="B265" s="1085">
        <f>'Base-D'!AX265</f>
        <v>0</v>
      </c>
      <c r="C265" s="1085" t="e">
        <f>LOOKUP(A265,'Base-D'!A:A,'Base-D'!BP:BP)</f>
        <v>#N/A</v>
      </c>
      <c r="D265" s="1085">
        <f>'Base-D'!S265</f>
        <v>0</v>
      </c>
      <c r="E265" s="1086"/>
      <c r="F265" s="1087"/>
      <c r="G265" s="1087" t="e">
        <f>LOOKUP(A265,'ETAT-PAY-PERM'!A:A,'ETAT-PAY-PERM'!J:J)</f>
        <v>#N/A</v>
      </c>
      <c r="H265" s="1094" t="e">
        <f t="shared" si="25"/>
        <v>#N/A</v>
      </c>
      <c r="I265" s="1094" t="e">
        <f t="shared" si="26"/>
        <v>#N/A</v>
      </c>
      <c r="P265" s="688">
        <f>LOOKUP(J265,'ETAT-PAY-PERM'!J:J,'ETAT-PAY-PERM'!S:S)</f>
        <v>0</v>
      </c>
      <c r="Q265" s="1095">
        <f t="shared" si="27"/>
        <v>0</v>
      </c>
      <c r="R265" s="1095" t="str">
        <f t="shared" si="28"/>
        <v/>
      </c>
    </row>
    <row r="266" spans="1:18" ht="18.75" thickBot="1">
      <c r="A266" s="1085">
        <f>'Base-D'!A266</f>
        <v>265</v>
      </c>
      <c r="B266" s="1085">
        <f>'Base-D'!AX266</f>
        <v>0</v>
      </c>
      <c r="C266" s="1085" t="e">
        <f>LOOKUP(A266,'Base-D'!A:A,'Base-D'!BP:BP)</f>
        <v>#N/A</v>
      </c>
      <c r="D266" s="1085">
        <f>'Base-D'!S266</f>
        <v>0</v>
      </c>
      <c r="E266" s="1086"/>
      <c r="F266" s="1087"/>
      <c r="G266" s="1087" t="e">
        <f>LOOKUP(A266,'ETAT-PAY-PERM'!A:A,'ETAT-PAY-PERM'!J:J)</f>
        <v>#N/A</v>
      </c>
      <c r="H266" s="1094" t="e">
        <f t="shared" si="25"/>
        <v>#N/A</v>
      </c>
      <c r="I266" s="1094" t="e">
        <f t="shared" si="26"/>
        <v>#N/A</v>
      </c>
      <c r="P266" s="688">
        <f>LOOKUP(J266,'ETAT-PAY-PERM'!J:J,'ETAT-PAY-PERM'!S:S)</f>
        <v>0</v>
      </c>
      <c r="Q266" s="1095">
        <f t="shared" si="27"/>
        <v>0</v>
      </c>
      <c r="R266" s="1095" t="str">
        <f t="shared" si="28"/>
        <v/>
      </c>
    </row>
    <row r="267" spans="1:18" ht="18.75" thickBot="1">
      <c r="A267" s="1085">
        <f>'Base-D'!A267</f>
        <v>266</v>
      </c>
      <c r="B267" s="1085">
        <f>'Base-D'!AX267</f>
        <v>0</v>
      </c>
      <c r="C267" s="1085" t="e">
        <f>LOOKUP(A267,'Base-D'!A:A,'Base-D'!BP:BP)</f>
        <v>#N/A</v>
      </c>
      <c r="D267" s="1085">
        <f>'Base-D'!S267</f>
        <v>0</v>
      </c>
      <c r="E267" s="1086"/>
      <c r="F267" s="1087"/>
      <c r="G267" s="1087" t="e">
        <f>LOOKUP(A267,'ETAT-PAY-PERM'!A:A,'ETAT-PAY-PERM'!J:J)</f>
        <v>#N/A</v>
      </c>
      <c r="H267" s="1094" t="e">
        <f t="shared" si="25"/>
        <v>#N/A</v>
      </c>
      <c r="I267" s="1094" t="e">
        <f t="shared" si="26"/>
        <v>#N/A</v>
      </c>
      <c r="P267" s="688">
        <f>LOOKUP(J267,'ETAT-PAY-PERM'!J:J,'ETAT-PAY-PERM'!S:S)</f>
        <v>0</v>
      </c>
      <c r="Q267" s="1095">
        <f t="shared" si="27"/>
        <v>0</v>
      </c>
      <c r="R267" s="1095" t="str">
        <f t="shared" si="28"/>
        <v/>
      </c>
    </row>
    <row r="268" spans="1:18" ht="18.75" thickBot="1">
      <c r="A268" s="1085">
        <f>'Base-D'!A268</f>
        <v>267</v>
      </c>
      <c r="B268" s="1085">
        <f>'Base-D'!AX268</f>
        <v>0</v>
      </c>
      <c r="C268" s="1085" t="e">
        <f>LOOKUP(A268,'Base-D'!A:A,'Base-D'!BP:BP)</f>
        <v>#N/A</v>
      </c>
      <c r="D268" s="1085">
        <f>'Base-D'!S268</f>
        <v>0</v>
      </c>
      <c r="E268" s="1086"/>
      <c r="F268" s="1087"/>
      <c r="G268" s="1087" t="e">
        <f>LOOKUP(A268,'ETAT-PAY-PERM'!A:A,'ETAT-PAY-PERM'!J:J)</f>
        <v>#N/A</v>
      </c>
      <c r="H268" s="1094" t="e">
        <f t="shared" si="25"/>
        <v>#N/A</v>
      </c>
      <c r="I268" s="1094" t="e">
        <f t="shared" si="26"/>
        <v>#N/A</v>
      </c>
      <c r="P268" s="688">
        <f>LOOKUP(J268,'ETAT-PAY-PERM'!J:J,'ETAT-PAY-PERM'!S:S)</f>
        <v>0</v>
      </c>
      <c r="Q268" s="1095">
        <f t="shared" si="27"/>
        <v>0</v>
      </c>
      <c r="R268" s="1095" t="str">
        <f t="shared" si="28"/>
        <v/>
      </c>
    </row>
    <row r="269" spans="1:18" ht="18.75" thickBot="1">
      <c r="A269" s="1085">
        <f>'Base-D'!A269</f>
        <v>268</v>
      </c>
      <c r="B269" s="1085">
        <f>'Base-D'!AX269</f>
        <v>0</v>
      </c>
      <c r="C269" s="1085" t="e">
        <f>LOOKUP(A269,'Base-D'!A:A,'Base-D'!BP:BP)</f>
        <v>#N/A</v>
      </c>
      <c r="D269" s="1085">
        <f>'Base-D'!S269</f>
        <v>0</v>
      </c>
      <c r="E269" s="1086"/>
      <c r="F269" s="1087"/>
      <c r="G269" s="1087" t="e">
        <f>LOOKUP(A269,'ETAT-PAY-PERM'!A:A,'ETAT-PAY-PERM'!J:J)</f>
        <v>#N/A</v>
      </c>
      <c r="H269" s="1094" t="e">
        <f t="shared" si="25"/>
        <v>#N/A</v>
      </c>
      <c r="I269" s="1094" t="e">
        <f t="shared" si="26"/>
        <v>#N/A</v>
      </c>
      <c r="P269" s="688">
        <f>LOOKUP(J269,'ETAT-PAY-PERM'!J:J,'ETAT-PAY-PERM'!S:S)</f>
        <v>0</v>
      </c>
      <c r="Q269" s="1095">
        <f t="shared" si="27"/>
        <v>0</v>
      </c>
      <c r="R269" s="1095" t="str">
        <f t="shared" si="28"/>
        <v/>
      </c>
    </row>
    <row r="270" spans="1:18" ht="18.75" thickBot="1">
      <c r="A270" s="1085">
        <f>'Base-D'!A270</f>
        <v>269</v>
      </c>
      <c r="B270" s="1085">
        <f>'Base-D'!AX270</f>
        <v>0</v>
      </c>
      <c r="C270" s="1085" t="e">
        <f>LOOKUP(A270,'Base-D'!A:A,'Base-D'!BP:BP)</f>
        <v>#N/A</v>
      </c>
      <c r="D270" s="1085">
        <f>'Base-D'!S270</f>
        <v>0</v>
      </c>
      <c r="E270" s="1086"/>
      <c r="F270" s="1087"/>
      <c r="G270" s="1087" t="e">
        <f>LOOKUP(A270,'ETAT-PAY-PERM'!A:A,'ETAT-PAY-PERM'!J:J)</f>
        <v>#N/A</v>
      </c>
      <c r="H270" s="1094" t="e">
        <f t="shared" si="25"/>
        <v>#N/A</v>
      </c>
      <c r="I270" s="1094" t="e">
        <f t="shared" si="26"/>
        <v>#N/A</v>
      </c>
      <c r="P270" s="688">
        <f>LOOKUP(J270,'ETAT-PAY-PERM'!J:J,'ETAT-PAY-PERM'!S:S)</f>
        <v>0</v>
      </c>
      <c r="Q270" s="1095">
        <f t="shared" si="27"/>
        <v>0</v>
      </c>
      <c r="R270" s="1095" t="str">
        <f t="shared" si="28"/>
        <v/>
      </c>
    </row>
    <row r="271" spans="1:18" ht="18.75" thickBot="1">
      <c r="A271" s="1085">
        <f>'Base-D'!A271</f>
        <v>270</v>
      </c>
      <c r="B271" s="1085">
        <f>'Base-D'!AX271</f>
        <v>0</v>
      </c>
      <c r="C271" s="1085" t="e">
        <f>LOOKUP(A271,'Base-D'!A:A,'Base-D'!BP:BP)</f>
        <v>#N/A</v>
      </c>
      <c r="D271" s="1085">
        <f>'Base-D'!S271</f>
        <v>0</v>
      </c>
      <c r="E271" s="1086"/>
      <c r="F271" s="1087"/>
      <c r="G271" s="1087" t="e">
        <f>LOOKUP(A271,'ETAT-PAY-PERM'!A:A,'ETAT-PAY-PERM'!J:J)</f>
        <v>#N/A</v>
      </c>
      <c r="H271" s="1094" t="e">
        <f t="shared" si="25"/>
        <v>#N/A</v>
      </c>
      <c r="I271" s="1094" t="e">
        <f t="shared" si="26"/>
        <v>#N/A</v>
      </c>
      <c r="P271" s="688">
        <f>LOOKUP(J271,'ETAT-PAY-PERM'!J:J,'ETAT-PAY-PERM'!S:S)</f>
        <v>0</v>
      </c>
      <c r="Q271" s="1095">
        <f t="shared" si="27"/>
        <v>0</v>
      </c>
      <c r="R271" s="1095" t="str">
        <f t="shared" si="28"/>
        <v/>
      </c>
    </row>
    <row r="272" spans="1:18" ht="18.75" thickBot="1">
      <c r="A272" s="1085">
        <f>'Base-D'!A272</f>
        <v>271</v>
      </c>
      <c r="B272" s="1085">
        <f>'Base-D'!AX272</f>
        <v>0</v>
      </c>
      <c r="C272" s="1085" t="e">
        <f>LOOKUP(A272,'Base-D'!A:A,'Base-D'!BP:BP)</f>
        <v>#N/A</v>
      </c>
      <c r="D272" s="1085">
        <f>'Base-D'!S272</f>
        <v>0</v>
      </c>
      <c r="E272" s="1086"/>
      <c r="F272" s="1087"/>
      <c r="G272" s="1087" t="e">
        <f>LOOKUP(A272,'ETAT-PAY-PERM'!A:A,'ETAT-PAY-PERM'!J:J)</f>
        <v>#N/A</v>
      </c>
      <c r="H272" s="1094" t="e">
        <f t="shared" si="25"/>
        <v>#N/A</v>
      </c>
      <c r="I272" s="1094" t="e">
        <f t="shared" si="26"/>
        <v>#N/A</v>
      </c>
      <c r="P272" s="688">
        <f>LOOKUP(J272,'ETAT-PAY-PERM'!J:J,'ETAT-PAY-PERM'!S:S)</f>
        <v>0</v>
      </c>
      <c r="Q272" s="1095">
        <f t="shared" si="27"/>
        <v>0</v>
      </c>
      <c r="R272" s="1095" t="str">
        <f t="shared" si="28"/>
        <v/>
      </c>
    </row>
    <row r="273" spans="1:18" ht="18.75" thickBot="1">
      <c r="A273" s="1085">
        <f>'Base-D'!A273</f>
        <v>272</v>
      </c>
      <c r="B273" s="1085">
        <f>'Base-D'!AX273</f>
        <v>0</v>
      </c>
      <c r="C273" s="1085" t="e">
        <f>LOOKUP(A273,'Base-D'!A:A,'Base-D'!BP:BP)</f>
        <v>#N/A</v>
      </c>
      <c r="D273" s="1085">
        <f>'Base-D'!S273</f>
        <v>0</v>
      </c>
      <c r="E273" s="1086"/>
      <c r="F273" s="1087"/>
      <c r="G273" s="1087" t="e">
        <f>LOOKUP(A273,'ETAT-PAY-PERM'!A:A,'ETAT-PAY-PERM'!J:J)</f>
        <v>#N/A</v>
      </c>
      <c r="H273" s="1094" t="e">
        <f t="shared" si="25"/>
        <v>#N/A</v>
      </c>
      <c r="I273" s="1094" t="e">
        <f t="shared" si="26"/>
        <v>#N/A</v>
      </c>
      <c r="P273" s="688">
        <f>LOOKUP(J273,'ETAT-PAY-PERM'!J:J,'ETAT-PAY-PERM'!S:S)</f>
        <v>0</v>
      </c>
      <c r="Q273" s="1095">
        <f t="shared" si="27"/>
        <v>0</v>
      </c>
      <c r="R273" s="1095" t="str">
        <f t="shared" si="28"/>
        <v/>
      </c>
    </row>
    <row r="274" spans="1:18" ht="18.75" thickBot="1">
      <c r="A274" s="1085">
        <f>'Base-D'!A274</f>
        <v>273</v>
      </c>
      <c r="B274" s="1085">
        <f>'Base-D'!AX274</f>
        <v>0</v>
      </c>
      <c r="C274" s="1085" t="e">
        <f>LOOKUP(A274,'Base-D'!A:A,'Base-D'!BP:BP)</f>
        <v>#N/A</v>
      </c>
      <c r="D274" s="1085">
        <f>'Base-D'!S274</f>
        <v>0</v>
      </c>
      <c r="E274" s="1086"/>
      <c r="F274" s="1087"/>
      <c r="G274" s="1087" t="e">
        <f>LOOKUP(A274,'ETAT-PAY-PERM'!A:A,'ETAT-PAY-PERM'!J:J)</f>
        <v>#N/A</v>
      </c>
      <c r="H274" s="1094" t="e">
        <f t="shared" si="25"/>
        <v>#N/A</v>
      </c>
      <c r="I274" s="1094" t="e">
        <f t="shared" si="26"/>
        <v>#N/A</v>
      </c>
      <c r="P274" s="688">
        <f>LOOKUP(J274,'ETAT-PAY-PERM'!J:J,'ETAT-PAY-PERM'!S:S)</f>
        <v>0</v>
      </c>
      <c r="Q274" s="1095">
        <f t="shared" si="27"/>
        <v>0</v>
      </c>
      <c r="R274" s="1095" t="str">
        <f t="shared" si="28"/>
        <v/>
      </c>
    </row>
    <row r="275" spans="1:18" ht="18.75" thickBot="1">
      <c r="A275" s="1085">
        <f>'Base-D'!A275</f>
        <v>274</v>
      </c>
      <c r="B275" s="1085">
        <f>'Base-D'!AX275</f>
        <v>0</v>
      </c>
      <c r="C275" s="1085" t="e">
        <f>LOOKUP(A275,'Base-D'!A:A,'Base-D'!BP:BP)</f>
        <v>#N/A</v>
      </c>
      <c r="D275" s="1085">
        <f>'Base-D'!S275</f>
        <v>0</v>
      </c>
      <c r="E275" s="1086"/>
      <c r="F275" s="1087"/>
      <c r="G275" s="1087" t="e">
        <f>LOOKUP(A275,'ETAT-PAY-PERM'!A:A,'ETAT-PAY-PERM'!J:J)</f>
        <v>#N/A</v>
      </c>
      <c r="H275" s="1094" t="e">
        <f t="shared" si="25"/>
        <v>#N/A</v>
      </c>
      <c r="I275" s="1094" t="e">
        <f t="shared" si="26"/>
        <v>#N/A</v>
      </c>
      <c r="P275" s="688">
        <f>LOOKUP(J275,'ETAT-PAY-PERM'!J:J,'ETAT-PAY-PERM'!S:S)</f>
        <v>0</v>
      </c>
      <c r="Q275" s="1095">
        <f t="shared" si="27"/>
        <v>0</v>
      </c>
      <c r="R275" s="1095" t="str">
        <f t="shared" si="28"/>
        <v/>
      </c>
    </row>
    <row r="276" spans="1:18" ht="18.75" thickBot="1">
      <c r="A276" s="1085">
        <f>'Base-D'!A276</f>
        <v>275</v>
      </c>
      <c r="B276" s="1085">
        <f>'Base-D'!AX276</f>
        <v>0</v>
      </c>
      <c r="C276" s="1085" t="e">
        <f>LOOKUP(A276,'Base-D'!A:A,'Base-D'!BP:BP)</f>
        <v>#N/A</v>
      </c>
      <c r="D276" s="1085">
        <f>'Base-D'!S276</f>
        <v>0</v>
      </c>
      <c r="E276" s="1086"/>
      <c r="F276" s="1087"/>
      <c r="G276" s="1087" t="e">
        <f>LOOKUP(A276,'ETAT-PAY-PERM'!A:A,'ETAT-PAY-PERM'!J:J)</f>
        <v>#N/A</v>
      </c>
      <c r="H276" s="1094" t="e">
        <f t="shared" si="25"/>
        <v>#N/A</v>
      </c>
      <c r="I276" s="1094" t="e">
        <f t="shared" si="26"/>
        <v>#N/A</v>
      </c>
      <c r="P276" s="688">
        <f>LOOKUP(J276,'ETAT-PAY-PERM'!J:J,'ETAT-PAY-PERM'!S:S)</f>
        <v>0</v>
      </c>
      <c r="Q276" s="1095">
        <f t="shared" si="27"/>
        <v>0</v>
      </c>
      <c r="R276" s="1095" t="str">
        <f t="shared" si="28"/>
        <v/>
      </c>
    </row>
    <row r="277" spans="1:18" ht="18.75" thickBot="1">
      <c r="A277" s="1085">
        <f>'Base-D'!A277</f>
        <v>276</v>
      </c>
      <c r="B277" s="1085">
        <f>'Base-D'!AX277</f>
        <v>0</v>
      </c>
      <c r="C277" s="1085" t="e">
        <f>LOOKUP(A277,'Base-D'!A:A,'Base-D'!BP:BP)</f>
        <v>#N/A</v>
      </c>
      <c r="D277" s="1085">
        <f>'Base-D'!S277</f>
        <v>0</v>
      </c>
      <c r="E277" s="1086"/>
      <c r="F277" s="1087"/>
      <c r="G277" s="1087" t="e">
        <f>LOOKUP(A277,'ETAT-PAY-PERM'!A:A,'ETAT-PAY-PERM'!J:J)</f>
        <v>#N/A</v>
      </c>
      <c r="H277" s="1094" t="e">
        <f t="shared" si="25"/>
        <v>#N/A</v>
      </c>
      <c r="I277" s="1094" t="e">
        <f t="shared" si="26"/>
        <v>#N/A</v>
      </c>
      <c r="P277" s="688">
        <f>LOOKUP(J277,'ETAT-PAY-PERM'!J:J,'ETAT-PAY-PERM'!S:S)</f>
        <v>0</v>
      </c>
      <c r="Q277" s="1095">
        <f t="shared" si="27"/>
        <v>0</v>
      </c>
      <c r="R277" s="1095" t="str">
        <f t="shared" si="28"/>
        <v/>
      </c>
    </row>
    <row r="278" spans="1:18" ht="18.75" thickBot="1">
      <c r="A278" s="1085">
        <f>'Base-D'!A278</f>
        <v>277</v>
      </c>
      <c r="B278" s="1085">
        <f>'Base-D'!AX278</f>
        <v>0</v>
      </c>
      <c r="C278" s="1085" t="e">
        <f>LOOKUP(A278,'Base-D'!A:A,'Base-D'!BP:BP)</f>
        <v>#N/A</v>
      </c>
      <c r="D278" s="1085">
        <f>'Base-D'!S278</f>
        <v>0</v>
      </c>
      <c r="E278" s="1086"/>
      <c r="F278" s="1087"/>
      <c r="G278" s="1087" t="e">
        <f>LOOKUP(A278,'ETAT-PAY-PERM'!A:A,'ETAT-PAY-PERM'!J:J)</f>
        <v>#N/A</v>
      </c>
      <c r="H278" s="1094" t="e">
        <f t="shared" si="25"/>
        <v>#N/A</v>
      </c>
      <c r="I278" s="1094" t="e">
        <f t="shared" si="26"/>
        <v>#N/A</v>
      </c>
      <c r="P278" s="688">
        <f>LOOKUP(J278,'ETAT-PAY-PERM'!J:J,'ETAT-PAY-PERM'!S:S)</f>
        <v>0</v>
      </c>
      <c r="Q278" s="1095">
        <f t="shared" si="27"/>
        <v>0</v>
      </c>
      <c r="R278" s="1095" t="str">
        <f t="shared" si="28"/>
        <v/>
      </c>
    </row>
    <row r="279" spans="1:18" ht="18.75" thickBot="1">
      <c r="A279" s="1085">
        <f>'Base-D'!A279</f>
        <v>278</v>
      </c>
      <c r="B279" s="1085">
        <f>'Base-D'!AX279</f>
        <v>0</v>
      </c>
      <c r="C279" s="1085" t="e">
        <f>LOOKUP(A279,'Base-D'!A:A,'Base-D'!BP:BP)</f>
        <v>#N/A</v>
      </c>
      <c r="D279" s="1085">
        <f>'Base-D'!S279</f>
        <v>0</v>
      </c>
      <c r="E279" s="1086"/>
      <c r="F279" s="1087"/>
      <c r="G279" s="1087" t="e">
        <f>LOOKUP(A279,'ETAT-PAY-PERM'!A:A,'ETAT-PAY-PERM'!J:J)</f>
        <v>#N/A</v>
      </c>
      <c r="H279" s="1094" t="e">
        <f t="shared" si="25"/>
        <v>#N/A</v>
      </c>
      <c r="I279" s="1094" t="e">
        <f t="shared" si="26"/>
        <v>#N/A</v>
      </c>
      <c r="P279" s="688">
        <f>LOOKUP(J279,'ETAT-PAY-PERM'!J:J,'ETAT-PAY-PERM'!S:S)</f>
        <v>0</v>
      </c>
      <c r="Q279" s="1095">
        <f t="shared" si="27"/>
        <v>0</v>
      </c>
      <c r="R279" s="1095" t="str">
        <f t="shared" si="28"/>
        <v/>
      </c>
    </row>
    <row r="280" spans="1:18" ht="18.75" thickBot="1">
      <c r="A280" s="1085">
        <f>'Base-D'!A280</f>
        <v>279</v>
      </c>
      <c r="B280" s="1085">
        <f>'Base-D'!AX280</f>
        <v>0</v>
      </c>
      <c r="C280" s="1085" t="e">
        <f>LOOKUP(A280,'Base-D'!A:A,'Base-D'!BP:BP)</f>
        <v>#N/A</v>
      </c>
      <c r="D280" s="1085">
        <f>'Base-D'!S280</f>
        <v>0</v>
      </c>
      <c r="E280" s="1086"/>
      <c r="F280" s="1087"/>
      <c r="G280" s="1087" t="e">
        <f>LOOKUP(A280,'ETAT-PAY-PERM'!A:A,'ETAT-PAY-PERM'!J:J)</f>
        <v>#N/A</v>
      </c>
      <c r="H280" s="1094" t="e">
        <f t="shared" si="25"/>
        <v>#N/A</v>
      </c>
      <c r="I280" s="1094" t="e">
        <f t="shared" si="26"/>
        <v>#N/A</v>
      </c>
      <c r="P280" s="688">
        <f>LOOKUP(J280,'ETAT-PAY-PERM'!J:J,'ETAT-PAY-PERM'!S:S)</f>
        <v>0</v>
      </c>
      <c r="Q280" s="1095">
        <f t="shared" si="27"/>
        <v>0</v>
      </c>
      <c r="R280" s="1095" t="str">
        <f t="shared" si="28"/>
        <v/>
      </c>
    </row>
    <row r="281" spans="1:18" ht="18.75" thickBot="1">
      <c r="A281" s="1085">
        <f>'Base-D'!A281</f>
        <v>280</v>
      </c>
      <c r="B281" s="1085">
        <f>'Base-D'!AX281</f>
        <v>0</v>
      </c>
      <c r="C281" s="1085" t="e">
        <f>LOOKUP(A281,'Base-D'!A:A,'Base-D'!BP:BP)</f>
        <v>#N/A</v>
      </c>
      <c r="D281" s="1085">
        <f>'Base-D'!S281</f>
        <v>0</v>
      </c>
      <c r="E281" s="1086"/>
      <c r="F281" s="1087"/>
      <c r="G281" s="1087" t="e">
        <f>LOOKUP(A281,'ETAT-PAY-PERM'!A:A,'ETAT-PAY-PERM'!J:J)</f>
        <v>#N/A</v>
      </c>
      <c r="H281" s="1094" t="e">
        <f t="shared" si="25"/>
        <v>#N/A</v>
      </c>
      <c r="I281" s="1094" t="e">
        <f t="shared" si="26"/>
        <v>#N/A</v>
      </c>
      <c r="P281" s="688">
        <f>LOOKUP(J281,'ETAT-PAY-PERM'!J:J,'ETAT-PAY-PERM'!S:S)</f>
        <v>0</v>
      </c>
      <c r="Q281" s="1095">
        <f t="shared" si="27"/>
        <v>0</v>
      </c>
      <c r="R281" s="1095" t="str">
        <f t="shared" si="28"/>
        <v/>
      </c>
    </row>
    <row r="282" spans="1:18" ht="18.75" thickBot="1">
      <c r="A282" s="1085">
        <f>'Base-D'!A282</f>
        <v>281</v>
      </c>
      <c r="B282" s="1085">
        <f>'Base-D'!AX282</f>
        <v>0</v>
      </c>
      <c r="C282" s="1085" t="e">
        <f>LOOKUP(A282,'Base-D'!A:A,'Base-D'!BP:BP)</f>
        <v>#N/A</v>
      </c>
      <c r="D282" s="1085">
        <f>'Base-D'!S282</f>
        <v>0</v>
      </c>
      <c r="E282" s="1086"/>
      <c r="F282" s="1087"/>
      <c r="G282" s="1087" t="e">
        <f>LOOKUP(A282,'ETAT-PAY-PERM'!A:A,'ETAT-PAY-PERM'!J:J)</f>
        <v>#N/A</v>
      </c>
      <c r="H282" s="1094" t="e">
        <f t="shared" si="25"/>
        <v>#N/A</v>
      </c>
      <c r="I282" s="1094" t="e">
        <f t="shared" si="26"/>
        <v>#N/A</v>
      </c>
      <c r="P282" s="688">
        <f>LOOKUP(J282,'ETAT-PAY-PERM'!J:J,'ETAT-PAY-PERM'!S:S)</f>
        <v>0</v>
      </c>
      <c r="Q282" s="1095">
        <f t="shared" si="27"/>
        <v>0</v>
      </c>
      <c r="R282" s="1095" t="str">
        <f t="shared" si="28"/>
        <v/>
      </c>
    </row>
    <row r="283" spans="1:18" ht="18.75" thickBot="1">
      <c r="A283" s="1085">
        <f>'Base-D'!A283</f>
        <v>282</v>
      </c>
      <c r="B283" s="1085">
        <f>'Base-D'!AX283</f>
        <v>0</v>
      </c>
      <c r="C283" s="1085" t="e">
        <f>LOOKUP(A283,'Base-D'!A:A,'Base-D'!BP:BP)</f>
        <v>#N/A</v>
      </c>
      <c r="D283" s="1085">
        <f>'Base-D'!S283</f>
        <v>0</v>
      </c>
      <c r="E283" s="1086"/>
      <c r="F283" s="1087"/>
      <c r="G283" s="1087" t="e">
        <f>LOOKUP(A283,'ETAT-PAY-PERM'!A:A,'ETAT-PAY-PERM'!J:J)</f>
        <v>#N/A</v>
      </c>
      <c r="H283" s="1094" t="e">
        <f t="shared" si="25"/>
        <v>#N/A</v>
      </c>
      <c r="I283" s="1094" t="e">
        <f t="shared" si="26"/>
        <v>#N/A</v>
      </c>
      <c r="P283" s="688">
        <f>LOOKUP(J283,'ETAT-PAY-PERM'!J:J,'ETAT-PAY-PERM'!S:S)</f>
        <v>0</v>
      </c>
      <c r="Q283" s="1095">
        <f t="shared" si="27"/>
        <v>0</v>
      </c>
      <c r="R283" s="1095" t="str">
        <f t="shared" si="28"/>
        <v/>
      </c>
    </row>
    <row r="284" spans="1:18" ht="18.75" thickBot="1">
      <c r="A284" s="1085">
        <f>'Base-D'!A284</f>
        <v>283</v>
      </c>
      <c r="B284" s="1085">
        <f>'Base-D'!AX284</f>
        <v>0</v>
      </c>
      <c r="C284" s="1085" t="e">
        <f>LOOKUP(A284,'Base-D'!A:A,'Base-D'!BP:BP)</f>
        <v>#N/A</v>
      </c>
      <c r="D284" s="1085">
        <f>'Base-D'!S284</f>
        <v>0</v>
      </c>
      <c r="E284" s="1086"/>
      <c r="F284" s="1087"/>
      <c r="G284" s="1087" t="e">
        <f>LOOKUP(A284,'ETAT-PAY-PERM'!A:A,'ETAT-PAY-PERM'!J:J)</f>
        <v>#N/A</v>
      </c>
      <c r="H284" s="1094" t="e">
        <f t="shared" si="25"/>
        <v>#N/A</v>
      </c>
      <c r="I284" s="1094" t="e">
        <f t="shared" si="26"/>
        <v>#N/A</v>
      </c>
      <c r="P284" s="688">
        <f>LOOKUP(J284,'ETAT-PAY-PERM'!J:J,'ETAT-PAY-PERM'!S:S)</f>
        <v>0</v>
      </c>
      <c r="Q284" s="1095">
        <f t="shared" si="27"/>
        <v>0</v>
      </c>
      <c r="R284" s="1095" t="str">
        <f t="shared" si="28"/>
        <v/>
      </c>
    </row>
    <row r="285" spans="1:18" ht="18.75" thickBot="1">
      <c r="A285" s="1085">
        <f>'Base-D'!A285</f>
        <v>284</v>
      </c>
      <c r="B285" s="1085">
        <f>'Base-D'!AX285</f>
        <v>0</v>
      </c>
      <c r="C285" s="1085" t="e">
        <f>LOOKUP(A285,'Base-D'!A:A,'Base-D'!BP:BP)</f>
        <v>#N/A</v>
      </c>
      <c r="D285" s="1085">
        <f>'Base-D'!S285</f>
        <v>0</v>
      </c>
      <c r="E285" s="1086"/>
      <c r="F285" s="1087"/>
      <c r="G285" s="1087" t="e">
        <f>LOOKUP(A285,'ETAT-PAY-PERM'!A:A,'ETAT-PAY-PERM'!J:J)</f>
        <v>#N/A</v>
      </c>
      <c r="H285" s="1094" t="e">
        <f t="shared" si="25"/>
        <v>#N/A</v>
      </c>
      <c r="I285" s="1094" t="e">
        <f t="shared" si="26"/>
        <v>#N/A</v>
      </c>
      <c r="P285" s="688">
        <f>LOOKUP(J285,'ETAT-PAY-PERM'!J:J,'ETAT-PAY-PERM'!S:S)</f>
        <v>0</v>
      </c>
      <c r="Q285" s="1095">
        <f t="shared" si="27"/>
        <v>0</v>
      </c>
      <c r="R285" s="1095" t="str">
        <f t="shared" si="28"/>
        <v/>
      </c>
    </row>
    <row r="286" spans="1:18" ht="18.75" thickBot="1">
      <c r="A286" s="1085">
        <f>'Base-D'!A286</f>
        <v>285</v>
      </c>
      <c r="B286" s="1085">
        <f>'Base-D'!AX286</f>
        <v>0</v>
      </c>
      <c r="C286" s="1085" t="e">
        <f>LOOKUP(A286,'Base-D'!A:A,'Base-D'!BP:BP)</f>
        <v>#N/A</v>
      </c>
      <c r="D286" s="1085">
        <f>'Base-D'!S286</f>
        <v>0</v>
      </c>
      <c r="E286" s="1086"/>
      <c r="F286" s="1087"/>
      <c r="G286" s="1087" t="e">
        <f>LOOKUP(A286,'ETAT-PAY-PERM'!A:A,'ETAT-PAY-PERM'!J:J)</f>
        <v>#N/A</v>
      </c>
      <c r="H286" s="1094" t="e">
        <f t="shared" si="25"/>
        <v>#N/A</v>
      </c>
      <c r="I286" s="1094" t="e">
        <f t="shared" si="26"/>
        <v>#N/A</v>
      </c>
      <c r="P286" s="688">
        <f>LOOKUP(J286,'ETAT-PAY-PERM'!J:J,'ETAT-PAY-PERM'!S:S)</f>
        <v>0</v>
      </c>
      <c r="Q286" s="1095">
        <f t="shared" si="27"/>
        <v>0</v>
      </c>
      <c r="R286" s="1095" t="str">
        <f t="shared" si="28"/>
        <v/>
      </c>
    </row>
    <row r="287" spans="1:18" ht="18.75" thickBot="1">
      <c r="A287" s="1085">
        <f>'Base-D'!A287</f>
        <v>286</v>
      </c>
      <c r="B287" s="1085">
        <f>'Base-D'!AX287</f>
        <v>0</v>
      </c>
      <c r="C287" s="1085" t="e">
        <f>LOOKUP(A287,'Base-D'!A:A,'Base-D'!BP:BP)</f>
        <v>#N/A</v>
      </c>
      <c r="D287" s="1085">
        <f>'Base-D'!S287</f>
        <v>0</v>
      </c>
      <c r="E287" s="1086"/>
      <c r="F287" s="1087"/>
      <c r="G287" s="1087" t="e">
        <f>LOOKUP(A287,'ETAT-PAY-PERM'!A:A,'ETAT-PAY-PERM'!J:J)</f>
        <v>#N/A</v>
      </c>
      <c r="H287" s="1094" t="e">
        <f t="shared" si="25"/>
        <v>#N/A</v>
      </c>
      <c r="I287" s="1094" t="e">
        <f t="shared" si="26"/>
        <v>#N/A</v>
      </c>
      <c r="P287" s="688">
        <f>LOOKUP(J287,'ETAT-PAY-PERM'!J:J,'ETAT-PAY-PERM'!S:S)</f>
        <v>0</v>
      </c>
      <c r="Q287" s="1095">
        <f t="shared" si="27"/>
        <v>0</v>
      </c>
      <c r="R287" s="1095" t="str">
        <f t="shared" si="28"/>
        <v/>
      </c>
    </row>
    <row r="288" spans="1:18" ht="18.75" thickBot="1">
      <c r="A288" s="1085">
        <f>'Base-D'!A288</f>
        <v>287</v>
      </c>
      <c r="B288" s="1085">
        <f>'Base-D'!AX288</f>
        <v>0</v>
      </c>
      <c r="C288" s="1085" t="e">
        <f>LOOKUP(A288,'Base-D'!A:A,'Base-D'!BP:BP)</f>
        <v>#N/A</v>
      </c>
      <c r="D288" s="1085">
        <f>'Base-D'!S288</f>
        <v>0</v>
      </c>
      <c r="E288" s="1086"/>
      <c r="F288" s="1087"/>
      <c r="G288" s="1087" t="e">
        <f>LOOKUP(A288,'ETAT-PAY-PERM'!A:A,'ETAT-PAY-PERM'!J:J)</f>
        <v>#N/A</v>
      </c>
      <c r="H288" s="1094" t="e">
        <f t="shared" si="25"/>
        <v>#N/A</v>
      </c>
      <c r="I288" s="1094" t="e">
        <f t="shared" si="26"/>
        <v>#N/A</v>
      </c>
      <c r="P288" s="688">
        <f>LOOKUP(J288,'ETAT-PAY-PERM'!J:J,'ETAT-PAY-PERM'!S:S)</f>
        <v>0</v>
      </c>
      <c r="Q288" s="1095">
        <f t="shared" si="27"/>
        <v>0</v>
      </c>
      <c r="R288" s="1095" t="str">
        <f t="shared" si="28"/>
        <v/>
      </c>
    </row>
    <row r="289" spans="1:18" ht="18.75" thickBot="1">
      <c r="A289" s="1085">
        <f>'Base-D'!A289</f>
        <v>288</v>
      </c>
      <c r="B289" s="1085">
        <f>'Base-D'!AX289</f>
        <v>0</v>
      </c>
      <c r="C289" s="1085" t="e">
        <f>LOOKUP(A289,'Base-D'!A:A,'Base-D'!BP:BP)</f>
        <v>#N/A</v>
      </c>
      <c r="D289" s="1085">
        <f>'Base-D'!S289</f>
        <v>0</v>
      </c>
      <c r="E289" s="1086"/>
      <c r="F289" s="1087"/>
      <c r="G289" s="1087" t="e">
        <f>LOOKUP(A289,'ETAT-PAY-PERM'!A:A,'ETAT-PAY-PERM'!J:J)</f>
        <v>#N/A</v>
      </c>
      <c r="H289" s="1094" t="e">
        <f t="shared" si="25"/>
        <v>#N/A</v>
      </c>
      <c r="I289" s="1094" t="e">
        <f t="shared" si="26"/>
        <v>#N/A</v>
      </c>
      <c r="P289" s="688">
        <f>LOOKUP(J289,'ETAT-PAY-PERM'!J:J,'ETAT-PAY-PERM'!S:S)</f>
        <v>0</v>
      </c>
      <c r="Q289" s="1095">
        <f t="shared" si="27"/>
        <v>0</v>
      </c>
      <c r="R289" s="1095" t="str">
        <f t="shared" si="28"/>
        <v/>
      </c>
    </row>
    <row r="290" spans="1:18" ht="18.75" thickBot="1">
      <c r="A290" s="1085">
        <f>'Base-D'!A290</f>
        <v>289</v>
      </c>
      <c r="B290" s="1085">
        <f>'Base-D'!AX290</f>
        <v>0</v>
      </c>
      <c r="C290" s="1085" t="e">
        <f>LOOKUP(A290,'Base-D'!A:A,'Base-D'!BP:BP)</f>
        <v>#N/A</v>
      </c>
      <c r="D290" s="1085">
        <f>'Base-D'!S290</f>
        <v>0</v>
      </c>
      <c r="E290" s="1086"/>
      <c r="F290" s="1087"/>
      <c r="G290" s="1087" t="e">
        <f>LOOKUP(A290,'ETAT-PAY-PERM'!A:A,'ETAT-PAY-PERM'!J:J)</f>
        <v>#N/A</v>
      </c>
      <c r="H290" s="1094" t="e">
        <f t="shared" si="25"/>
        <v>#N/A</v>
      </c>
      <c r="I290" s="1094" t="e">
        <f t="shared" si="26"/>
        <v>#N/A</v>
      </c>
      <c r="P290" s="688">
        <f>LOOKUP(J290,'ETAT-PAY-PERM'!J:J,'ETAT-PAY-PERM'!S:S)</f>
        <v>0</v>
      </c>
      <c r="Q290" s="1095">
        <f t="shared" si="27"/>
        <v>0</v>
      </c>
      <c r="R290" s="1095" t="str">
        <f t="shared" si="28"/>
        <v/>
      </c>
    </row>
    <row r="291" spans="1:18" ht="18.75" thickBot="1">
      <c r="A291" s="1085">
        <f>'Base-D'!A291</f>
        <v>290</v>
      </c>
      <c r="B291" s="1085">
        <f>'Base-D'!AX291</f>
        <v>0</v>
      </c>
      <c r="C291" s="1085" t="e">
        <f>LOOKUP(A291,'Base-D'!A:A,'Base-D'!BP:BP)</f>
        <v>#N/A</v>
      </c>
      <c r="D291" s="1085">
        <f>'Base-D'!S291</f>
        <v>0</v>
      </c>
      <c r="E291" s="1086"/>
      <c r="F291" s="1087"/>
      <c r="G291" s="1087" t="e">
        <f>LOOKUP(A291,'ETAT-PAY-PERM'!A:A,'ETAT-PAY-PERM'!J:J)</f>
        <v>#N/A</v>
      </c>
      <c r="H291" s="1094" t="e">
        <f t="shared" si="25"/>
        <v>#N/A</v>
      </c>
      <c r="I291" s="1094" t="e">
        <f t="shared" si="26"/>
        <v>#N/A</v>
      </c>
      <c r="P291" s="688">
        <f>LOOKUP(J291,'ETAT-PAY-PERM'!J:J,'ETAT-PAY-PERM'!S:S)</f>
        <v>0</v>
      </c>
      <c r="Q291" s="1095">
        <f t="shared" si="27"/>
        <v>0</v>
      </c>
      <c r="R291" s="1095" t="str">
        <f t="shared" si="28"/>
        <v/>
      </c>
    </row>
    <row r="292" spans="1:18" ht="18.75" thickBot="1">
      <c r="A292" s="1085">
        <f>'Base-D'!A292</f>
        <v>291</v>
      </c>
      <c r="B292" s="1085">
        <f>'Base-D'!AX292</f>
        <v>0</v>
      </c>
      <c r="C292" s="1085" t="e">
        <f>LOOKUP(A292,'Base-D'!A:A,'Base-D'!BP:BP)</f>
        <v>#N/A</v>
      </c>
      <c r="D292" s="1085">
        <f>'Base-D'!S292</f>
        <v>0</v>
      </c>
      <c r="E292" s="1086"/>
      <c r="F292" s="1087"/>
      <c r="G292" s="1087" t="e">
        <f>LOOKUP(A292,'ETAT-PAY-PERM'!A:A,'ETAT-PAY-PERM'!J:J)</f>
        <v>#N/A</v>
      </c>
      <c r="H292" s="1094" t="e">
        <f t="shared" si="25"/>
        <v>#N/A</v>
      </c>
      <c r="I292" s="1094" t="e">
        <f t="shared" si="26"/>
        <v>#N/A</v>
      </c>
      <c r="P292" s="688">
        <f>LOOKUP(J292,'ETAT-PAY-PERM'!J:J,'ETAT-PAY-PERM'!S:S)</f>
        <v>0</v>
      </c>
      <c r="Q292" s="1095">
        <f t="shared" si="27"/>
        <v>0</v>
      </c>
      <c r="R292" s="1095" t="str">
        <f t="shared" si="28"/>
        <v/>
      </c>
    </row>
    <row r="293" spans="1:18" ht="18.75" thickBot="1">
      <c r="A293" s="1085">
        <f>'Base-D'!A293</f>
        <v>292</v>
      </c>
      <c r="B293" s="1085">
        <f>'Base-D'!AX293</f>
        <v>0</v>
      </c>
      <c r="C293" s="1085" t="e">
        <f>LOOKUP(A293,'Base-D'!A:A,'Base-D'!BP:BP)</f>
        <v>#N/A</v>
      </c>
      <c r="D293" s="1085">
        <f>'Base-D'!S293</f>
        <v>0</v>
      </c>
      <c r="E293" s="1086"/>
      <c r="F293" s="1087"/>
      <c r="G293" s="1087" t="e">
        <f>LOOKUP(A293,'ETAT-PAY-PERM'!A:A,'ETAT-PAY-PERM'!J:J)</f>
        <v>#N/A</v>
      </c>
      <c r="H293" s="1094" t="e">
        <f t="shared" si="25"/>
        <v>#N/A</v>
      </c>
      <c r="I293" s="1094" t="e">
        <f t="shared" si="26"/>
        <v>#N/A</v>
      </c>
      <c r="P293" s="688">
        <f>LOOKUP(J293,'ETAT-PAY-PERM'!J:J,'ETAT-PAY-PERM'!S:S)</f>
        <v>0</v>
      </c>
      <c r="Q293" s="1095">
        <f t="shared" si="27"/>
        <v>0</v>
      </c>
      <c r="R293" s="1095" t="str">
        <f t="shared" si="28"/>
        <v/>
      </c>
    </row>
    <row r="294" spans="1:18" ht="18.75" thickBot="1">
      <c r="A294" s="1085">
        <f>'Base-D'!A294</f>
        <v>293</v>
      </c>
      <c r="B294" s="1085">
        <f>'Base-D'!AX294</f>
        <v>0</v>
      </c>
      <c r="C294" s="1085" t="e">
        <f>LOOKUP(A294,'Base-D'!A:A,'Base-D'!BP:BP)</f>
        <v>#N/A</v>
      </c>
      <c r="D294" s="1085">
        <f>'Base-D'!S294</f>
        <v>0</v>
      </c>
      <c r="E294" s="1086"/>
      <c r="F294" s="1087"/>
      <c r="G294" s="1087" t="e">
        <f>LOOKUP(A294,'ETAT-PAY-PERM'!A:A,'ETAT-PAY-PERM'!J:J)</f>
        <v>#N/A</v>
      </c>
      <c r="H294" s="1094" t="e">
        <f t="shared" si="25"/>
        <v>#N/A</v>
      </c>
      <c r="I294" s="1094" t="e">
        <f t="shared" si="26"/>
        <v>#N/A</v>
      </c>
      <c r="P294" s="688">
        <f>LOOKUP(J294,'ETAT-PAY-PERM'!J:J,'ETAT-PAY-PERM'!S:S)</f>
        <v>0</v>
      </c>
      <c r="Q294" s="1095">
        <f t="shared" si="27"/>
        <v>0</v>
      </c>
      <c r="R294" s="1095" t="str">
        <f t="shared" si="28"/>
        <v/>
      </c>
    </row>
    <row r="295" spans="1:18" ht="18.75" thickBot="1">
      <c r="A295" s="1085">
        <f>'Base-D'!A295</f>
        <v>294</v>
      </c>
      <c r="B295" s="1085">
        <f>'Base-D'!AX295</f>
        <v>0</v>
      </c>
      <c r="C295" s="1085" t="e">
        <f>LOOKUP(A295,'Base-D'!A:A,'Base-D'!BP:BP)</f>
        <v>#N/A</v>
      </c>
      <c r="D295" s="1085">
        <f>'Base-D'!S295</f>
        <v>0</v>
      </c>
      <c r="E295" s="1086"/>
      <c r="F295" s="1087"/>
      <c r="G295" s="1087" t="e">
        <f>LOOKUP(A295,'ETAT-PAY-PERM'!A:A,'ETAT-PAY-PERM'!J:J)</f>
        <v>#N/A</v>
      </c>
      <c r="H295" s="1094" t="e">
        <f t="shared" si="25"/>
        <v>#N/A</v>
      </c>
      <c r="I295" s="1094" t="e">
        <f t="shared" si="26"/>
        <v>#N/A</v>
      </c>
      <c r="P295" s="688">
        <f>LOOKUP(J295,'ETAT-PAY-PERM'!J:J,'ETAT-PAY-PERM'!S:S)</f>
        <v>0</v>
      </c>
      <c r="Q295" s="1095">
        <f t="shared" si="27"/>
        <v>0</v>
      </c>
      <c r="R295" s="1095" t="str">
        <f t="shared" si="28"/>
        <v/>
      </c>
    </row>
    <row r="296" spans="1:18" ht="18.75" thickBot="1">
      <c r="A296" s="1085">
        <f>'Base-D'!A296</f>
        <v>295</v>
      </c>
      <c r="B296" s="1085">
        <f>'Base-D'!AX296</f>
        <v>0</v>
      </c>
      <c r="C296" s="1085" t="e">
        <f>LOOKUP(A296,'Base-D'!A:A,'Base-D'!BP:BP)</f>
        <v>#N/A</v>
      </c>
      <c r="D296" s="1085">
        <f>'Base-D'!S296</f>
        <v>0</v>
      </c>
      <c r="E296" s="1086"/>
      <c r="F296" s="1087"/>
      <c r="G296" s="1087" t="e">
        <f>LOOKUP(A296,'ETAT-PAY-PERM'!A:A,'ETAT-PAY-PERM'!J:J)</f>
        <v>#N/A</v>
      </c>
      <c r="H296" s="1094" t="e">
        <f t="shared" si="25"/>
        <v>#N/A</v>
      </c>
      <c r="I296" s="1094" t="e">
        <f t="shared" si="26"/>
        <v>#N/A</v>
      </c>
      <c r="P296" s="688">
        <f>LOOKUP(J296,'ETAT-PAY-PERM'!J:J,'ETAT-PAY-PERM'!S:S)</f>
        <v>0</v>
      </c>
      <c r="Q296" s="1095">
        <f t="shared" si="27"/>
        <v>0</v>
      </c>
      <c r="R296" s="1095" t="str">
        <f t="shared" si="28"/>
        <v/>
      </c>
    </row>
    <row r="297" spans="1:18" ht="18.75" thickBot="1">
      <c r="A297" s="1085">
        <f>'Base-D'!A297</f>
        <v>296</v>
      </c>
      <c r="B297" s="1085">
        <f>'Base-D'!AX297</f>
        <v>0</v>
      </c>
      <c r="C297" s="1085" t="e">
        <f>LOOKUP(A297,'Base-D'!A:A,'Base-D'!BP:BP)</f>
        <v>#N/A</v>
      </c>
      <c r="D297" s="1085">
        <f>'Base-D'!S297</f>
        <v>0</v>
      </c>
      <c r="E297" s="1086"/>
      <c r="F297" s="1087"/>
      <c r="G297" s="1087" t="e">
        <f>LOOKUP(A297,'ETAT-PAY-PERM'!A:A,'ETAT-PAY-PERM'!J:J)</f>
        <v>#N/A</v>
      </c>
      <c r="H297" s="1094" t="e">
        <f t="shared" si="25"/>
        <v>#N/A</v>
      </c>
      <c r="I297" s="1094" t="e">
        <f t="shared" si="26"/>
        <v>#N/A</v>
      </c>
      <c r="P297" s="688">
        <f>LOOKUP(J297,'ETAT-PAY-PERM'!J:J,'ETAT-PAY-PERM'!S:S)</f>
        <v>0</v>
      </c>
      <c r="Q297" s="1095">
        <f t="shared" si="27"/>
        <v>0</v>
      </c>
      <c r="R297" s="1095" t="str">
        <f t="shared" si="28"/>
        <v/>
      </c>
    </row>
    <row r="298" spans="1:18" ht="18.75" thickBot="1">
      <c r="A298" s="1085">
        <f>'Base-D'!A298</f>
        <v>297</v>
      </c>
      <c r="B298" s="1085">
        <f>'Base-D'!AX298</f>
        <v>0</v>
      </c>
      <c r="C298" s="1085" t="e">
        <f>LOOKUP(A298,'Base-D'!A:A,'Base-D'!BP:BP)</f>
        <v>#N/A</v>
      </c>
      <c r="D298" s="1085">
        <f>'Base-D'!S298</f>
        <v>0</v>
      </c>
      <c r="E298" s="1086"/>
      <c r="F298" s="1087"/>
      <c r="G298" s="1087" t="e">
        <f>LOOKUP(A298,'ETAT-PAY-PERM'!A:A,'ETAT-PAY-PERM'!J:J)</f>
        <v>#N/A</v>
      </c>
      <c r="H298" s="1094" t="e">
        <f t="shared" si="25"/>
        <v>#N/A</v>
      </c>
      <c r="I298" s="1094" t="e">
        <f t="shared" si="26"/>
        <v>#N/A</v>
      </c>
      <c r="P298" s="688">
        <f>LOOKUP(J298,'ETAT-PAY-PERM'!J:J,'ETAT-PAY-PERM'!S:S)</f>
        <v>0</v>
      </c>
      <c r="Q298" s="1095">
        <f t="shared" si="27"/>
        <v>0</v>
      </c>
      <c r="R298" s="1095" t="str">
        <f t="shared" si="28"/>
        <v/>
      </c>
    </row>
    <row r="299" spans="1:18" ht="18.75" thickBot="1">
      <c r="A299" s="1085">
        <f>'Base-D'!A299</f>
        <v>298</v>
      </c>
      <c r="B299" s="1085">
        <f>'Base-D'!AX299</f>
        <v>0</v>
      </c>
      <c r="C299" s="1085" t="e">
        <f>LOOKUP(A299,'Base-D'!A:A,'Base-D'!BP:BP)</f>
        <v>#N/A</v>
      </c>
      <c r="D299" s="1085">
        <f>'Base-D'!S299</f>
        <v>0</v>
      </c>
      <c r="E299" s="1086"/>
      <c r="F299" s="1087"/>
      <c r="G299" s="1087" t="e">
        <f>LOOKUP(A299,'ETAT-PAY-PERM'!A:A,'ETAT-PAY-PERM'!J:J)</f>
        <v>#N/A</v>
      </c>
      <c r="H299" s="1094" t="e">
        <f t="shared" si="25"/>
        <v>#N/A</v>
      </c>
      <c r="I299" s="1094" t="e">
        <f t="shared" si="26"/>
        <v>#N/A</v>
      </c>
      <c r="P299" s="688">
        <f>LOOKUP(J299,'ETAT-PAY-PERM'!J:J,'ETAT-PAY-PERM'!S:S)</f>
        <v>0</v>
      </c>
      <c r="Q299" s="1095">
        <f t="shared" si="27"/>
        <v>0</v>
      </c>
      <c r="R299" s="1095" t="str">
        <f t="shared" si="28"/>
        <v/>
      </c>
    </row>
    <row r="300" spans="1:18" ht="18.75" thickBot="1">
      <c r="A300" s="1085">
        <f>'Base-D'!A300</f>
        <v>299</v>
      </c>
      <c r="B300" s="1085">
        <f>'Base-D'!AX300</f>
        <v>0</v>
      </c>
      <c r="C300" s="1085" t="e">
        <f>LOOKUP(A300,'Base-D'!A:A,'Base-D'!BP:BP)</f>
        <v>#N/A</v>
      </c>
      <c r="D300" s="1085">
        <f>'Base-D'!S300</f>
        <v>0</v>
      </c>
      <c r="E300" s="1086"/>
      <c r="F300" s="1087"/>
      <c r="G300" s="1087" t="e">
        <f>LOOKUP(A300,'ETAT-PAY-PERM'!A:A,'ETAT-PAY-PERM'!J:J)</f>
        <v>#N/A</v>
      </c>
      <c r="H300" s="1094" t="e">
        <f t="shared" si="25"/>
        <v>#N/A</v>
      </c>
      <c r="I300" s="1094" t="e">
        <f t="shared" si="26"/>
        <v>#N/A</v>
      </c>
      <c r="P300" s="688">
        <f>LOOKUP(J300,'ETAT-PAY-PERM'!J:J,'ETAT-PAY-PERM'!S:S)</f>
        <v>0</v>
      </c>
      <c r="Q300" s="1095">
        <f t="shared" si="27"/>
        <v>0</v>
      </c>
      <c r="R300" s="1095" t="str">
        <f t="shared" si="28"/>
        <v/>
      </c>
    </row>
    <row r="301" spans="1:18" ht="18.75" thickBot="1">
      <c r="A301" s="1085">
        <f>'Base-D'!A301</f>
        <v>300</v>
      </c>
      <c r="B301" s="1085">
        <f>'Base-D'!AX301</f>
        <v>0</v>
      </c>
      <c r="C301" s="1085" t="e">
        <f>LOOKUP(A301,'Base-D'!A:A,'Base-D'!BP:BP)</f>
        <v>#N/A</v>
      </c>
      <c r="D301" s="1085">
        <f>'Base-D'!S301</f>
        <v>0</v>
      </c>
      <c r="E301" s="1086"/>
      <c r="F301" s="1087"/>
      <c r="G301" s="1087" t="e">
        <f>LOOKUP(A301,'ETAT-PAY-PERM'!A:A,'ETAT-PAY-PERM'!J:J)</f>
        <v>#N/A</v>
      </c>
      <c r="H301" s="1094" t="e">
        <f t="shared" si="25"/>
        <v>#N/A</v>
      </c>
      <c r="I301" s="1094" t="e">
        <f t="shared" si="26"/>
        <v>#N/A</v>
      </c>
      <c r="P301" s="688">
        <f>LOOKUP(J301,'ETAT-PAY-PERM'!J:J,'ETAT-PAY-PERM'!S:S)</f>
        <v>0</v>
      </c>
      <c r="Q301" s="1095">
        <f t="shared" si="27"/>
        <v>0</v>
      </c>
      <c r="R301" s="1095" t="str">
        <f t="shared" si="28"/>
        <v/>
      </c>
    </row>
    <row r="302" spans="1:18" ht="18.75" thickBot="1">
      <c r="A302" s="1085">
        <f>'Base-D'!A302</f>
        <v>301</v>
      </c>
      <c r="B302" s="1085">
        <f>'Base-D'!AX302</f>
        <v>0</v>
      </c>
      <c r="C302" s="1085" t="e">
        <f>LOOKUP(A302,'Base-D'!A:A,'Base-D'!BP:BP)</f>
        <v>#N/A</v>
      </c>
      <c r="D302" s="1085">
        <f>'Base-D'!S302</f>
        <v>0</v>
      </c>
      <c r="E302" s="1086"/>
      <c r="F302" s="1087"/>
      <c r="G302" s="1087" t="e">
        <f>LOOKUP(A302,'ETAT-PAY-PERM'!A:A,'ETAT-PAY-PERM'!J:J)</f>
        <v>#N/A</v>
      </c>
      <c r="H302" s="1094" t="e">
        <f t="shared" si="25"/>
        <v>#N/A</v>
      </c>
      <c r="I302" s="1094" t="e">
        <f t="shared" si="26"/>
        <v>#N/A</v>
      </c>
      <c r="P302" s="688">
        <f>LOOKUP(J302,'ETAT-PAY-PERM'!J:J,'ETAT-PAY-PERM'!S:S)</f>
        <v>0</v>
      </c>
      <c r="Q302" s="1095">
        <f t="shared" si="27"/>
        <v>0</v>
      </c>
      <c r="R302" s="1095" t="str">
        <f t="shared" si="28"/>
        <v/>
      </c>
    </row>
    <row r="303" spans="1:18" ht="18.75" thickBot="1">
      <c r="A303" s="1085">
        <f>'Base-D'!A303</f>
        <v>302</v>
      </c>
      <c r="B303" s="1085">
        <f>'Base-D'!AX303</f>
        <v>0</v>
      </c>
      <c r="C303" s="1085" t="e">
        <f>LOOKUP(A303,'Base-D'!A:A,'Base-D'!BP:BP)</f>
        <v>#N/A</v>
      </c>
      <c r="D303" s="1085">
        <f>'Base-D'!S303</f>
        <v>0</v>
      </c>
      <c r="E303" s="1086"/>
      <c r="F303" s="1087"/>
      <c r="G303" s="1087" t="e">
        <f>LOOKUP(A303,'ETAT-PAY-PERM'!A:A,'ETAT-PAY-PERM'!J:J)</f>
        <v>#N/A</v>
      </c>
      <c r="H303" s="1094" t="e">
        <f t="shared" si="25"/>
        <v>#N/A</v>
      </c>
      <c r="I303" s="1094" t="e">
        <f t="shared" si="26"/>
        <v>#N/A</v>
      </c>
      <c r="P303" s="688">
        <f>LOOKUP(J303,'ETAT-PAY-PERM'!J:J,'ETAT-PAY-PERM'!S:S)</f>
        <v>0</v>
      </c>
      <c r="Q303" s="1095">
        <f t="shared" si="27"/>
        <v>0</v>
      </c>
      <c r="R303" s="1095" t="str">
        <f t="shared" si="28"/>
        <v/>
      </c>
    </row>
    <row r="304" spans="1:18" ht="18.75" thickBot="1">
      <c r="A304" s="1085">
        <f>'Base-D'!A304</f>
        <v>303</v>
      </c>
      <c r="B304" s="1085">
        <f>'Base-D'!AX304</f>
        <v>0</v>
      </c>
      <c r="C304" s="1085" t="e">
        <f>LOOKUP(A304,'Base-D'!A:A,'Base-D'!BP:BP)</f>
        <v>#N/A</v>
      </c>
      <c r="D304" s="1085">
        <f>'Base-D'!S304</f>
        <v>0</v>
      </c>
      <c r="E304" s="1086"/>
      <c r="F304" s="1087"/>
      <c r="G304" s="1087" t="e">
        <f>LOOKUP(A304,'ETAT-PAY-PERM'!A:A,'ETAT-PAY-PERM'!J:J)</f>
        <v>#N/A</v>
      </c>
      <c r="H304" s="1094" t="e">
        <f t="shared" si="25"/>
        <v>#N/A</v>
      </c>
      <c r="I304" s="1094" t="e">
        <f t="shared" si="26"/>
        <v>#N/A</v>
      </c>
      <c r="P304" s="688">
        <f>LOOKUP(J304,'ETAT-PAY-PERM'!J:J,'ETAT-PAY-PERM'!S:S)</f>
        <v>0</v>
      </c>
      <c r="Q304" s="1095">
        <f t="shared" si="27"/>
        <v>0</v>
      </c>
      <c r="R304" s="1095" t="str">
        <f t="shared" si="28"/>
        <v/>
      </c>
    </row>
    <row r="305" spans="1:18" ht="18.75" thickBot="1">
      <c r="A305" s="1085">
        <f>'Base-D'!A305</f>
        <v>304</v>
      </c>
      <c r="B305" s="1085">
        <f>'Base-D'!AX305</f>
        <v>0</v>
      </c>
      <c r="C305" s="1085" t="e">
        <f>LOOKUP(A305,'Base-D'!A:A,'Base-D'!BP:BP)</f>
        <v>#N/A</v>
      </c>
      <c r="D305" s="1085">
        <f>'Base-D'!S305</f>
        <v>0</v>
      </c>
      <c r="E305" s="1086"/>
      <c r="F305" s="1087"/>
      <c r="G305" s="1087" t="e">
        <f>LOOKUP(A305,'ETAT-PAY-PERM'!A:A,'ETAT-PAY-PERM'!J:J)</f>
        <v>#N/A</v>
      </c>
      <c r="H305" s="1094" t="e">
        <f t="shared" si="25"/>
        <v>#N/A</v>
      </c>
      <c r="I305" s="1094" t="e">
        <f t="shared" si="26"/>
        <v>#N/A</v>
      </c>
      <c r="P305" s="688">
        <f>LOOKUP(J305,'ETAT-PAY-PERM'!J:J,'ETAT-PAY-PERM'!S:S)</f>
        <v>0</v>
      </c>
      <c r="Q305" s="1095">
        <f t="shared" si="27"/>
        <v>0</v>
      </c>
      <c r="R305" s="1095" t="str">
        <f t="shared" si="28"/>
        <v/>
      </c>
    </row>
    <row r="306" spans="1:18" ht="18.75" thickBot="1">
      <c r="A306" s="1085">
        <f>'Base-D'!A306</f>
        <v>305</v>
      </c>
      <c r="B306" s="1085">
        <f>'Base-D'!AX306</f>
        <v>0</v>
      </c>
      <c r="C306" s="1085" t="e">
        <f>LOOKUP(A306,'Base-D'!A:A,'Base-D'!BP:BP)</f>
        <v>#N/A</v>
      </c>
      <c r="D306" s="1085">
        <f>'Base-D'!S306</f>
        <v>0</v>
      </c>
      <c r="E306" s="1086"/>
      <c r="F306" s="1087"/>
      <c r="G306" s="1087" t="e">
        <f>LOOKUP(A306,'ETAT-PAY-PERM'!A:A,'ETAT-PAY-PERM'!J:J)</f>
        <v>#N/A</v>
      </c>
      <c r="H306" s="1094" t="e">
        <f t="shared" si="25"/>
        <v>#N/A</v>
      </c>
      <c r="I306" s="1094" t="e">
        <f t="shared" si="26"/>
        <v>#N/A</v>
      </c>
      <c r="P306" s="688">
        <f>LOOKUP(J306,'ETAT-PAY-PERM'!J:J,'ETAT-PAY-PERM'!S:S)</f>
        <v>0</v>
      </c>
      <c r="Q306" s="1095">
        <f t="shared" si="27"/>
        <v>0</v>
      </c>
      <c r="R306" s="1095" t="str">
        <f t="shared" si="28"/>
        <v/>
      </c>
    </row>
    <row r="307" spans="1:18" ht="18.75" thickBot="1">
      <c r="A307" s="1085">
        <f>'Base-D'!A307</f>
        <v>306</v>
      </c>
      <c r="B307" s="1085">
        <f>'Base-D'!AX307</f>
        <v>0</v>
      </c>
      <c r="C307" s="1085" t="e">
        <f>LOOKUP(A307,'Base-D'!A:A,'Base-D'!BP:BP)</f>
        <v>#N/A</v>
      </c>
      <c r="D307" s="1085">
        <f>'Base-D'!S307</f>
        <v>0</v>
      </c>
      <c r="E307" s="1086"/>
      <c r="F307" s="1087"/>
      <c r="G307" s="1087" t="e">
        <f>LOOKUP(A307,'ETAT-PAY-PERM'!A:A,'ETAT-PAY-PERM'!J:J)</f>
        <v>#N/A</v>
      </c>
      <c r="H307" s="1094" t="e">
        <f t="shared" si="25"/>
        <v>#N/A</v>
      </c>
      <c r="I307" s="1094" t="e">
        <f t="shared" si="26"/>
        <v>#N/A</v>
      </c>
      <c r="P307" s="688">
        <f>LOOKUP(J307,'ETAT-PAY-PERM'!J:J,'ETAT-PAY-PERM'!S:S)</f>
        <v>0</v>
      </c>
      <c r="Q307" s="1095">
        <f t="shared" si="27"/>
        <v>0</v>
      </c>
      <c r="R307" s="1095" t="str">
        <f t="shared" si="28"/>
        <v/>
      </c>
    </row>
    <row r="308" spans="1:18" ht="18.75" thickBot="1">
      <c r="A308" s="1085">
        <f>'Base-D'!A308</f>
        <v>307</v>
      </c>
      <c r="B308" s="1085">
        <f>'Base-D'!AX308</f>
        <v>0</v>
      </c>
      <c r="C308" s="1085" t="e">
        <f>LOOKUP(A308,'Base-D'!A:A,'Base-D'!BP:BP)</f>
        <v>#N/A</v>
      </c>
      <c r="D308" s="1085">
        <f>'Base-D'!S308</f>
        <v>0</v>
      </c>
      <c r="E308" s="1086"/>
      <c r="F308" s="1087"/>
      <c r="G308" s="1087" t="e">
        <f>LOOKUP(A308,'ETAT-PAY-PERM'!A:A,'ETAT-PAY-PERM'!J:J)</f>
        <v>#N/A</v>
      </c>
      <c r="H308" s="1094" t="e">
        <f t="shared" si="25"/>
        <v>#N/A</v>
      </c>
      <c r="I308" s="1094" t="e">
        <f t="shared" si="26"/>
        <v>#N/A</v>
      </c>
      <c r="P308" s="688">
        <f>LOOKUP(J308,'ETAT-PAY-PERM'!J:J,'ETAT-PAY-PERM'!S:S)</f>
        <v>0</v>
      </c>
      <c r="Q308" s="1095">
        <f t="shared" si="27"/>
        <v>0</v>
      </c>
      <c r="R308" s="1095" t="str">
        <f t="shared" si="28"/>
        <v/>
      </c>
    </row>
    <row r="309" spans="1:18" ht="18.75" thickBot="1">
      <c r="A309" s="1085">
        <f>'Base-D'!A309</f>
        <v>308</v>
      </c>
      <c r="B309" s="1085">
        <f>'Base-D'!AX309</f>
        <v>0</v>
      </c>
      <c r="C309" s="1085" t="e">
        <f>LOOKUP(A309,'Base-D'!A:A,'Base-D'!BP:BP)</f>
        <v>#N/A</v>
      </c>
      <c r="D309" s="1085">
        <f>'Base-D'!S309</f>
        <v>0</v>
      </c>
      <c r="E309" s="1086"/>
      <c r="F309" s="1087"/>
      <c r="G309" s="1087" t="e">
        <f>LOOKUP(A309,'ETAT-PAY-PERM'!A:A,'ETAT-PAY-PERM'!J:J)</f>
        <v>#N/A</v>
      </c>
      <c r="H309" s="1094" t="e">
        <f t="shared" si="25"/>
        <v>#N/A</v>
      </c>
      <c r="I309" s="1094" t="e">
        <f t="shared" si="26"/>
        <v>#N/A</v>
      </c>
      <c r="P309" s="688">
        <f>LOOKUP(J309,'ETAT-PAY-PERM'!J:J,'ETAT-PAY-PERM'!S:S)</f>
        <v>0</v>
      </c>
      <c r="Q309" s="1095">
        <f t="shared" si="27"/>
        <v>0</v>
      </c>
      <c r="R309" s="1095" t="str">
        <f t="shared" si="28"/>
        <v/>
      </c>
    </row>
    <row r="310" spans="1:18" ht="18.75" thickBot="1">
      <c r="A310" s="1085">
        <f>'Base-D'!A310</f>
        <v>309</v>
      </c>
      <c r="B310" s="1085">
        <f>'Base-D'!AX310</f>
        <v>0</v>
      </c>
      <c r="C310" s="1085" t="e">
        <f>LOOKUP(A310,'Base-D'!A:A,'Base-D'!BP:BP)</f>
        <v>#N/A</v>
      </c>
      <c r="D310" s="1085">
        <f>'Base-D'!S310</f>
        <v>0</v>
      </c>
      <c r="E310" s="1086"/>
      <c r="F310" s="1087"/>
      <c r="G310" s="1087" t="e">
        <f>LOOKUP(A310,'ETAT-PAY-PERM'!A:A,'ETAT-PAY-PERM'!J:J)</f>
        <v>#N/A</v>
      </c>
      <c r="H310" s="1094" t="e">
        <f t="shared" si="25"/>
        <v>#N/A</v>
      </c>
      <c r="I310" s="1094" t="e">
        <f t="shared" si="26"/>
        <v>#N/A</v>
      </c>
      <c r="P310" s="688">
        <f>LOOKUP(J310,'ETAT-PAY-PERM'!J:J,'ETAT-PAY-PERM'!S:S)</f>
        <v>0</v>
      </c>
      <c r="Q310" s="1095">
        <f t="shared" si="27"/>
        <v>0</v>
      </c>
      <c r="R310" s="1095" t="str">
        <f t="shared" si="28"/>
        <v/>
      </c>
    </row>
    <row r="311" spans="1:18" ht="18.75" thickBot="1">
      <c r="A311" s="1085">
        <f>'Base-D'!A311</f>
        <v>310</v>
      </c>
      <c r="B311" s="1085">
        <f>'Base-D'!AX311</f>
        <v>0</v>
      </c>
      <c r="C311" s="1085" t="e">
        <f>LOOKUP(A311,'Base-D'!A:A,'Base-D'!BP:BP)</f>
        <v>#N/A</v>
      </c>
      <c r="D311" s="1085">
        <f>'Base-D'!S311</f>
        <v>0</v>
      </c>
      <c r="E311" s="1086"/>
      <c r="F311" s="1087"/>
      <c r="G311" s="1087" t="e">
        <f>LOOKUP(A311,'ETAT-PAY-PERM'!A:A,'ETAT-PAY-PERM'!J:J)</f>
        <v>#N/A</v>
      </c>
      <c r="H311" s="1094" t="e">
        <f t="shared" si="25"/>
        <v>#N/A</v>
      </c>
      <c r="I311" s="1094" t="e">
        <f t="shared" si="26"/>
        <v>#N/A</v>
      </c>
      <c r="P311" s="688">
        <f>LOOKUP(J311,'ETAT-PAY-PERM'!J:J,'ETAT-PAY-PERM'!S:S)</f>
        <v>0</v>
      </c>
      <c r="Q311" s="1095">
        <f t="shared" si="27"/>
        <v>0</v>
      </c>
      <c r="R311" s="1095" t="str">
        <f t="shared" si="28"/>
        <v/>
      </c>
    </row>
    <row r="312" spans="1:18" ht="18.75" thickBot="1">
      <c r="A312" s="1085">
        <f>'Base-D'!A312</f>
        <v>311</v>
      </c>
      <c r="B312" s="1085">
        <f>'Base-D'!AX312</f>
        <v>0</v>
      </c>
      <c r="C312" s="1085" t="e">
        <f>LOOKUP(A312,'Base-D'!A:A,'Base-D'!BP:BP)</f>
        <v>#N/A</v>
      </c>
      <c r="D312" s="1085">
        <f>'Base-D'!S312</f>
        <v>0</v>
      </c>
      <c r="E312" s="1086"/>
      <c r="F312" s="1087"/>
      <c r="G312" s="1087" t="e">
        <f>LOOKUP(A312,'ETAT-PAY-PERM'!A:A,'ETAT-PAY-PERM'!J:J)</f>
        <v>#N/A</v>
      </c>
      <c r="H312" s="1094" t="e">
        <f t="shared" si="25"/>
        <v>#N/A</v>
      </c>
      <c r="I312" s="1094" t="e">
        <f t="shared" si="26"/>
        <v>#N/A</v>
      </c>
      <c r="P312" s="688">
        <f>LOOKUP(J312,'ETAT-PAY-PERM'!J:J,'ETAT-PAY-PERM'!S:S)</f>
        <v>0</v>
      </c>
      <c r="Q312" s="1095">
        <f t="shared" si="27"/>
        <v>0</v>
      </c>
      <c r="R312" s="1095" t="str">
        <f t="shared" si="28"/>
        <v/>
      </c>
    </row>
    <row r="313" spans="1:18" ht="18.75" thickBot="1">
      <c r="A313" s="1085">
        <f>'Base-D'!A313</f>
        <v>312</v>
      </c>
      <c r="B313" s="1085">
        <f>'Base-D'!AX313</f>
        <v>0</v>
      </c>
      <c r="C313" s="1085" t="e">
        <f>LOOKUP(A313,'Base-D'!A:A,'Base-D'!BP:BP)</f>
        <v>#N/A</v>
      </c>
      <c r="D313" s="1085">
        <f>'Base-D'!S313</f>
        <v>0</v>
      </c>
      <c r="E313" s="1086"/>
      <c r="F313" s="1087"/>
      <c r="G313" s="1087" t="e">
        <f>LOOKUP(A313,'ETAT-PAY-PERM'!A:A,'ETAT-PAY-PERM'!J:J)</f>
        <v>#N/A</v>
      </c>
      <c r="H313" s="1094" t="e">
        <f t="shared" si="25"/>
        <v>#N/A</v>
      </c>
      <c r="I313" s="1094" t="e">
        <f t="shared" si="26"/>
        <v>#N/A</v>
      </c>
      <c r="P313" s="688">
        <f>LOOKUP(J313,'ETAT-PAY-PERM'!J:J,'ETAT-PAY-PERM'!S:S)</f>
        <v>0</v>
      </c>
      <c r="Q313" s="1095">
        <f t="shared" si="27"/>
        <v>0</v>
      </c>
      <c r="R313" s="1095" t="str">
        <f t="shared" si="28"/>
        <v/>
      </c>
    </row>
    <row r="314" spans="1:18" ht="18.75" thickBot="1">
      <c r="A314" s="1085">
        <f>'Base-D'!A314</f>
        <v>313</v>
      </c>
      <c r="B314" s="1085">
        <f>'Base-D'!AX314</f>
        <v>0</v>
      </c>
      <c r="C314" s="1085" t="e">
        <f>LOOKUP(A314,'Base-D'!A:A,'Base-D'!BP:BP)</f>
        <v>#N/A</v>
      </c>
      <c r="D314" s="1085">
        <f>'Base-D'!S314</f>
        <v>0</v>
      </c>
      <c r="E314" s="1086"/>
      <c r="F314" s="1087"/>
      <c r="G314" s="1087" t="e">
        <f>LOOKUP(A314,'ETAT-PAY-PERM'!A:A,'ETAT-PAY-PERM'!J:J)</f>
        <v>#N/A</v>
      </c>
      <c r="H314" s="1094" t="e">
        <f t="shared" si="25"/>
        <v>#N/A</v>
      </c>
      <c r="I314" s="1094" t="e">
        <f t="shared" si="26"/>
        <v>#N/A</v>
      </c>
      <c r="P314" s="688">
        <f>LOOKUP(J314,'ETAT-PAY-PERM'!J:J,'ETAT-PAY-PERM'!S:S)</f>
        <v>0</v>
      </c>
      <c r="Q314" s="1095">
        <f t="shared" si="27"/>
        <v>0</v>
      </c>
      <c r="R314" s="1095" t="str">
        <f t="shared" si="28"/>
        <v/>
      </c>
    </row>
    <row r="315" spans="1:18" ht="18.75" thickBot="1">
      <c r="A315" s="1085">
        <f>'Base-D'!A315</f>
        <v>314</v>
      </c>
      <c r="B315" s="1085">
        <f>'Base-D'!AX315</f>
        <v>0</v>
      </c>
      <c r="C315" s="1085" t="e">
        <f>LOOKUP(A315,'Base-D'!A:A,'Base-D'!BP:BP)</f>
        <v>#N/A</v>
      </c>
      <c r="D315" s="1085">
        <f>'Base-D'!S315</f>
        <v>0</v>
      </c>
      <c r="E315" s="1086"/>
      <c r="F315" s="1087"/>
      <c r="G315" s="1087" t="e">
        <f>LOOKUP(A315,'ETAT-PAY-PERM'!A:A,'ETAT-PAY-PERM'!J:J)</f>
        <v>#N/A</v>
      </c>
      <c r="H315" s="1094" t="e">
        <f t="shared" si="25"/>
        <v>#N/A</v>
      </c>
      <c r="I315" s="1094" t="e">
        <f t="shared" si="26"/>
        <v>#N/A</v>
      </c>
      <c r="P315" s="688">
        <f>LOOKUP(J315,'ETAT-PAY-PERM'!J:J,'ETAT-PAY-PERM'!S:S)</f>
        <v>0</v>
      </c>
      <c r="Q315" s="1095">
        <f t="shared" si="27"/>
        <v>0</v>
      </c>
      <c r="R315" s="1095" t="str">
        <f t="shared" si="28"/>
        <v/>
      </c>
    </row>
    <row r="316" spans="1:18" ht="18.75" thickBot="1">
      <c r="A316" s="1085">
        <f>'Base-D'!A316</f>
        <v>315</v>
      </c>
      <c r="B316" s="1085">
        <f>'Base-D'!AX316</f>
        <v>0</v>
      </c>
      <c r="C316" s="1085" t="e">
        <f>LOOKUP(A316,'Base-D'!A:A,'Base-D'!BP:BP)</f>
        <v>#N/A</v>
      </c>
      <c r="D316" s="1085">
        <f>'Base-D'!S316</f>
        <v>0</v>
      </c>
      <c r="E316" s="1086"/>
      <c r="F316" s="1087"/>
      <c r="G316" s="1087" t="e">
        <f>LOOKUP(A316,'ETAT-PAY-PERM'!A:A,'ETAT-PAY-PERM'!J:J)</f>
        <v>#N/A</v>
      </c>
      <c r="H316" s="1094" t="e">
        <f t="shared" si="25"/>
        <v>#N/A</v>
      </c>
      <c r="I316" s="1094" t="e">
        <f t="shared" si="26"/>
        <v>#N/A</v>
      </c>
      <c r="P316" s="688">
        <f>LOOKUP(J316,'ETAT-PAY-PERM'!J:J,'ETAT-PAY-PERM'!S:S)</f>
        <v>0</v>
      </c>
      <c r="Q316" s="1095">
        <f t="shared" si="27"/>
        <v>0</v>
      </c>
      <c r="R316" s="1095" t="str">
        <f t="shared" si="28"/>
        <v/>
      </c>
    </row>
    <row r="317" spans="1:18" ht="18.75" thickBot="1">
      <c r="A317" s="1085">
        <f>'Base-D'!A317</f>
        <v>316</v>
      </c>
      <c r="B317" s="1085">
        <f>'Base-D'!AX317</f>
        <v>0</v>
      </c>
      <c r="C317" s="1085" t="e">
        <f>LOOKUP(A317,'Base-D'!A:A,'Base-D'!BP:BP)</f>
        <v>#N/A</v>
      </c>
      <c r="D317" s="1085">
        <f>'Base-D'!S317</f>
        <v>0</v>
      </c>
      <c r="E317" s="1086"/>
      <c r="F317" s="1087"/>
      <c r="G317" s="1087" t="e">
        <f>LOOKUP(A317,'ETAT-PAY-PERM'!A:A,'ETAT-PAY-PERM'!J:J)</f>
        <v>#N/A</v>
      </c>
      <c r="H317" s="1094" t="e">
        <f t="shared" si="25"/>
        <v>#N/A</v>
      </c>
      <c r="I317" s="1094" t="e">
        <f t="shared" si="26"/>
        <v>#N/A</v>
      </c>
      <c r="P317" s="688">
        <f>LOOKUP(J317,'ETAT-PAY-PERM'!J:J,'ETAT-PAY-PERM'!S:S)</f>
        <v>0</v>
      </c>
      <c r="Q317" s="1095">
        <f t="shared" si="27"/>
        <v>0</v>
      </c>
      <c r="R317" s="1095" t="str">
        <f t="shared" si="28"/>
        <v/>
      </c>
    </row>
    <row r="318" spans="1:18" ht="18.75" thickBot="1">
      <c r="A318" s="1085">
        <f>'Base-D'!A318</f>
        <v>317</v>
      </c>
      <c r="B318" s="1085">
        <f>'Base-D'!AX318</f>
        <v>0</v>
      </c>
      <c r="C318" s="1085" t="e">
        <f>LOOKUP(A318,'Base-D'!A:A,'Base-D'!BP:BP)</f>
        <v>#N/A</v>
      </c>
      <c r="D318" s="1085">
        <f>'Base-D'!S318</f>
        <v>0</v>
      </c>
      <c r="E318" s="1086"/>
      <c r="F318" s="1087"/>
      <c r="G318" s="1087" t="e">
        <f>LOOKUP(A318,'ETAT-PAY-PERM'!A:A,'ETAT-PAY-PERM'!J:J)</f>
        <v>#N/A</v>
      </c>
      <c r="H318" s="1094" t="e">
        <f t="shared" si="25"/>
        <v>#N/A</v>
      </c>
      <c r="I318" s="1094" t="e">
        <f t="shared" si="26"/>
        <v>#N/A</v>
      </c>
      <c r="P318" s="688">
        <f>LOOKUP(J318,'ETAT-PAY-PERM'!J:J,'ETAT-PAY-PERM'!S:S)</f>
        <v>0</v>
      </c>
      <c r="Q318" s="1095">
        <f t="shared" si="27"/>
        <v>0</v>
      </c>
      <c r="R318" s="1095" t="str">
        <f t="shared" si="28"/>
        <v/>
      </c>
    </row>
    <row r="319" spans="1:18" ht="18.75" thickBot="1">
      <c r="A319" s="1085">
        <f>'Base-D'!A319</f>
        <v>318</v>
      </c>
      <c r="B319" s="1085">
        <f>'Base-D'!AX319</f>
        <v>0</v>
      </c>
      <c r="C319" s="1085" t="e">
        <f>LOOKUP(A319,'Base-D'!A:A,'Base-D'!BP:BP)</f>
        <v>#N/A</v>
      </c>
      <c r="D319" s="1085">
        <f>'Base-D'!S319</f>
        <v>0</v>
      </c>
      <c r="E319" s="1086"/>
      <c r="F319" s="1087"/>
      <c r="G319" s="1087" t="e">
        <f>LOOKUP(A319,'ETAT-PAY-PERM'!A:A,'ETAT-PAY-PERM'!J:J)</f>
        <v>#N/A</v>
      </c>
      <c r="H319" s="1094" t="e">
        <f t="shared" si="25"/>
        <v>#N/A</v>
      </c>
      <c r="I319" s="1094" t="e">
        <f t="shared" si="26"/>
        <v>#N/A</v>
      </c>
      <c r="P319" s="688">
        <f>LOOKUP(J319,'ETAT-PAY-PERM'!J:J,'ETAT-PAY-PERM'!S:S)</f>
        <v>0</v>
      </c>
      <c r="Q319" s="1095">
        <f t="shared" si="27"/>
        <v>0</v>
      </c>
      <c r="R319" s="1095" t="str">
        <f t="shared" si="28"/>
        <v/>
      </c>
    </row>
    <row r="320" spans="1:18" ht="18.75" thickBot="1">
      <c r="A320" s="1085">
        <f>'Base-D'!A320</f>
        <v>319</v>
      </c>
      <c r="B320" s="1085">
        <f>'Base-D'!AX320</f>
        <v>0</v>
      </c>
      <c r="C320" s="1085" t="e">
        <f>LOOKUP(A320,'Base-D'!A:A,'Base-D'!BP:BP)</f>
        <v>#N/A</v>
      </c>
      <c r="D320" s="1085">
        <f>'Base-D'!S320</f>
        <v>0</v>
      </c>
      <c r="E320" s="1086"/>
      <c r="F320" s="1087"/>
      <c r="G320" s="1087" t="e">
        <f>LOOKUP(A320,'ETAT-PAY-PERM'!A:A,'ETAT-PAY-PERM'!J:J)</f>
        <v>#N/A</v>
      </c>
      <c r="H320" s="1094" t="e">
        <f t="shared" si="25"/>
        <v>#N/A</v>
      </c>
      <c r="I320" s="1094" t="e">
        <f t="shared" si="26"/>
        <v>#N/A</v>
      </c>
      <c r="P320" s="688">
        <f>LOOKUP(J320,'ETAT-PAY-PERM'!J:J,'ETAT-PAY-PERM'!S:S)</f>
        <v>0</v>
      </c>
      <c r="Q320" s="1095">
        <f t="shared" si="27"/>
        <v>0</v>
      </c>
      <c r="R320" s="1095" t="str">
        <f t="shared" si="28"/>
        <v/>
      </c>
    </row>
    <row r="321" spans="1:18" ht="18.75" thickBot="1">
      <c r="A321" s="1085">
        <f>'Base-D'!A321</f>
        <v>320</v>
      </c>
      <c r="B321" s="1085">
        <f>'Base-D'!AX321</f>
        <v>0</v>
      </c>
      <c r="C321" s="1085" t="e">
        <f>LOOKUP(A321,'Base-D'!A:A,'Base-D'!BP:BP)</f>
        <v>#N/A</v>
      </c>
      <c r="D321" s="1085">
        <f>'Base-D'!S321</f>
        <v>0</v>
      </c>
      <c r="E321" s="1086"/>
      <c r="F321" s="1087"/>
      <c r="G321" s="1087" t="e">
        <f>LOOKUP(A321,'ETAT-PAY-PERM'!A:A,'ETAT-PAY-PERM'!J:J)</f>
        <v>#N/A</v>
      </c>
      <c r="H321" s="1094" t="e">
        <f t="shared" si="25"/>
        <v>#N/A</v>
      </c>
      <c r="I321" s="1094" t="e">
        <f t="shared" si="26"/>
        <v>#N/A</v>
      </c>
      <c r="P321" s="688">
        <f>LOOKUP(J321,'ETAT-PAY-PERM'!J:J,'ETAT-PAY-PERM'!S:S)</f>
        <v>0</v>
      </c>
      <c r="Q321" s="1095">
        <f t="shared" si="27"/>
        <v>0</v>
      </c>
      <c r="R321" s="1095" t="str">
        <f t="shared" si="28"/>
        <v/>
      </c>
    </row>
    <row r="322" spans="1:18" ht="18.75" thickBot="1">
      <c r="A322" s="1085">
        <f>'Base-D'!A322</f>
        <v>321</v>
      </c>
      <c r="B322" s="1085">
        <f>'Base-D'!AX322</f>
        <v>0</v>
      </c>
      <c r="C322" s="1085" t="e">
        <f>LOOKUP(A322,'Base-D'!A:A,'Base-D'!BP:BP)</f>
        <v>#N/A</v>
      </c>
      <c r="D322" s="1085">
        <f>'Base-D'!S322</f>
        <v>0</v>
      </c>
      <c r="E322" s="1086"/>
      <c r="F322" s="1087"/>
      <c r="G322" s="1087" t="e">
        <f>LOOKUP(A322,'ETAT-PAY-PERM'!A:A,'ETAT-PAY-PERM'!J:J)</f>
        <v>#N/A</v>
      </c>
      <c r="H322" s="1094" t="e">
        <f t="shared" si="25"/>
        <v>#N/A</v>
      </c>
      <c r="I322" s="1094" t="e">
        <f t="shared" si="26"/>
        <v>#N/A</v>
      </c>
      <c r="P322" s="688">
        <f>LOOKUP(J322,'ETAT-PAY-PERM'!J:J,'ETAT-PAY-PERM'!S:S)</f>
        <v>0</v>
      </c>
      <c r="Q322" s="1095">
        <f t="shared" si="27"/>
        <v>0</v>
      </c>
      <c r="R322" s="1095" t="str">
        <f t="shared" si="28"/>
        <v/>
      </c>
    </row>
    <row r="323" spans="1:18" ht="18.75" thickBot="1">
      <c r="A323" s="1085">
        <f>'Base-D'!A323</f>
        <v>322</v>
      </c>
      <c r="B323" s="1085">
        <f>'Base-D'!AX323</f>
        <v>0</v>
      </c>
      <c r="C323" s="1085" t="e">
        <f>LOOKUP(A323,'Base-D'!A:A,'Base-D'!BP:BP)</f>
        <v>#N/A</v>
      </c>
      <c r="D323" s="1085">
        <f>'Base-D'!S323</f>
        <v>0</v>
      </c>
      <c r="E323" s="1086"/>
      <c r="F323" s="1087"/>
      <c r="G323" s="1087" t="e">
        <f>LOOKUP(A323,'ETAT-PAY-PERM'!A:A,'ETAT-PAY-PERM'!J:J)</f>
        <v>#N/A</v>
      </c>
      <c r="H323" s="1094" t="e">
        <f t="shared" ref="H323:H386" si="29">IF(G323&gt;1,1,0)</f>
        <v>#N/A</v>
      </c>
      <c r="I323" s="1094" t="e">
        <f t="shared" ref="I323:I386" si="30">IF(H323=0,"",A323)</f>
        <v>#N/A</v>
      </c>
      <c r="P323" s="688">
        <f>LOOKUP(J323,'ETAT-PAY-PERM'!J:J,'ETAT-PAY-PERM'!S:S)</f>
        <v>0</v>
      </c>
      <c r="Q323" s="1095">
        <f t="shared" ref="Q323:Q386" si="31">IF(P323&gt;1,1,0)</f>
        <v>0</v>
      </c>
      <c r="R323" s="1095" t="str">
        <f t="shared" ref="R323:R386" si="32">IF(Q323=0,"",J323)</f>
        <v/>
      </c>
    </row>
    <row r="324" spans="1:18" ht="18.75" thickBot="1">
      <c r="A324" s="1085">
        <f>'Base-D'!A324</f>
        <v>323</v>
      </c>
      <c r="B324" s="1085">
        <f>'Base-D'!AX324</f>
        <v>0</v>
      </c>
      <c r="C324" s="1085" t="e">
        <f>LOOKUP(A324,'Base-D'!A:A,'Base-D'!BP:BP)</f>
        <v>#N/A</v>
      </c>
      <c r="D324" s="1085">
        <f>'Base-D'!S324</f>
        <v>0</v>
      </c>
      <c r="E324" s="1086"/>
      <c r="F324" s="1087"/>
      <c r="G324" s="1087" t="e">
        <f>LOOKUP(A324,'ETAT-PAY-PERM'!A:A,'ETAT-PAY-PERM'!J:J)</f>
        <v>#N/A</v>
      </c>
      <c r="H324" s="1094" t="e">
        <f t="shared" si="29"/>
        <v>#N/A</v>
      </c>
      <c r="I324" s="1094" t="e">
        <f t="shared" si="30"/>
        <v>#N/A</v>
      </c>
      <c r="P324" s="688">
        <f>LOOKUP(J324,'ETAT-PAY-PERM'!J:J,'ETAT-PAY-PERM'!S:S)</f>
        <v>0</v>
      </c>
      <c r="Q324" s="1095">
        <f t="shared" si="31"/>
        <v>0</v>
      </c>
      <c r="R324" s="1095" t="str">
        <f t="shared" si="32"/>
        <v/>
      </c>
    </row>
    <row r="325" spans="1:18" ht="18.75" thickBot="1">
      <c r="A325" s="1085">
        <f>'Base-D'!A325</f>
        <v>324</v>
      </c>
      <c r="B325" s="1085">
        <f>'Base-D'!AX325</f>
        <v>0</v>
      </c>
      <c r="C325" s="1085" t="e">
        <f>LOOKUP(A325,'Base-D'!A:A,'Base-D'!BP:BP)</f>
        <v>#N/A</v>
      </c>
      <c r="D325" s="1085">
        <f>'Base-D'!S325</f>
        <v>0</v>
      </c>
      <c r="E325" s="1086"/>
      <c r="F325" s="1087"/>
      <c r="G325" s="1087" t="e">
        <f>LOOKUP(A325,'ETAT-PAY-PERM'!A:A,'ETAT-PAY-PERM'!J:J)</f>
        <v>#N/A</v>
      </c>
      <c r="H325" s="1094" t="e">
        <f t="shared" si="29"/>
        <v>#N/A</v>
      </c>
      <c r="I325" s="1094" t="e">
        <f t="shared" si="30"/>
        <v>#N/A</v>
      </c>
      <c r="P325" s="688">
        <f>LOOKUP(J325,'ETAT-PAY-PERM'!J:J,'ETAT-PAY-PERM'!S:S)</f>
        <v>0</v>
      </c>
      <c r="Q325" s="1095">
        <f t="shared" si="31"/>
        <v>0</v>
      </c>
      <c r="R325" s="1095" t="str">
        <f t="shared" si="32"/>
        <v/>
      </c>
    </row>
    <row r="326" spans="1:18" ht="18.75" thickBot="1">
      <c r="A326" s="1085">
        <f>'Base-D'!A326</f>
        <v>325</v>
      </c>
      <c r="B326" s="1085">
        <f>'Base-D'!AX326</f>
        <v>0</v>
      </c>
      <c r="C326" s="1085" t="e">
        <f>LOOKUP(A326,'Base-D'!A:A,'Base-D'!BP:BP)</f>
        <v>#N/A</v>
      </c>
      <c r="D326" s="1085">
        <f>'Base-D'!S326</f>
        <v>0</v>
      </c>
      <c r="E326" s="1086"/>
      <c r="F326" s="1087"/>
      <c r="G326" s="1087" t="e">
        <f>LOOKUP(A326,'ETAT-PAY-PERM'!A:A,'ETAT-PAY-PERM'!J:J)</f>
        <v>#N/A</v>
      </c>
      <c r="H326" s="1094" t="e">
        <f t="shared" si="29"/>
        <v>#N/A</v>
      </c>
      <c r="I326" s="1094" t="e">
        <f t="shared" si="30"/>
        <v>#N/A</v>
      </c>
      <c r="P326" s="688">
        <f>LOOKUP(J326,'ETAT-PAY-PERM'!J:J,'ETAT-PAY-PERM'!S:S)</f>
        <v>0</v>
      </c>
      <c r="Q326" s="1095">
        <f t="shared" si="31"/>
        <v>0</v>
      </c>
      <c r="R326" s="1095" t="str">
        <f t="shared" si="32"/>
        <v/>
      </c>
    </row>
    <row r="327" spans="1:18" ht="18.75" thickBot="1">
      <c r="A327" s="1085">
        <f>'Base-D'!A327</f>
        <v>326</v>
      </c>
      <c r="B327" s="1085">
        <f>'Base-D'!AX327</f>
        <v>0</v>
      </c>
      <c r="C327" s="1085" t="e">
        <f>LOOKUP(A327,'Base-D'!A:A,'Base-D'!BP:BP)</f>
        <v>#N/A</v>
      </c>
      <c r="D327" s="1085">
        <f>'Base-D'!S327</f>
        <v>0</v>
      </c>
      <c r="E327" s="1086"/>
      <c r="F327" s="1087"/>
      <c r="G327" s="1087" t="e">
        <f>LOOKUP(A327,'ETAT-PAY-PERM'!A:A,'ETAT-PAY-PERM'!J:J)</f>
        <v>#N/A</v>
      </c>
      <c r="H327" s="1094" t="e">
        <f t="shared" si="29"/>
        <v>#N/A</v>
      </c>
      <c r="I327" s="1094" t="e">
        <f t="shared" si="30"/>
        <v>#N/A</v>
      </c>
      <c r="P327" s="688">
        <f>LOOKUP(J327,'ETAT-PAY-PERM'!J:J,'ETAT-PAY-PERM'!S:S)</f>
        <v>0</v>
      </c>
      <c r="Q327" s="1095">
        <f t="shared" si="31"/>
        <v>0</v>
      </c>
      <c r="R327" s="1095" t="str">
        <f t="shared" si="32"/>
        <v/>
      </c>
    </row>
    <row r="328" spans="1:18" ht="18.75" thickBot="1">
      <c r="A328" s="1085">
        <f>'Base-D'!A328</f>
        <v>327</v>
      </c>
      <c r="B328" s="1085">
        <f>'Base-D'!AX328</f>
        <v>0</v>
      </c>
      <c r="C328" s="1085" t="e">
        <f>LOOKUP(A328,'Base-D'!A:A,'Base-D'!BP:BP)</f>
        <v>#N/A</v>
      </c>
      <c r="D328" s="1085">
        <f>'Base-D'!S328</f>
        <v>0</v>
      </c>
      <c r="E328" s="1086"/>
      <c r="F328" s="1087"/>
      <c r="G328" s="1087" t="e">
        <f>LOOKUP(A328,'ETAT-PAY-PERM'!A:A,'ETAT-PAY-PERM'!J:J)</f>
        <v>#N/A</v>
      </c>
      <c r="H328" s="1094" t="e">
        <f t="shared" si="29"/>
        <v>#N/A</v>
      </c>
      <c r="I328" s="1094" t="e">
        <f t="shared" si="30"/>
        <v>#N/A</v>
      </c>
      <c r="P328" s="688">
        <f>LOOKUP(J328,'ETAT-PAY-PERM'!J:J,'ETAT-PAY-PERM'!S:S)</f>
        <v>0</v>
      </c>
      <c r="Q328" s="1095">
        <f t="shared" si="31"/>
        <v>0</v>
      </c>
      <c r="R328" s="1095" t="str">
        <f t="shared" si="32"/>
        <v/>
      </c>
    </row>
    <row r="329" spans="1:18" ht="18.75" thickBot="1">
      <c r="A329" s="1085">
        <f>'Base-D'!A329</f>
        <v>328</v>
      </c>
      <c r="B329" s="1085">
        <f>'Base-D'!AX329</f>
        <v>0</v>
      </c>
      <c r="C329" s="1085" t="e">
        <f>LOOKUP(A329,'Base-D'!A:A,'Base-D'!BP:BP)</f>
        <v>#N/A</v>
      </c>
      <c r="D329" s="1085">
        <f>'Base-D'!S329</f>
        <v>0</v>
      </c>
      <c r="E329" s="1086"/>
      <c r="F329" s="1087"/>
      <c r="G329" s="1087" t="e">
        <f>LOOKUP(A329,'ETAT-PAY-PERM'!A:A,'ETAT-PAY-PERM'!J:J)</f>
        <v>#N/A</v>
      </c>
      <c r="H329" s="1094" t="e">
        <f t="shared" si="29"/>
        <v>#N/A</v>
      </c>
      <c r="I329" s="1094" t="e">
        <f t="shared" si="30"/>
        <v>#N/A</v>
      </c>
      <c r="P329" s="688">
        <f>LOOKUP(J329,'ETAT-PAY-PERM'!J:J,'ETAT-PAY-PERM'!S:S)</f>
        <v>0</v>
      </c>
      <c r="Q329" s="1095">
        <f t="shared" si="31"/>
        <v>0</v>
      </c>
      <c r="R329" s="1095" t="str">
        <f t="shared" si="32"/>
        <v/>
      </c>
    </row>
    <row r="330" spans="1:18" ht="18.75" thickBot="1">
      <c r="A330" s="1085">
        <f>'Base-D'!A330</f>
        <v>329</v>
      </c>
      <c r="B330" s="1085">
        <f>'Base-D'!AX330</f>
        <v>0</v>
      </c>
      <c r="C330" s="1085" t="e">
        <f>LOOKUP(A330,'Base-D'!A:A,'Base-D'!BP:BP)</f>
        <v>#N/A</v>
      </c>
      <c r="D330" s="1085">
        <f>'Base-D'!S330</f>
        <v>0</v>
      </c>
      <c r="E330" s="1086"/>
      <c r="F330" s="1087"/>
      <c r="G330" s="1087" t="e">
        <f>LOOKUP(A330,'ETAT-PAY-PERM'!A:A,'ETAT-PAY-PERM'!J:J)</f>
        <v>#N/A</v>
      </c>
      <c r="H330" s="1094" t="e">
        <f t="shared" si="29"/>
        <v>#N/A</v>
      </c>
      <c r="I330" s="1094" t="e">
        <f t="shared" si="30"/>
        <v>#N/A</v>
      </c>
      <c r="P330" s="688">
        <f>LOOKUP(J330,'ETAT-PAY-PERM'!J:J,'ETAT-PAY-PERM'!S:S)</f>
        <v>0</v>
      </c>
      <c r="Q330" s="1095">
        <f t="shared" si="31"/>
        <v>0</v>
      </c>
      <c r="R330" s="1095" t="str">
        <f t="shared" si="32"/>
        <v/>
      </c>
    </row>
    <row r="331" spans="1:18" ht="18.75" thickBot="1">
      <c r="A331" s="1085">
        <f>'Base-D'!A331</f>
        <v>330</v>
      </c>
      <c r="B331" s="1085">
        <f>'Base-D'!AX331</f>
        <v>0</v>
      </c>
      <c r="C331" s="1085" t="e">
        <f>LOOKUP(A331,'Base-D'!A:A,'Base-D'!BP:BP)</f>
        <v>#N/A</v>
      </c>
      <c r="D331" s="1085">
        <f>'Base-D'!S331</f>
        <v>0</v>
      </c>
      <c r="E331" s="1086"/>
      <c r="F331" s="1087"/>
      <c r="G331" s="1087" t="e">
        <f>LOOKUP(A331,'ETAT-PAY-PERM'!A:A,'ETAT-PAY-PERM'!J:J)</f>
        <v>#N/A</v>
      </c>
      <c r="H331" s="1094" t="e">
        <f t="shared" si="29"/>
        <v>#N/A</v>
      </c>
      <c r="I331" s="1094" t="e">
        <f t="shared" si="30"/>
        <v>#N/A</v>
      </c>
      <c r="P331" s="688">
        <f>LOOKUP(J331,'ETAT-PAY-PERM'!J:J,'ETAT-PAY-PERM'!S:S)</f>
        <v>0</v>
      </c>
      <c r="Q331" s="1095">
        <f t="shared" si="31"/>
        <v>0</v>
      </c>
      <c r="R331" s="1095" t="str">
        <f t="shared" si="32"/>
        <v/>
      </c>
    </row>
    <row r="332" spans="1:18" ht="18.75" thickBot="1">
      <c r="A332" s="1085">
        <f>'Base-D'!A332</f>
        <v>331</v>
      </c>
      <c r="B332" s="1085">
        <f>'Base-D'!AX332</f>
        <v>0</v>
      </c>
      <c r="C332" s="1085" t="e">
        <f>LOOKUP(A332,'Base-D'!A:A,'Base-D'!BP:BP)</f>
        <v>#N/A</v>
      </c>
      <c r="D332" s="1085">
        <f>'Base-D'!S332</f>
        <v>0</v>
      </c>
      <c r="E332" s="1086"/>
      <c r="F332" s="1087"/>
      <c r="G332" s="1087" t="e">
        <f>LOOKUP(A332,'ETAT-PAY-PERM'!A:A,'ETAT-PAY-PERM'!J:J)</f>
        <v>#N/A</v>
      </c>
      <c r="H332" s="1094" t="e">
        <f t="shared" si="29"/>
        <v>#N/A</v>
      </c>
      <c r="I332" s="1094" t="e">
        <f t="shared" si="30"/>
        <v>#N/A</v>
      </c>
      <c r="P332" s="688">
        <f>LOOKUP(J332,'ETAT-PAY-PERM'!J:J,'ETAT-PAY-PERM'!S:S)</f>
        <v>0</v>
      </c>
      <c r="Q332" s="1095">
        <f t="shared" si="31"/>
        <v>0</v>
      </c>
      <c r="R332" s="1095" t="str">
        <f t="shared" si="32"/>
        <v/>
      </c>
    </row>
    <row r="333" spans="1:18" ht="18.75" thickBot="1">
      <c r="A333" s="1085">
        <f>'Base-D'!A333</f>
        <v>332</v>
      </c>
      <c r="B333" s="1085">
        <f>'Base-D'!AX333</f>
        <v>0</v>
      </c>
      <c r="C333" s="1085" t="e">
        <f>LOOKUP(A333,'Base-D'!A:A,'Base-D'!BP:BP)</f>
        <v>#N/A</v>
      </c>
      <c r="D333" s="1085">
        <f>'Base-D'!S333</f>
        <v>0</v>
      </c>
      <c r="E333" s="1086"/>
      <c r="F333" s="1087"/>
      <c r="G333" s="1087" t="e">
        <f>LOOKUP(A333,'ETAT-PAY-PERM'!A:A,'ETAT-PAY-PERM'!J:J)</f>
        <v>#N/A</v>
      </c>
      <c r="H333" s="1094" t="e">
        <f t="shared" si="29"/>
        <v>#N/A</v>
      </c>
      <c r="I333" s="1094" t="e">
        <f t="shared" si="30"/>
        <v>#N/A</v>
      </c>
      <c r="P333" s="688">
        <f>LOOKUP(J333,'ETAT-PAY-PERM'!J:J,'ETAT-PAY-PERM'!S:S)</f>
        <v>0</v>
      </c>
      <c r="Q333" s="1095">
        <f t="shared" si="31"/>
        <v>0</v>
      </c>
      <c r="R333" s="1095" t="str">
        <f t="shared" si="32"/>
        <v/>
      </c>
    </row>
    <row r="334" spans="1:18" ht="18.75" thickBot="1">
      <c r="A334" s="1085">
        <f>'Base-D'!A334</f>
        <v>333</v>
      </c>
      <c r="B334" s="1085">
        <f>'Base-D'!AX334</f>
        <v>0</v>
      </c>
      <c r="C334" s="1085" t="e">
        <f>LOOKUP(A334,'Base-D'!A:A,'Base-D'!BP:BP)</f>
        <v>#N/A</v>
      </c>
      <c r="D334" s="1085">
        <f>'Base-D'!S334</f>
        <v>0</v>
      </c>
      <c r="E334" s="1086"/>
      <c r="F334" s="1087"/>
      <c r="G334" s="1087" t="e">
        <f>LOOKUP(A334,'ETAT-PAY-PERM'!A:A,'ETAT-PAY-PERM'!J:J)</f>
        <v>#N/A</v>
      </c>
      <c r="H334" s="1094" t="e">
        <f t="shared" si="29"/>
        <v>#N/A</v>
      </c>
      <c r="I334" s="1094" t="e">
        <f t="shared" si="30"/>
        <v>#N/A</v>
      </c>
      <c r="P334" s="688">
        <f>LOOKUP(J334,'ETAT-PAY-PERM'!J:J,'ETAT-PAY-PERM'!S:S)</f>
        <v>0</v>
      </c>
      <c r="Q334" s="1095">
        <f t="shared" si="31"/>
        <v>0</v>
      </c>
      <c r="R334" s="1095" t="str">
        <f t="shared" si="32"/>
        <v/>
      </c>
    </row>
    <row r="335" spans="1:18" ht="18.75" thickBot="1">
      <c r="A335" s="1085">
        <f>'Base-D'!A335</f>
        <v>334</v>
      </c>
      <c r="B335" s="1085">
        <f>'Base-D'!AX335</f>
        <v>0</v>
      </c>
      <c r="C335" s="1085" t="e">
        <f>LOOKUP(A335,'Base-D'!A:A,'Base-D'!BP:BP)</f>
        <v>#N/A</v>
      </c>
      <c r="D335" s="1085">
        <f>'Base-D'!S335</f>
        <v>0</v>
      </c>
      <c r="E335" s="1086"/>
      <c r="F335" s="1087"/>
      <c r="G335" s="1087" t="e">
        <f>LOOKUP(A335,'ETAT-PAY-PERM'!A:A,'ETAT-PAY-PERM'!J:J)</f>
        <v>#N/A</v>
      </c>
      <c r="H335" s="1094" t="e">
        <f t="shared" si="29"/>
        <v>#N/A</v>
      </c>
      <c r="I335" s="1094" t="e">
        <f t="shared" si="30"/>
        <v>#N/A</v>
      </c>
      <c r="P335" s="688">
        <f>LOOKUP(J335,'ETAT-PAY-PERM'!J:J,'ETAT-PAY-PERM'!S:S)</f>
        <v>0</v>
      </c>
      <c r="Q335" s="1095">
        <f t="shared" si="31"/>
        <v>0</v>
      </c>
      <c r="R335" s="1095" t="str">
        <f t="shared" si="32"/>
        <v/>
      </c>
    </row>
    <row r="336" spans="1:18" ht="18.75" thickBot="1">
      <c r="A336" s="1085">
        <f>'Base-D'!A336</f>
        <v>335</v>
      </c>
      <c r="B336" s="1085">
        <f>'Base-D'!AX336</f>
        <v>0</v>
      </c>
      <c r="C336" s="1085" t="e">
        <f>LOOKUP(A336,'Base-D'!A:A,'Base-D'!BP:BP)</f>
        <v>#N/A</v>
      </c>
      <c r="D336" s="1085">
        <f>'Base-D'!S336</f>
        <v>0</v>
      </c>
      <c r="E336" s="1086"/>
      <c r="F336" s="1087"/>
      <c r="G336" s="1087" t="e">
        <f>LOOKUP(A336,'ETAT-PAY-PERM'!A:A,'ETAT-PAY-PERM'!J:J)</f>
        <v>#N/A</v>
      </c>
      <c r="H336" s="1094" t="e">
        <f t="shared" si="29"/>
        <v>#N/A</v>
      </c>
      <c r="I336" s="1094" t="e">
        <f t="shared" si="30"/>
        <v>#N/A</v>
      </c>
      <c r="P336" s="688">
        <f>LOOKUP(J336,'ETAT-PAY-PERM'!J:J,'ETAT-PAY-PERM'!S:S)</f>
        <v>0</v>
      </c>
      <c r="Q336" s="1095">
        <f t="shared" si="31"/>
        <v>0</v>
      </c>
      <c r="R336" s="1095" t="str">
        <f t="shared" si="32"/>
        <v/>
      </c>
    </row>
    <row r="337" spans="1:18" ht="18.75" thickBot="1">
      <c r="A337" s="1085">
        <f>'Base-D'!A337</f>
        <v>336</v>
      </c>
      <c r="B337" s="1085">
        <f>'Base-D'!AX337</f>
        <v>0</v>
      </c>
      <c r="C337" s="1085" t="e">
        <f>LOOKUP(A337,'Base-D'!A:A,'Base-D'!BP:BP)</f>
        <v>#N/A</v>
      </c>
      <c r="D337" s="1085">
        <f>'Base-D'!S337</f>
        <v>0</v>
      </c>
      <c r="E337" s="1086"/>
      <c r="F337" s="1087"/>
      <c r="G337" s="1087" t="e">
        <f>LOOKUP(A337,'ETAT-PAY-PERM'!A:A,'ETAT-PAY-PERM'!J:J)</f>
        <v>#N/A</v>
      </c>
      <c r="H337" s="1094" t="e">
        <f t="shared" si="29"/>
        <v>#N/A</v>
      </c>
      <c r="I337" s="1094" t="e">
        <f t="shared" si="30"/>
        <v>#N/A</v>
      </c>
      <c r="P337" s="688">
        <f>LOOKUP(J337,'ETAT-PAY-PERM'!J:J,'ETAT-PAY-PERM'!S:S)</f>
        <v>0</v>
      </c>
      <c r="Q337" s="1095">
        <f t="shared" si="31"/>
        <v>0</v>
      </c>
      <c r="R337" s="1095" t="str">
        <f t="shared" si="32"/>
        <v/>
      </c>
    </row>
    <row r="338" spans="1:18" ht="18.75" thickBot="1">
      <c r="A338" s="1085">
        <f>'Base-D'!A338</f>
        <v>337</v>
      </c>
      <c r="B338" s="1085">
        <f>'Base-D'!AX338</f>
        <v>0</v>
      </c>
      <c r="C338" s="1085" t="e">
        <f>LOOKUP(A338,'Base-D'!A:A,'Base-D'!BP:BP)</f>
        <v>#N/A</v>
      </c>
      <c r="D338" s="1085">
        <f>'Base-D'!S338</f>
        <v>0</v>
      </c>
      <c r="E338" s="1086"/>
      <c r="F338" s="1087"/>
      <c r="G338" s="1087" t="e">
        <f>LOOKUP(A338,'ETAT-PAY-PERM'!A:A,'ETAT-PAY-PERM'!J:J)</f>
        <v>#N/A</v>
      </c>
      <c r="H338" s="1094" t="e">
        <f t="shared" si="29"/>
        <v>#N/A</v>
      </c>
      <c r="I338" s="1094" t="e">
        <f t="shared" si="30"/>
        <v>#N/A</v>
      </c>
      <c r="P338" s="688">
        <f>LOOKUP(J338,'ETAT-PAY-PERM'!J:J,'ETAT-PAY-PERM'!S:S)</f>
        <v>0</v>
      </c>
      <c r="Q338" s="1095">
        <f t="shared" si="31"/>
        <v>0</v>
      </c>
      <c r="R338" s="1095" t="str">
        <f t="shared" si="32"/>
        <v/>
      </c>
    </row>
    <row r="339" spans="1:18" ht="18.75" thickBot="1">
      <c r="A339" s="1085">
        <f>'Base-D'!A339</f>
        <v>338</v>
      </c>
      <c r="B339" s="1085">
        <f>'Base-D'!AX339</f>
        <v>0</v>
      </c>
      <c r="C339" s="1085" t="e">
        <f>LOOKUP(A339,'Base-D'!A:A,'Base-D'!BP:BP)</f>
        <v>#N/A</v>
      </c>
      <c r="D339" s="1085">
        <f>'Base-D'!S339</f>
        <v>0</v>
      </c>
      <c r="E339" s="1086"/>
      <c r="F339" s="1087"/>
      <c r="G339" s="1087" t="e">
        <f>LOOKUP(A339,'ETAT-PAY-PERM'!A:A,'ETAT-PAY-PERM'!J:J)</f>
        <v>#N/A</v>
      </c>
      <c r="H339" s="1094" t="e">
        <f t="shared" si="29"/>
        <v>#N/A</v>
      </c>
      <c r="I339" s="1094" t="e">
        <f t="shared" si="30"/>
        <v>#N/A</v>
      </c>
      <c r="P339" s="688">
        <f>LOOKUP(J339,'ETAT-PAY-PERM'!J:J,'ETAT-PAY-PERM'!S:S)</f>
        <v>0</v>
      </c>
      <c r="Q339" s="1095">
        <f t="shared" si="31"/>
        <v>0</v>
      </c>
      <c r="R339" s="1095" t="str">
        <f t="shared" si="32"/>
        <v/>
      </c>
    </row>
    <row r="340" spans="1:18" ht="18.75" thickBot="1">
      <c r="A340" s="1085">
        <f>'Base-D'!A340</f>
        <v>339</v>
      </c>
      <c r="B340" s="1085">
        <f>'Base-D'!AX340</f>
        <v>0</v>
      </c>
      <c r="C340" s="1085" t="e">
        <f>LOOKUP(A340,'Base-D'!A:A,'Base-D'!BP:BP)</f>
        <v>#N/A</v>
      </c>
      <c r="D340" s="1085">
        <f>'Base-D'!S340</f>
        <v>0</v>
      </c>
      <c r="E340" s="1086"/>
      <c r="F340" s="1087"/>
      <c r="G340" s="1087" t="e">
        <f>LOOKUP(A340,'ETAT-PAY-PERM'!A:A,'ETAT-PAY-PERM'!J:J)</f>
        <v>#N/A</v>
      </c>
      <c r="H340" s="1094" t="e">
        <f t="shared" si="29"/>
        <v>#N/A</v>
      </c>
      <c r="I340" s="1094" t="e">
        <f t="shared" si="30"/>
        <v>#N/A</v>
      </c>
      <c r="P340" s="688">
        <f>LOOKUP(J340,'ETAT-PAY-PERM'!J:J,'ETAT-PAY-PERM'!S:S)</f>
        <v>0</v>
      </c>
      <c r="Q340" s="1095">
        <f t="shared" si="31"/>
        <v>0</v>
      </c>
      <c r="R340" s="1095" t="str">
        <f t="shared" si="32"/>
        <v/>
      </c>
    </row>
    <row r="341" spans="1:18" ht="18.75" thickBot="1">
      <c r="A341" s="1085">
        <f>'Base-D'!A341</f>
        <v>340</v>
      </c>
      <c r="B341" s="1085">
        <f>'Base-D'!AX341</f>
        <v>0</v>
      </c>
      <c r="C341" s="1085" t="e">
        <f>LOOKUP(A341,'Base-D'!A:A,'Base-D'!BP:BP)</f>
        <v>#N/A</v>
      </c>
      <c r="D341" s="1085">
        <f>'Base-D'!S341</f>
        <v>0</v>
      </c>
      <c r="E341" s="1086"/>
      <c r="F341" s="1087"/>
      <c r="G341" s="1087" t="e">
        <f>LOOKUP(A341,'ETAT-PAY-PERM'!A:A,'ETAT-PAY-PERM'!J:J)</f>
        <v>#N/A</v>
      </c>
      <c r="H341" s="1094" t="e">
        <f t="shared" si="29"/>
        <v>#N/A</v>
      </c>
      <c r="I341" s="1094" t="e">
        <f t="shared" si="30"/>
        <v>#N/A</v>
      </c>
      <c r="P341" s="688">
        <f>LOOKUP(J341,'ETAT-PAY-PERM'!J:J,'ETAT-PAY-PERM'!S:S)</f>
        <v>0</v>
      </c>
      <c r="Q341" s="1095">
        <f t="shared" si="31"/>
        <v>0</v>
      </c>
      <c r="R341" s="1095" t="str">
        <f t="shared" si="32"/>
        <v/>
      </c>
    </row>
    <row r="342" spans="1:18" ht="18.75" thickBot="1">
      <c r="A342" s="1085">
        <f>'Base-D'!A342</f>
        <v>341</v>
      </c>
      <c r="B342" s="1085">
        <f>'Base-D'!AX342</f>
        <v>0</v>
      </c>
      <c r="C342" s="1085" t="e">
        <f>LOOKUP(A342,'Base-D'!A:A,'Base-D'!BP:BP)</f>
        <v>#N/A</v>
      </c>
      <c r="D342" s="1085">
        <f>'Base-D'!S342</f>
        <v>0</v>
      </c>
      <c r="E342" s="1086"/>
      <c r="F342" s="1087"/>
      <c r="G342" s="1087" t="e">
        <f>LOOKUP(A342,'ETAT-PAY-PERM'!A:A,'ETAT-PAY-PERM'!J:J)</f>
        <v>#N/A</v>
      </c>
      <c r="H342" s="1094" t="e">
        <f t="shared" si="29"/>
        <v>#N/A</v>
      </c>
      <c r="I342" s="1094" t="e">
        <f t="shared" si="30"/>
        <v>#N/A</v>
      </c>
      <c r="P342" s="688">
        <f>LOOKUP(J342,'ETAT-PAY-PERM'!J:J,'ETAT-PAY-PERM'!S:S)</f>
        <v>0</v>
      </c>
      <c r="Q342" s="1095">
        <f t="shared" si="31"/>
        <v>0</v>
      </c>
      <c r="R342" s="1095" t="str">
        <f t="shared" si="32"/>
        <v/>
      </c>
    </row>
    <row r="343" spans="1:18" ht="18.75" thickBot="1">
      <c r="A343" s="1085">
        <f>'Base-D'!A343</f>
        <v>342</v>
      </c>
      <c r="B343" s="1085">
        <f>'Base-D'!AX343</f>
        <v>0</v>
      </c>
      <c r="C343" s="1085" t="e">
        <f>LOOKUP(A343,'Base-D'!A:A,'Base-D'!BP:BP)</f>
        <v>#N/A</v>
      </c>
      <c r="D343" s="1085">
        <f>'Base-D'!S343</f>
        <v>0</v>
      </c>
      <c r="E343" s="1086"/>
      <c r="F343" s="1087"/>
      <c r="G343" s="1087" t="e">
        <f>LOOKUP(A343,'ETAT-PAY-PERM'!A:A,'ETAT-PAY-PERM'!J:J)</f>
        <v>#N/A</v>
      </c>
      <c r="H343" s="1094" t="e">
        <f t="shared" si="29"/>
        <v>#N/A</v>
      </c>
      <c r="I343" s="1094" t="e">
        <f t="shared" si="30"/>
        <v>#N/A</v>
      </c>
      <c r="P343" s="688">
        <f>LOOKUP(J343,'ETAT-PAY-PERM'!J:J,'ETAT-PAY-PERM'!S:S)</f>
        <v>0</v>
      </c>
      <c r="Q343" s="1095">
        <f t="shared" si="31"/>
        <v>0</v>
      </c>
      <c r="R343" s="1095" t="str">
        <f t="shared" si="32"/>
        <v/>
      </c>
    </row>
    <row r="344" spans="1:18" ht="18.75" thickBot="1">
      <c r="A344" s="1085">
        <f>'Base-D'!A344</f>
        <v>343</v>
      </c>
      <c r="B344" s="1085">
        <f>'Base-D'!AX344</f>
        <v>0</v>
      </c>
      <c r="C344" s="1085" t="e">
        <f>LOOKUP(A344,'Base-D'!A:A,'Base-D'!BP:BP)</f>
        <v>#N/A</v>
      </c>
      <c r="D344" s="1085">
        <f>'Base-D'!S344</f>
        <v>0</v>
      </c>
      <c r="E344" s="1086"/>
      <c r="F344" s="1087"/>
      <c r="G344" s="1087" t="e">
        <f>LOOKUP(A344,'ETAT-PAY-PERM'!A:A,'ETAT-PAY-PERM'!J:J)</f>
        <v>#N/A</v>
      </c>
      <c r="H344" s="1094" t="e">
        <f t="shared" si="29"/>
        <v>#N/A</v>
      </c>
      <c r="I344" s="1094" t="e">
        <f t="shared" si="30"/>
        <v>#N/A</v>
      </c>
      <c r="P344" s="688">
        <f>LOOKUP(J344,'ETAT-PAY-PERM'!J:J,'ETAT-PAY-PERM'!S:S)</f>
        <v>0</v>
      </c>
      <c r="Q344" s="1095">
        <f t="shared" si="31"/>
        <v>0</v>
      </c>
      <c r="R344" s="1095" t="str">
        <f t="shared" si="32"/>
        <v/>
      </c>
    </row>
    <row r="345" spans="1:18" ht="18.75" thickBot="1">
      <c r="A345" s="1085">
        <f>'Base-D'!A345</f>
        <v>344</v>
      </c>
      <c r="B345" s="1085">
        <f>'Base-D'!AX345</f>
        <v>0</v>
      </c>
      <c r="C345" s="1085" t="e">
        <f>LOOKUP(A345,'Base-D'!A:A,'Base-D'!BP:BP)</f>
        <v>#N/A</v>
      </c>
      <c r="D345" s="1085">
        <f>'Base-D'!S345</f>
        <v>0</v>
      </c>
      <c r="E345" s="1086"/>
      <c r="F345" s="1087"/>
      <c r="G345" s="1087" t="e">
        <f>LOOKUP(A345,'ETAT-PAY-PERM'!A:A,'ETAT-PAY-PERM'!J:J)</f>
        <v>#N/A</v>
      </c>
      <c r="H345" s="1094" t="e">
        <f t="shared" si="29"/>
        <v>#N/A</v>
      </c>
      <c r="I345" s="1094" t="e">
        <f t="shared" si="30"/>
        <v>#N/A</v>
      </c>
      <c r="P345" s="688">
        <f>LOOKUP(J345,'ETAT-PAY-PERM'!J:J,'ETAT-PAY-PERM'!S:S)</f>
        <v>0</v>
      </c>
      <c r="Q345" s="1095">
        <f t="shared" si="31"/>
        <v>0</v>
      </c>
      <c r="R345" s="1095" t="str">
        <f t="shared" si="32"/>
        <v/>
      </c>
    </row>
    <row r="346" spans="1:18" ht="18.75" thickBot="1">
      <c r="A346" s="1085">
        <f>'Base-D'!A346</f>
        <v>345</v>
      </c>
      <c r="B346" s="1085">
        <f>'Base-D'!AX346</f>
        <v>0</v>
      </c>
      <c r="C346" s="1085" t="e">
        <f>LOOKUP(A346,'Base-D'!A:A,'Base-D'!BP:BP)</f>
        <v>#N/A</v>
      </c>
      <c r="D346" s="1085">
        <f>'Base-D'!S346</f>
        <v>0</v>
      </c>
      <c r="E346" s="1086"/>
      <c r="F346" s="1087"/>
      <c r="G346" s="1087" t="e">
        <f>LOOKUP(A346,'ETAT-PAY-PERM'!A:A,'ETAT-PAY-PERM'!J:J)</f>
        <v>#N/A</v>
      </c>
      <c r="H346" s="1094" t="e">
        <f t="shared" si="29"/>
        <v>#N/A</v>
      </c>
      <c r="I346" s="1094" t="e">
        <f t="shared" si="30"/>
        <v>#N/A</v>
      </c>
      <c r="P346" s="688">
        <f>LOOKUP(J346,'ETAT-PAY-PERM'!J:J,'ETAT-PAY-PERM'!S:S)</f>
        <v>0</v>
      </c>
      <c r="Q346" s="1095">
        <f t="shared" si="31"/>
        <v>0</v>
      </c>
      <c r="R346" s="1095" t="str">
        <f t="shared" si="32"/>
        <v/>
      </c>
    </row>
    <row r="347" spans="1:18" ht="18.75" thickBot="1">
      <c r="A347" s="1085">
        <f>'Base-D'!A347</f>
        <v>346</v>
      </c>
      <c r="B347" s="1085">
        <f>'Base-D'!AX347</f>
        <v>0</v>
      </c>
      <c r="C347" s="1085" t="e">
        <f>LOOKUP(A347,'Base-D'!A:A,'Base-D'!BP:BP)</f>
        <v>#N/A</v>
      </c>
      <c r="D347" s="1085">
        <f>'Base-D'!S347</f>
        <v>0</v>
      </c>
      <c r="E347" s="1086"/>
      <c r="F347" s="1087"/>
      <c r="G347" s="1087" t="e">
        <f>LOOKUP(A347,'ETAT-PAY-PERM'!A:A,'ETAT-PAY-PERM'!J:J)</f>
        <v>#N/A</v>
      </c>
      <c r="H347" s="1094" t="e">
        <f t="shared" si="29"/>
        <v>#N/A</v>
      </c>
      <c r="I347" s="1094" t="e">
        <f t="shared" si="30"/>
        <v>#N/A</v>
      </c>
      <c r="P347" s="688">
        <f>LOOKUP(J347,'ETAT-PAY-PERM'!J:J,'ETAT-PAY-PERM'!S:S)</f>
        <v>0</v>
      </c>
      <c r="Q347" s="1095">
        <f t="shared" si="31"/>
        <v>0</v>
      </c>
      <c r="R347" s="1095" t="str">
        <f t="shared" si="32"/>
        <v/>
      </c>
    </row>
    <row r="348" spans="1:18" ht="18.75" thickBot="1">
      <c r="A348" s="1085">
        <f>'Base-D'!A348</f>
        <v>347</v>
      </c>
      <c r="B348" s="1085">
        <f>'Base-D'!AX348</f>
        <v>0</v>
      </c>
      <c r="C348" s="1085" t="e">
        <f>LOOKUP(A348,'Base-D'!A:A,'Base-D'!BP:BP)</f>
        <v>#N/A</v>
      </c>
      <c r="D348" s="1085">
        <f>'Base-D'!S348</f>
        <v>0</v>
      </c>
      <c r="E348" s="1086"/>
      <c r="F348" s="1087"/>
      <c r="G348" s="1087" t="e">
        <f>LOOKUP(A348,'ETAT-PAY-PERM'!A:A,'ETAT-PAY-PERM'!J:J)</f>
        <v>#N/A</v>
      </c>
      <c r="H348" s="1094" t="e">
        <f t="shared" si="29"/>
        <v>#N/A</v>
      </c>
      <c r="I348" s="1094" t="e">
        <f t="shared" si="30"/>
        <v>#N/A</v>
      </c>
      <c r="P348" s="688">
        <f>LOOKUP(J348,'ETAT-PAY-PERM'!J:J,'ETAT-PAY-PERM'!S:S)</f>
        <v>0</v>
      </c>
      <c r="Q348" s="1095">
        <f t="shared" si="31"/>
        <v>0</v>
      </c>
      <c r="R348" s="1095" t="str">
        <f t="shared" si="32"/>
        <v/>
      </c>
    </row>
    <row r="349" spans="1:18" ht="18.75" thickBot="1">
      <c r="A349" s="1085">
        <f>'Base-D'!A349</f>
        <v>348</v>
      </c>
      <c r="B349" s="1085">
        <f>'Base-D'!AX349</f>
        <v>0</v>
      </c>
      <c r="C349" s="1085" t="e">
        <f>LOOKUP(A349,'Base-D'!A:A,'Base-D'!BP:BP)</f>
        <v>#N/A</v>
      </c>
      <c r="D349" s="1085">
        <f>'Base-D'!S349</f>
        <v>0</v>
      </c>
      <c r="E349" s="1086"/>
      <c r="F349" s="1087"/>
      <c r="G349" s="1087" t="e">
        <f>LOOKUP(A349,'ETAT-PAY-PERM'!A:A,'ETAT-PAY-PERM'!J:J)</f>
        <v>#N/A</v>
      </c>
      <c r="H349" s="1094" t="e">
        <f t="shared" si="29"/>
        <v>#N/A</v>
      </c>
      <c r="I349" s="1094" t="e">
        <f t="shared" si="30"/>
        <v>#N/A</v>
      </c>
      <c r="P349" s="688">
        <f>LOOKUP(J349,'ETAT-PAY-PERM'!J:J,'ETAT-PAY-PERM'!S:S)</f>
        <v>0</v>
      </c>
      <c r="Q349" s="1095">
        <f t="shared" si="31"/>
        <v>0</v>
      </c>
      <c r="R349" s="1095" t="str">
        <f t="shared" si="32"/>
        <v/>
      </c>
    </row>
    <row r="350" spans="1:18" ht="18.75" thickBot="1">
      <c r="A350" s="1085">
        <f>'Base-D'!A350</f>
        <v>349</v>
      </c>
      <c r="B350" s="1085">
        <f>'Base-D'!AX350</f>
        <v>0</v>
      </c>
      <c r="C350" s="1085" t="e">
        <f>LOOKUP(A350,'Base-D'!A:A,'Base-D'!BP:BP)</f>
        <v>#N/A</v>
      </c>
      <c r="D350" s="1085">
        <f>'Base-D'!S350</f>
        <v>0</v>
      </c>
      <c r="E350" s="1086"/>
      <c r="F350" s="1087"/>
      <c r="G350" s="1087" t="e">
        <f>LOOKUP(A350,'ETAT-PAY-PERM'!A:A,'ETAT-PAY-PERM'!J:J)</f>
        <v>#N/A</v>
      </c>
      <c r="H350" s="1094" t="e">
        <f t="shared" si="29"/>
        <v>#N/A</v>
      </c>
      <c r="I350" s="1094" t="e">
        <f t="shared" si="30"/>
        <v>#N/A</v>
      </c>
      <c r="P350" s="688">
        <f>LOOKUP(J350,'ETAT-PAY-PERM'!J:J,'ETAT-PAY-PERM'!S:S)</f>
        <v>0</v>
      </c>
      <c r="Q350" s="1095">
        <f t="shared" si="31"/>
        <v>0</v>
      </c>
      <c r="R350" s="1095" t="str">
        <f t="shared" si="32"/>
        <v/>
      </c>
    </row>
    <row r="351" spans="1:18" ht="18.75" thickBot="1">
      <c r="A351" s="1085">
        <f>'Base-D'!A351</f>
        <v>350</v>
      </c>
      <c r="B351" s="1085">
        <f>'Base-D'!AX351</f>
        <v>0</v>
      </c>
      <c r="C351" s="1085" t="e">
        <f>LOOKUP(A351,'Base-D'!A:A,'Base-D'!BP:BP)</f>
        <v>#N/A</v>
      </c>
      <c r="D351" s="1085">
        <f>'Base-D'!S351</f>
        <v>0</v>
      </c>
      <c r="E351" s="1086"/>
      <c r="F351" s="1087"/>
      <c r="G351" s="1087" t="e">
        <f>LOOKUP(A351,'ETAT-PAY-PERM'!A:A,'ETAT-PAY-PERM'!J:J)</f>
        <v>#N/A</v>
      </c>
      <c r="H351" s="1094" t="e">
        <f t="shared" si="29"/>
        <v>#N/A</v>
      </c>
      <c r="I351" s="1094" t="e">
        <f t="shared" si="30"/>
        <v>#N/A</v>
      </c>
      <c r="P351" s="688">
        <f>LOOKUP(J351,'ETAT-PAY-PERM'!J:J,'ETAT-PAY-PERM'!S:S)</f>
        <v>0</v>
      </c>
      <c r="Q351" s="1095">
        <f t="shared" si="31"/>
        <v>0</v>
      </c>
      <c r="R351" s="1095" t="str">
        <f t="shared" si="32"/>
        <v/>
      </c>
    </row>
    <row r="352" spans="1:18" ht="18.75" thickBot="1">
      <c r="A352" s="1085">
        <f>'Base-D'!A352</f>
        <v>351</v>
      </c>
      <c r="B352" s="1085">
        <f>'Base-D'!AX352</f>
        <v>0</v>
      </c>
      <c r="C352" s="1085" t="e">
        <f>LOOKUP(A352,'Base-D'!A:A,'Base-D'!BP:BP)</f>
        <v>#N/A</v>
      </c>
      <c r="D352" s="1085">
        <f>'Base-D'!S352</f>
        <v>0</v>
      </c>
      <c r="E352" s="1086"/>
      <c r="F352" s="1087"/>
      <c r="G352" s="1087" t="e">
        <f>LOOKUP(A352,'ETAT-PAY-PERM'!A:A,'ETAT-PAY-PERM'!J:J)</f>
        <v>#N/A</v>
      </c>
      <c r="H352" s="1094" t="e">
        <f t="shared" si="29"/>
        <v>#N/A</v>
      </c>
      <c r="I352" s="1094" t="e">
        <f t="shared" si="30"/>
        <v>#N/A</v>
      </c>
      <c r="P352" s="688">
        <f>LOOKUP(J352,'ETAT-PAY-PERM'!J:J,'ETAT-PAY-PERM'!S:S)</f>
        <v>0</v>
      </c>
      <c r="Q352" s="1095">
        <f t="shared" si="31"/>
        <v>0</v>
      </c>
      <c r="R352" s="1095" t="str">
        <f t="shared" si="32"/>
        <v/>
      </c>
    </row>
    <row r="353" spans="1:18" ht="18.75" thickBot="1">
      <c r="A353" s="1085">
        <f>'Base-D'!A353</f>
        <v>352</v>
      </c>
      <c r="B353" s="1085">
        <f>'Base-D'!AX353</f>
        <v>0</v>
      </c>
      <c r="C353" s="1085" t="e">
        <f>LOOKUP(A353,'Base-D'!A:A,'Base-D'!BP:BP)</f>
        <v>#N/A</v>
      </c>
      <c r="D353" s="1085">
        <f>'Base-D'!S353</f>
        <v>0</v>
      </c>
      <c r="E353" s="1086"/>
      <c r="F353" s="1087"/>
      <c r="G353" s="1087" t="e">
        <f>LOOKUP(A353,'ETAT-PAY-PERM'!A:A,'ETAT-PAY-PERM'!J:J)</f>
        <v>#N/A</v>
      </c>
      <c r="H353" s="1094" t="e">
        <f t="shared" si="29"/>
        <v>#N/A</v>
      </c>
      <c r="I353" s="1094" t="e">
        <f t="shared" si="30"/>
        <v>#N/A</v>
      </c>
      <c r="P353" s="688">
        <f>LOOKUP(J353,'ETAT-PAY-PERM'!J:J,'ETAT-PAY-PERM'!S:S)</f>
        <v>0</v>
      </c>
      <c r="Q353" s="1095">
        <f t="shared" si="31"/>
        <v>0</v>
      </c>
      <c r="R353" s="1095" t="str">
        <f t="shared" si="32"/>
        <v/>
      </c>
    </row>
    <row r="354" spans="1:18" ht="18.75" thickBot="1">
      <c r="A354" s="1085">
        <f>'Base-D'!A354</f>
        <v>353</v>
      </c>
      <c r="B354" s="1085">
        <f>'Base-D'!AX354</f>
        <v>0</v>
      </c>
      <c r="C354" s="1085" t="e">
        <f>LOOKUP(A354,'Base-D'!A:A,'Base-D'!BP:BP)</f>
        <v>#N/A</v>
      </c>
      <c r="D354" s="1085">
        <f>'Base-D'!S354</f>
        <v>0</v>
      </c>
      <c r="E354" s="1086"/>
      <c r="F354" s="1087"/>
      <c r="G354" s="1087" t="e">
        <f>LOOKUP(A354,'ETAT-PAY-PERM'!A:A,'ETAT-PAY-PERM'!J:J)</f>
        <v>#N/A</v>
      </c>
      <c r="H354" s="1094" t="e">
        <f t="shared" si="29"/>
        <v>#N/A</v>
      </c>
      <c r="I354" s="1094" t="e">
        <f t="shared" si="30"/>
        <v>#N/A</v>
      </c>
      <c r="P354" s="688">
        <f>LOOKUP(J354,'ETAT-PAY-PERM'!J:J,'ETAT-PAY-PERM'!S:S)</f>
        <v>0</v>
      </c>
      <c r="Q354" s="1095">
        <f t="shared" si="31"/>
        <v>0</v>
      </c>
      <c r="R354" s="1095" t="str">
        <f t="shared" si="32"/>
        <v/>
      </c>
    </row>
    <row r="355" spans="1:18" ht="18.75" thickBot="1">
      <c r="A355" s="1085">
        <f>'Base-D'!A355</f>
        <v>354</v>
      </c>
      <c r="B355" s="1085">
        <f>'Base-D'!AX355</f>
        <v>0</v>
      </c>
      <c r="C355" s="1085" t="e">
        <f>LOOKUP(A355,'Base-D'!A:A,'Base-D'!BP:BP)</f>
        <v>#N/A</v>
      </c>
      <c r="D355" s="1085">
        <f>'Base-D'!S355</f>
        <v>0</v>
      </c>
      <c r="E355" s="1086"/>
      <c r="F355" s="1087"/>
      <c r="G355" s="1087" t="e">
        <f>LOOKUP(A355,'ETAT-PAY-PERM'!A:A,'ETAT-PAY-PERM'!J:J)</f>
        <v>#N/A</v>
      </c>
      <c r="H355" s="1094" t="e">
        <f t="shared" si="29"/>
        <v>#N/A</v>
      </c>
      <c r="I355" s="1094" t="e">
        <f t="shared" si="30"/>
        <v>#N/A</v>
      </c>
      <c r="P355" s="688">
        <f>LOOKUP(J355,'ETAT-PAY-PERM'!J:J,'ETAT-PAY-PERM'!S:S)</f>
        <v>0</v>
      </c>
      <c r="Q355" s="1095">
        <f t="shared" si="31"/>
        <v>0</v>
      </c>
      <c r="R355" s="1095" t="str">
        <f t="shared" si="32"/>
        <v/>
      </c>
    </row>
    <row r="356" spans="1:18" ht="18.75" thickBot="1">
      <c r="A356" s="1085">
        <f>'Base-D'!A356</f>
        <v>355</v>
      </c>
      <c r="B356" s="1085">
        <f>'Base-D'!AX356</f>
        <v>0</v>
      </c>
      <c r="C356" s="1085" t="e">
        <f>LOOKUP(A356,'Base-D'!A:A,'Base-D'!BP:BP)</f>
        <v>#N/A</v>
      </c>
      <c r="D356" s="1085">
        <f>'Base-D'!S356</f>
        <v>0</v>
      </c>
      <c r="E356" s="1086"/>
      <c r="F356" s="1087"/>
      <c r="G356" s="1087" t="e">
        <f>LOOKUP(A356,'ETAT-PAY-PERM'!A:A,'ETAT-PAY-PERM'!J:J)</f>
        <v>#N/A</v>
      </c>
      <c r="H356" s="1094" t="e">
        <f t="shared" si="29"/>
        <v>#N/A</v>
      </c>
      <c r="I356" s="1094" t="e">
        <f t="shared" si="30"/>
        <v>#N/A</v>
      </c>
      <c r="P356" s="688">
        <f>LOOKUP(J356,'ETAT-PAY-PERM'!J:J,'ETAT-PAY-PERM'!S:S)</f>
        <v>0</v>
      </c>
      <c r="Q356" s="1095">
        <f t="shared" si="31"/>
        <v>0</v>
      </c>
      <c r="R356" s="1095" t="str">
        <f t="shared" si="32"/>
        <v/>
      </c>
    </row>
    <row r="357" spans="1:18" ht="18.75" thickBot="1">
      <c r="A357" s="1085">
        <f>'Base-D'!A357</f>
        <v>356</v>
      </c>
      <c r="B357" s="1085">
        <f>'Base-D'!AX357</f>
        <v>0</v>
      </c>
      <c r="C357" s="1085" t="e">
        <f>LOOKUP(A357,'Base-D'!A:A,'Base-D'!BP:BP)</f>
        <v>#N/A</v>
      </c>
      <c r="D357" s="1085">
        <f>'Base-D'!S357</f>
        <v>0</v>
      </c>
      <c r="E357" s="1086"/>
      <c r="F357" s="1087"/>
      <c r="G357" s="1087" t="e">
        <f>LOOKUP(A357,'ETAT-PAY-PERM'!A:A,'ETAT-PAY-PERM'!J:J)</f>
        <v>#N/A</v>
      </c>
      <c r="H357" s="1094" t="e">
        <f t="shared" si="29"/>
        <v>#N/A</v>
      </c>
      <c r="I357" s="1094" t="e">
        <f t="shared" si="30"/>
        <v>#N/A</v>
      </c>
      <c r="P357" s="688">
        <f>LOOKUP(J357,'ETAT-PAY-PERM'!J:J,'ETAT-PAY-PERM'!S:S)</f>
        <v>0</v>
      </c>
      <c r="Q357" s="1095">
        <f t="shared" si="31"/>
        <v>0</v>
      </c>
      <c r="R357" s="1095" t="str">
        <f t="shared" si="32"/>
        <v/>
      </c>
    </row>
    <row r="358" spans="1:18" ht="18.75" thickBot="1">
      <c r="A358" s="1085">
        <f>'Base-D'!A358</f>
        <v>357</v>
      </c>
      <c r="B358" s="1085">
        <f>'Base-D'!AX358</f>
        <v>0</v>
      </c>
      <c r="C358" s="1085" t="e">
        <f>LOOKUP(A358,'Base-D'!A:A,'Base-D'!BP:BP)</f>
        <v>#N/A</v>
      </c>
      <c r="D358" s="1085">
        <f>'Base-D'!S358</f>
        <v>0</v>
      </c>
      <c r="E358" s="1086"/>
      <c r="F358" s="1087"/>
      <c r="G358" s="1087" t="e">
        <f>LOOKUP(A358,'ETAT-PAY-PERM'!A:A,'ETAT-PAY-PERM'!J:J)</f>
        <v>#N/A</v>
      </c>
      <c r="H358" s="1094" t="e">
        <f t="shared" si="29"/>
        <v>#N/A</v>
      </c>
      <c r="I358" s="1094" t="e">
        <f t="shared" si="30"/>
        <v>#N/A</v>
      </c>
      <c r="P358" s="688">
        <f>LOOKUP(J358,'ETAT-PAY-PERM'!J:J,'ETAT-PAY-PERM'!S:S)</f>
        <v>0</v>
      </c>
      <c r="Q358" s="1095">
        <f t="shared" si="31"/>
        <v>0</v>
      </c>
      <c r="R358" s="1095" t="str">
        <f t="shared" si="32"/>
        <v/>
      </c>
    </row>
    <row r="359" spans="1:18" ht="18.75" thickBot="1">
      <c r="A359" s="1085">
        <f>'Base-D'!A359</f>
        <v>358</v>
      </c>
      <c r="B359" s="1085">
        <f>'Base-D'!AX359</f>
        <v>0</v>
      </c>
      <c r="C359" s="1085" t="e">
        <f>LOOKUP(A359,'Base-D'!A:A,'Base-D'!BP:BP)</f>
        <v>#N/A</v>
      </c>
      <c r="D359" s="1085">
        <f>'Base-D'!S359</f>
        <v>0</v>
      </c>
      <c r="E359" s="1086"/>
      <c r="F359" s="1087"/>
      <c r="G359" s="1087" t="e">
        <f>LOOKUP(A359,'ETAT-PAY-PERM'!A:A,'ETAT-PAY-PERM'!J:J)</f>
        <v>#N/A</v>
      </c>
      <c r="H359" s="1094" t="e">
        <f t="shared" si="29"/>
        <v>#N/A</v>
      </c>
      <c r="I359" s="1094" t="e">
        <f t="shared" si="30"/>
        <v>#N/A</v>
      </c>
      <c r="P359" s="688">
        <f>LOOKUP(J359,'ETAT-PAY-PERM'!J:J,'ETAT-PAY-PERM'!S:S)</f>
        <v>0</v>
      </c>
      <c r="Q359" s="1095">
        <f t="shared" si="31"/>
        <v>0</v>
      </c>
      <c r="R359" s="1095" t="str">
        <f t="shared" si="32"/>
        <v/>
      </c>
    </row>
    <row r="360" spans="1:18" ht="18.75" thickBot="1">
      <c r="A360" s="1085">
        <f>'Base-D'!A360</f>
        <v>359</v>
      </c>
      <c r="B360" s="1085">
        <f>'Base-D'!AX360</f>
        <v>0</v>
      </c>
      <c r="C360" s="1085" t="e">
        <f>LOOKUP(A360,'Base-D'!A:A,'Base-D'!BP:BP)</f>
        <v>#N/A</v>
      </c>
      <c r="D360" s="1085">
        <f>'Base-D'!S360</f>
        <v>0</v>
      </c>
      <c r="E360" s="1086"/>
      <c r="F360" s="1087"/>
      <c r="G360" s="1087" t="e">
        <f>LOOKUP(A360,'ETAT-PAY-PERM'!A:A,'ETAT-PAY-PERM'!J:J)</f>
        <v>#N/A</v>
      </c>
      <c r="H360" s="1094" t="e">
        <f t="shared" si="29"/>
        <v>#N/A</v>
      </c>
      <c r="I360" s="1094" t="e">
        <f t="shared" si="30"/>
        <v>#N/A</v>
      </c>
      <c r="P360" s="688">
        <f>LOOKUP(J360,'ETAT-PAY-PERM'!J:J,'ETAT-PAY-PERM'!S:S)</f>
        <v>0</v>
      </c>
      <c r="Q360" s="1095">
        <f t="shared" si="31"/>
        <v>0</v>
      </c>
      <c r="R360" s="1095" t="str">
        <f t="shared" si="32"/>
        <v/>
      </c>
    </row>
    <row r="361" spans="1:18" ht="18.75" thickBot="1">
      <c r="A361" s="1085">
        <f>'Base-D'!A361</f>
        <v>360</v>
      </c>
      <c r="B361" s="1085">
        <f>'Base-D'!AX361</f>
        <v>0</v>
      </c>
      <c r="C361" s="1085" t="e">
        <f>LOOKUP(A361,'Base-D'!A:A,'Base-D'!BP:BP)</f>
        <v>#N/A</v>
      </c>
      <c r="D361" s="1085">
        <f>'Base-D'!S361</f>
        <v>0</v>
      </c>
      <c r="E361" s="1086"/>
      <c r="F361" s="1087"/>
      <c r="G361" s="1087" t="e">
        <f>LOOKUP(A361,'ETAT-PAY-PERM'!A:A,'ETAT-PAY-PERM'!J:J)</f>
        <v>#N/A</v>
      </c>
      <c r="H361" s="1094" t="e">
        <f t="shared" si="29"/>
        <v>#N/A</v>
      </c>
      <c r="I361" s="1094" t="e">
        <f t="shared" si="30"/>
        <v>#N/A</v>
      </c>
      <c r="P361" s="688">
        <f>LOOKUP(J361,'ETAT-PAY-PERM'!J:J,'ETAT-PAY-PERM'!S:S)</f>
        <v>0</v>
      </c>
      <c r="Q361" s="1095">
        <f t="shared" si="31"/>
        <v>0</v>
      </c>
      <c r="R361" s="1095" t="str">
        <f t="shared" si="32"/>
        <v/>
      </c>
    </row>
    <row r="362" spans="1:18" ht="18.75" thickBot="1">
      <c r="A362" s="1085">
        <f>'Base-D'!A362</f>
        <v>361</v>
      </c>
      <c r="B362" s="1085">
        <f>'Base-D'!AX362</f>
        <v>0</v>
      </c>
      <c r="C362" s="1085" t="e">
        <f>LOOKUP(A362,'Base-D'!A:A,'Base-D'!BP:BP)</f>
        <v>#N/A</v>
      </c>
      <c r="D362" s="1085">
        <f>'Base-D'!S362</f>
        <v>0</v>
      </c>
      <c r="E362" s="1086"/>
      <c r="F362" s="1087"/>
      <c r="G362" s="1087" t="e">
        <f>LOOKUP(A362,'ETAT-PAY-PERM'!A:A,'ETAT-PAY-PERM'!J:J)</f>
        <v>#N/A</v>
      </c>
      <c r="H362" s="1094" t="e">
        <f t="shared" si="29"/>
        <v>#N/A</v>
      </c>
      <c r="I362" s="1094" t="e">
        <f t="shared" si="30"/>
        <v>#N/A</v>
      </c>
      <c r="P362" s="688">
        <f>LOOKUP(J362,'ETAT-PAY-PERM'!J:J,'ETAT-PAY-PERM'!S:S)</f>
        <v>0</v>
      </c>
      <c r="Q362" s="1095">
        <f t="shared" si="31"/>
        <v>0</v>
      </c>
      <c r="R362" s="1095" t="str">
        <f t="shared" si="32"/>
        <v/>
      </c>
    </row>
    <row r="363" spans="1:18" ht="18.75" thickBot="1">
      <c r="A363" s="1085">
        <f>'Base-D'!A363</f>
        <v>362</v>
      </c>
      <c r="B363" s="1085">
        <f>'Base-D'!AX363</f>
        <v>0</v>
      </c>
      <c r="C363" s="1085" t="e">
        <f>LOOKUP(A363,'Base-D'!A:A,'Base-D'!BP:BP)</f>
        <v>#N/A</v>
      </c>
      <c r="D363" s="1085">
        <f>'Base-D'!S363</f>
        <v>0</v>
      </c>
      <c r="E363" s="1086"/>
      <c r="F363" s="1087"/>
      <c r="G363" s="1087" t="e">
        <f>LOOKUP(A363,'ETAT-PAY-PERM'!A:A,'ETAT-PAY-PERM'!J:J)</f>
        <v>#N/A</v>
      </c>
      <c r="H363" s="1094" t="e">
        <f t="shared" si="29"/>
        <v>#N/A</v>
      </c>
      <c r="I363" s="1094" t="e">
        <f t="shared" si="30"/>
        <v>#N/A</v>
      </c>
      <c r="P363" s="688">
        <f>LOOKUP(J363,'ETAT-PAY-PERM'!J:J,'ETAT-PAY-PERM'!S:S)</f>
        <v>0</v>
      </c>
      <c r="Q363" s="1095">
        <f t="shared" si="31"/>
        <v>0</v>
      </c>
      <c r="R363" s="1095" t="str">
        <f t="shared" si="32"/>
        <v/>
      </c>
    </row>
    <row r="364" spans="1:18" ht="18.75" thickBot="1">
      <c r="A364" s="1085">
        <f>'Base-D'!A364</f>
        <v>363</v>
      </c>
      <c r="B364" s="1085">
        <f>'Base-D'!AX364</f>
        <v>0</v>
      </c>
      <c r="C364" s="1085" t="e">
        <f>LOOKUP(A364,'Base-D'!A:A,'Base-D'!BP:BP)</f>
        <v>#N/A</v>
      </c>
      <c r="D364" s="1085">
        <f>'Base-D'!S364</f>
        <v>0</v>
      </c>
      <c r="E364" s="1086"/>
      <c r="F364" s="1087"/>
      <c r="G364" s="1087" t="e">
        <f>LOOKUP(A364,'ETAT-PAY-PERM'!A:A,'ETAT-PAY-PERM'!J:J)</f>
        <v>#N/A</v>
      </c>
      <c r="H364" s="1094" t="e">
        <f t="shared" si="29"/>
        <v>#N/A</v>
      </c>
      <c r="I364" s="1094" t="e">
        <f t="shared" si="30"/>
        <v>#N/A</v>
      </c>
      <c r="P364" s="688">
        <f>LOOKUP(J364,'ETAT-PAY-PERM'!J:J,'ETAT-PAY-PERM'!S:S)</f>
        <v>0</v>
      </c>
      <c r="Q364" s="1095">
        <f t="shared" si="31"/>
        <v>0</v>
      </c>
      <c r="R364" s="1095" t="str">
        <f t="shared" si="32"/>
        <v/>
      </c>
    </row>
    <row r="365" spans="1:18" ht="18.75" thickBot="1">
      <c r="A365" s="1085">
        <f>'Base-D'!A365</f>
        <v>364</v>
      </c>
      <c r="B365" s="1085">
        <f>'Base-D'!AX365</f>
        <v>0</v>
      </c>
      <c r="C365" s="1085" t="e">
        <f>LOOKUP(A365,'Base-D'!A:A,'Base-D'!BP:BP)</f>
        <v>#N/A</v>
      </c>
      <c r="D365" s="1085">
        <f>'Base-D'!S365</f>
        <v>0</v>
      </c>
      <c r="E365" s="1086"/>
      <c r="F365" s="1087"/>
      <c r="G365" s="1087" t="e">
        <f>LOOKUP(A365,'ETAT-PAY-PERM'!A:A,'ETAT-PAY-PERM'!J:J)</f>
        <v>#N/A</v>
      </c>
      <c r="H365" s="1094" t="e">
        <f t="shared" si="29"/>
        <v>#N/A</v>
      </c>
      <c r="I365" s="1094" t="e">
        <f t="shared" si="30"/>
        <v>#N/A</v>
      </c>
      <c r="P365" s="688">
        <f>LOOKUP(J365,'ETAT-PAY-PERM'!J:J,'ETAT-PAY-PERM'!S:S)</f>
        <v>0</v>
      </c>
      <c r="Q365" s="1095">
        <f t="shared" si="31"/>
        <v>0</v>
      </c>
      <c r="R365" s="1095" t="str">
        <f t="shared" si="32"/>
        <v/>
      </c>
    </row>
    <row r="366" spans="1:18" ht="18.75" thickBot="1">
      <c r="A366" s="1085">
        <f>'Base-D'!A366</f>
        <v>365</v>
      </c>
      <c r="B366" s="1085">
        <f>'Base-D'!AX366</f>
        <v>0</v>
      </c>
      <c r="C366" s="1085" t="e">
        <f>LOOKUP(A366,'Base-D'!A:A,'Base-D'!BP:BP)</f>
        <v>#N/A</v>
      </c>
      <c r="D366" s="1085">
        <f>'Base-D'!S366</f>
        <v>0</v>
      </c>
      <c r="E366" s="1086"/>
      <c r="F366" s="1087"/>
      <c r="G366" s="1087" t="e">
        <f>LOOKUP(A366,'ETAT-PAY-PERM'!A:A,'ETAT-PAY-PERM'!J:J)</f>
        <v>#N/A</v>
      </c>
      <c r="H366" s="1094" t="e">
        <f t="shared" si="29"/>
        <v>#N/A</v>
      </c>
      <c r="I366" s="1094" t="e">
        <f t="shared" si="30"/>
        <v>#N/A</v>
      </c>
      <c r="P366" s="688">
        <f>LOOKUP(J366,'ETAT-PAY-PERM'!J:J,'ETAT-PAY-PERM'!S:S)</f>
        <v>0</v>
      </c>
      <c r="Q366" s="1095">
        <f t="shared" si="31"/>
        <v>0</v>
      </c>
      <c r="R366" s="1095" t="str">
        <f t="shared" si="32"/>
        <v/>
      </c>
    </row>
    <row r="367" spans="1:18" ht="18.75" thickBot="1">
      <c r="A367" s="1085">
        <f>'Base-D'!A367</f>
        <v>366</v>
      </c>
      <c r="B367" s="1085">
        <f>'Base-D'!AX367</f>
        <v>0</v>
      </c>
      <c r="C367" s="1085" t="e">
        <f>LOOKUP(A367,'Base-D'!A:A,'Base-D'!BP:BP)</f>
        <v>#N/A</v>
      </c>
      <c r="D367" s="1085">
        <f>'Base-D'!S367</f>
        <v>0</v>
      </c>
      <c r="E367" s="1086"/>
      <c r="F367" s="1087"/>
      <c r="G367" s="1087" t="e">
        <f>LOOKUP(A367,'ETAT-PAY-PERM'!A:A,'ETAT-PAY-PERM'!J:J)</f>
        <v>#N/A</v>
      </c>
      <c r="H367" s="1094" t="e">
        <f t="shared" si="29"/>
        <v>#N/A</v>
      </c>
      <c r="I367" s="1094" t="e">
        <f t="shared" si="30"/>
        <v>#N/A</v>
      </c>
      <c r="P367" s="688">
        <f>LOOKUP(J367,'ETAT-PAY-PERM'!J:J,'ETAT-PAY-PERM'!S:S)</f>
        <v>0</v>
      </c>
      <c r="Q367" s="1095">
        <f t="shared" si="31"/>
        <v>0</v>
      </c>
      <c r="R367" s="1095" t="str">
        <f t="shared" si="32"/>
        <v/>
      </c>
    </row>
    <row r="368" spans="1:18" ht="18.75" thickBot="1">
      <c r="A368" s="1085">
        <f>'Base-D'!A368</f>
        <v>367</v>
      </c>
      <c r="B368" s="1085">
        <f>'Base-D'!AX368</f>
        <v>0</v>
      </c>
      <c r="C368" s="1085" t="e">
        <f>LOOKUP(A368,'Base-D'!A:A,'Base-D'!BP:BP)</f>
        <v>#N/A</v>
      </c>
      <c r="D368" s="1085">
        <f>'Base-D'!S368</f>
        <v>0</v>
      </c>
      <c r="E368" s="1086"/>
      <c r="F368" s="1087"/>
      <c r="G368" s="1087" t="e">
        <f>LOOKUP(A368,'ETAT-PAY-PERM'!A:A,'ETAT-PAY-PERM'!J:J)</f>
        <v>#N/A</v>
      </c>
      <c r="H368" s="1094" t="e">
        <f t="shared" si="29"/>
        <v>#N/A</v>
      </c>
      <c r="I368" s="1094" t="e">
        <f t="shared" si="30"/>
        <v>#N/A</v>
      </c>
      <c r="P368" s="688">
        <f>LOOKUP(J368,'ETAT-PAY-PERM'!J:J,'ETAT-PAY-PERM'!S:S)</f>
        <v>0</v>
      </c>
      <c r="Q368" s="1095">
        <f t="shared" si="31"/>
        <v>0</v>
      </c>
      <c r="R368" s="1095" t="str">
        <f t="shared" si="32"/>
        <v/>
      </c>
    </row>
    <row r="369" spans="1:18" ht="18.75" thickBot="1">
      <c r="A369" s="1085">
        <f>'Base-D'!A369</f>
        <v>368</v>
      </c>
      <c r="B369" s="1085">
        <f>'Base-D'!AX369</f>
        <v>0</v>
      </c>
      <c r="C369" s="1085" t="e">
        <f>LOOKUP(A369,'Base-D'!A:A,'Base-D'!BP:BP)</f>
        <v>#N/A</v>
      </c>
      <c r="D369" s="1085">
        <f>'Base-D'!S369</f>
        <v>0</v>
      </c>
      <c r="E369" s="1086"/>
      <c r="F369" s="1087"/>
      <c r="G369" s="1087" t="e">
        <f>LOOKUP(A369,'ETAT-PAY-PERM'!A:A,'ETAT-PAY-PERM'!J:J)</f>
        <v>#N/A</v>
      </c>
      <c r="H369" s="1094" t="e">
        <f t="shared" si="29"/>
        <v>#N/A</v>
      </c>
      <c r="I369" s="1094" t="e">
        <f t="shared" si="30"/>
        <v>#N/A</v>
      </c>
      <c r="P369" s="688">
        <f>LOOKUP(J369,'ETAT-PAY-PERM'!J:J,'ETAT-PAY-PERM'!S:S)</f>
        <v>0</v>
      </c>
      <c r="Q369" s="1095">
        <f t="shared" si="31"/>
        <v>0</v>
      </c>
      <c r="R369" s="1095" t="str">
        <f t="shared" si="32"/>
        <v/>
      </c>
    </row>
    <row r="370" spans="1:18" ht="18.75" thickBot="1">
      <c r="A370" s="1085">
        <f>'Base-D'!A370</f>
        <v>369</v>
      </c>
      <c r="B370" s="1085">
        <f>'Base-D'!AX370</f>
        <v>0</v>
      </c>
      <c r="C370" s="1085" t="e">
        <f>LOOKUP(A370,'Base-D'!A:A,'Base-D'!BP:BP)</f>
        <v>#N/A</v>
      </c>
      <c r="D370" s="1085">
        <f>'Base-D'!S370</f>
        <v>0</v>
      </c>
      <c r="E370" s="1086"/>
      <c r="F370" s="1087"/>
      <c r="G370" s="1087" t="e">
        <f>LOOKUP(A370,'ETAT-PAY-PERM'!A:A,'ETAT-PAY-PERM'!J:J)</f>
        <v>#N/A</v>
      </c>
      <c r="H370" s="1094" t="e">
        <f t="shared" si="29"/>
        <v>#N/A</v>
      </c>
      <c r="I370" s="1094" t="e">
        <f t="shared" si="30"/>
        <v>#N/A</v>
      </c>
      <c r="P370" s="688">
        <f>LOOKUP(J370,'ETAT-PAY-PERM'!J:J,'ETAT-PAY-PERM'!S:S)</f>
        <v>0</v>
      </c>
      <c r="Q370" s="1095">
        <f t="shared" si="31"/>
        <v>0</v>
      </c>
      <c r="R370" s="1095" t="str">
        <f t="shared" si="32"/>
        <v/>
      </c>
    </row>
    <row r="371" spans="1:18" ht="18.75" thickBot="1">
      <c r="A371" s="1085">
        <f>'Base-D'!A371</f>
        <v>370</v>
      </c>
      <c r="B371" s="1085">
        <f>'Base-D'!AX371</f>
        <v>0</v>
      </c>
      <c r="C371" s="1085" t="e">
        <f>LOOKUP(A371,'Base-D'!A:A,'Base-D'!BP:BP)</f>
        <v>#N/A</v>
      </c>
      <c r="D371" s="1085">
        <f>'Base-D'!S371</f>
        <v>0</v>
      </c>
      <c r="E371" s="1086"/>
      <c r="F371" s="1087"/>
      <c r="G371" s="1087" t="e">
        <f>LOOKUP(A371,'ETAT-PAY-PERM'!A:A,'ETAT-PAY-PERM'!J:J)</f>
        <v>#N/A</v>
      </c>
      <c r="H371" s="1094" t="e">
        <f t="shared" si="29"/>
        <v>#N/A</v>
      </c>
      <c r="I371" s="1094" t="e">
        <f t="shared" si="30"/>
        <v>#N/A</v>
      </c>
      <c r="P371" s="688">
        <f>LOOKUP(J371,'ETAT-PAY-PERM'!J:J,'ETAT-PAY-PERM'!S:S)</f>
        <v>0</v>
      </c>
      <c r="Q371" s="1095">
        <f t="shared" si="31"/>
        <v>0</v>
      </c>
      <c r="R371" s="1095" t="str">
        <f t="shared" si="32"/>
        <v/>
      </c>
    </row>
    <row r="372" spans="1:18" ht="18.75" thickBot="1">
      <c r="A372" s="1085">
        <f>'Base-D'!A372</f>
        <v>371</v>
      </c>
      <c r="B372" s="1085">
        <f>'Base-D'!AX372</f>
        <v>0</v>
      </c>
      <c r="C372" s="1085" t="e">
        <f>LOOKUP(A372,'Base-D'!A:A,'Base-D'!BP:BP)</f>
        <v>#N/A</v>
      </c>
      <c r="D372" s="1085">
        <f>'Base-D'!S372</f>
        <v>0</v>
      </c>
      <c r="E372" s="1086"/>
      <c r="F372" s="1087"/>
      <c r="G372" s="1087" t="e">
        <f>LOOKUP(A372,'ETAT-PAY-PERM'!A:A,'ETAT-PAY-PERM'!J:J)</f>
        <v>#N/A</v>
      </c>
      <c r="H372" s="1094" t="e">
        <f t="shared" si="29"/>
        <v>#N/A</v>
      </c>
      <c r="I372" s="1094" t="e">
        <f t="shared" si="30"/>
        <v>#N/A</v>
      </c>
      <c r="P372" s="688">
        <f>LOOKUP(J372,'ETAT-PAY-PERM'!J:J,'ETAT-PAY-PERM'!S:S)</f>
        <v>0</v>
      </c>
      <c r="Q372" s="1095">
        <f t="shared" si="31"/>
        <v>0</v>
      </c>
      <c r="R372" s="1095" t="str">
        <f t="shared" si="32"/>
        <v/>
      </c>
    </row>
    <row r="373" spans="1:18" ht="18.75" thickBot="1">
      <c r="A373" s="1085">
        <f>'Base-D'!A373</f>
        <v>372</v>
      </c>
      <c r="B373" s="1085">
        <f>'Base-D'!AX373</f>
        <v>0</v>
      </c>
      <c r="C373" s="1085" t="e">
        <f>LOOKUP(A373,'Base-D'!A:A,'Base-D'!BP:BP)</f>
        <v>#N/A</v>
      </c>
      <c r="D373" s="1085">
        <f>'Base-D'!S373</f>
        <v>0</v>
      </c>
      <c r="E373" s="1086"/>
      <c r="F373" s="1087"/>
      <c r="G373" s="1087" t="e">
        <f>LOOKUP(A373,'ETAT-PAY-PERM'!A:A,'ETAT-PAY-PERM'!J:J)</f>
        <v>#N/A</v>
      </c>
      <c r="H373" s="1094" t="e">
        <f t="shared" si="29"/>
        <v>#N/A</v>
      </c>
      <c r="I373" s="1094" t="e">
        <f t="shared" si="30"/>
        <v>#N/A</v>
      </c>
      <c r="P373" s="688">
        <f>LOOKUP(J373,'ETAT-PAY-PERM'!J:J,'ETAT-PAY-PERM'!S:S)</f>
        <v>0</v>
      </c>
      <c r="Q373" s="1095">
        <f t="shared" si="31"/>
        <v>0</v>
      </c>
      <c r="R373" s="1095" t="str">
        <f t="shared" si="32"/>
        <v/>
      </c>
    </row>
    <row r="374" spans="1:18" ht="18.75" thickBot="1">
      <c r="A374" s="1085">
        <f>'Base-D'!A374</f>
        <v>373</v>
      </c>
      <c r="B374" s="1085">
        <f>'Base-D'!AX374</f>
        <v>0</v>
      </c>
      <c r="C374" s="1085" t="e">
        <f>LOOKUP(A374,'Base-D'!A:A,'Base-D'!BP:BP)</f>
        <v>#N/A</v>
      </c>
      <c r="D374" s="1085">
        <f>'Base-D'!S374</f>
        <v>0</v>
      </c>
      <c r="E374" s="1086"/>
      <c r="F374" s="1087"/>
      <c r="G374" s="1087" t="e">
        <f>LOOKUP(A374,'ETAT-PAY-PERM'!A:A,'ETAT-PAY-PERM'!J:J)</f>
        <v>#N/A</v>
      </c>
      <c r="H374" s="1094" t="e">
        <f t="shared" si="29"/>
        <v>#N/A</v>
      </c>
      <c r="I374" s="1094" t="e">
        <f t="shared" si="30"/>
        <v>#N/A</v>
      </c>
      <c r="P374" s="688">
        <f>LOOKUP(J374,'ETAT-PAY-PERM'!J:J,'ETAT-PAY-PERM'!S:S)</f>
        <v>0</v>
      </c>
      <c r="Q374" s="1095">
        <f t="shared" si="31"/>
        <v>0</v>
      </c>
      <c r="R374" s="1095" t="str">
        <f t="shared" si="32"/>
        <v/>
      </c>
    </row>
    <row r="375" spans="1:18" ht="18.75" thickBot="1">
      <c r="A375" s="1085">
        <f>'Base-D'!A375</f>
        <v>374</v>
      </c>
      <c r="B375" s="1085">
        <f>'Base-D'!AX375</f>
        <v>0</v>
      </c>
      <c r="C375" s="1085" t="e">
        <f>LOOKUP(A375,'Base-D'!A:A,'Base-D'!BP:BP)</f>
        <v>#N/A</v>
      </c>
      <c r="D375" s="1085">
        <f>'Base-D'!S375</f>
        <v>0</v>
      </c>
      <c r="E375" s="1086"/>
      <c r="F375" s="1087"/>
      <c r="G375" s="1087" t="e">
        <f>LOOKUP(A375,'ETAT-PAY-PERM'!A:A,'ETAT-PAY-PERM'!J:J)</f>
        <v>#N/A</v>
      </c>
      <c r="H375" s="1094" t="e">
        <f t="shared" si="29"/>
        <v>#N/A</v>
      </c>
      <c r="I375" s="1094" t="e">
        <f t="shared" si="30"/>
        <v>#N/A</v>
      </c>
      <c r="P375" s="688">
        <f>LOOKUP(J375,'ETAT-PAY-PERM'!J:J,'ETAT-PAY-PERM'!S:S)</f>
        <v>0</v>
      </c>
      <c r="Q375" s="1095">
        <f t="shared" si="31"/>
        <v>0</v>
      </c>
      <c r="R375" s="1095" t="str">
        <f t="shared" si="32"/>
        <v/>
      </c>
    </row>
    <row r="376" spans="1:18" ht="18.75" thickBot="1">
      <c r="A376" s="1085">
        <f>'Base-D'!A376</f>
        <v>375</v>
      </c>
      <c r="B376" s="1085">
        <f>'Base-D'!AX376</f>
        <v>0</v>
      </c>
      <c r="C376" s="1085" t="e">
        <f>LOOKUP(A376,'Base-D'!A:A,'Base-D'!BP:BP)</f>
        <v>#N/A</v>
      </c>
      <c r="D376" s="1085">
        <f>'Base-D'!S376</f>
        <v>0</v>
      </c>
      <c r="E376" s="1086"/>
      <c r="F376" s="1087"/>
      <c r="G376" s="1087" t="e">
        <f>LOOKUP(A376,'ETAT-PAY-PERM'!A:A,'ETAT-PAY-PERM'!J:J)</f>
        <v>#N/A</v>
      </c>
      <c r="H376" s="1094" t="e">
        <f t="shared" si="29"/>
        <v>#N/A</v>
      </c>
      <c r="I376" s="1094" t="e">
        <f t="shared" si="30"/>
        <v>#N/A</v>
      </c>
      <c r="P376" s="688">
        <f>LOOKUP(J376,'ETAT-PAY-PERM'!J:J,'ETAT-PAY-PERM'!S:S)</f>
        <v>0</v>
      </c>
      <c r="Q376" s="1095">
        <f t="shared" si="31"/>
        <v>0</v>
      </c>
      <c r="R376" s="1095" t="str">
        <f t="shared" si="32"/>
        <v/>
      </c>
    </row>
    <row r="377" spans="1:18" ht="18.75" thickBot="1">
      <c r="A377" s="1085">
        <f>'Base-D'!A377</f>
        <v>376</v>
      </c>
      <c r="B377" s="1085">
        <f>'Base-D'!AX377</f>
        <v>0</v>
      </c>
      <c r="C377" s="1085" t="e">
        <f>LOOKUP(A377,'Base-D'!A:A,'Base-D'!BP:BP)</f>
        <v>#N/A</v>
      </c>
      <c r="D377" s="1085">
        <f>'Base-D'!S377</f>
        <v>0</v>
      </c>
      <c r="E377" s="1086"/>
      <c r="F377" s="1087"/>
      <c r="G377" s="1087" t="e">
        <f>LOOKUP(A377,'ETAT-PAY-PERM'!A:A,'ETAT-PAY-PERM'!J:J)</f>
        <v>#N/A</v>
      </c>
      <c r="H377" s="1094" t="e">
        <f t="shared" si="29"/>
        <v>#N/A</v>
      </c>
      <c r="I377" s="1094" t="e">
        <f t="shared" si="30"/>
        <v>#N/A</v>
      </c>
      <c r="P377" s="688">
        <f>LOOKUP(J377,'ETAT-PAY-PERM'!J:J,'ETAT-PAY-PERM'!S:S)</f>
        <v>0</v>
      </c>
      <c r="Q377" s="1095">
        <f t="shared" si="31"/>
        <v>0</v>
      </c>
      <c r="R377" s="1095" t="str">
        <f t="shared" si="32"/>
        <v/>
      </c>
    </row>
    <row r="378" spans="1:18" ht="18.75" thickBot="1">
      <c r="A378" s="1085">
        <f>'Base-D'!A378</f>
        <v>377</v>
      </c>
      <c r="B378" s="1085">
        <f>'Base-D'!AX378</f>
        <v>0</v>
      </c>
      <c r="C378" s="1085" t="e">
        <f>LOOKUP(A378,'Base-D'!A:A,'Base-D'!BP:BP)</f>
        <v>#N/A</v>
      </c>
      <c r="D378" s="1085">
        <f>'Base-D'!S378</f>
        <v>0</v>
      </c>
      <c r="E378" s="1086"/>
      <c r="F378" s="1087"/>
      <c r="G378" s="1087" t="e">
        <f>LOOKUP(A378,'ETAT-PAY-PERM'!A:A,'ETAT-PAY-PERM'!J:J)</f>
        <v>#N/A</v>
      </c>
      <c r="H378" s="1094" t="e">
        <f t="shared" si="29"/>
        <v>#N/A</v>
      </c>
      <c r="I378" s="1094" t="e">
        <f t="shared" si="30"/>
        <v>#N/A</v>
      </c>
      <c r="P378" s="688">
        <f>LOOKUP(J378,'ETAT-PAY-PERM'!J:J,'ETAT-PAY-PERM'!S:S)</f>
        <v>0</v>
      </c>
      <c r="Q378" s="1095">
        <f t="shared" si="31"/>
        <v>0</v>
      </c>
      <c r="R378" s="1095" t="str">
        <f t="shared" si="32"/>
        <v/>
      </c>
    </row>
    <row r="379" spans="1:18" ht="18.75" thickBot="1">
      <c r="A379" s="1085">
        <f>'Base-D'!A379</f>
        <v>378</v>
      </c>
      <c r="B379" s="1085">
        <f>'Base-D'!AX379</f>
        <v>0</v>
      </c>
      <c r="C379" s="1085" t="e">
        <f>LOOKUP(A379,'Base-D'!A:A,'Base-D'!BP:BP)</f>
        <v>#N/A</v>
      </c>
      <c r="D379" s="1085">
        <f>'Base-D'!S379</f>
        <v>0</v>
      </c>
      <c r="E379" s="1086"/>
      <c r="F379" s="1087"/>
      <c r="G379" s="1087" t="e">
        <f>LOOKUP(A379,'ETAT-PAY-PERM'!A:A,'ETAT-PAY-PERM'!J:J)</f>
        <v>#N/A</v>
      </c>
      <c r="H379" s="1094" t="e">
        <f t="shared" si="29"/>
        <v>#N/A</v>
      </c>
      <c r="I379" s="1094" t="e">
        <f t="shared" si="30"/>
        <v>#N/A</v>
      </c>
      <c r="P379" s="688">
        <f>LOOKUP(J379,'ETAT-PAY-PERM'!J:J,'ETAT-PAY-PERM'!S:S)</f>
        <v>0</v>
      </c>
      <c r="Q379" s="1095">
        <f t="shared" si="31"/>
        <v>0</v>
      </c>
      <c r="R379" s="1095" t="str">
        <f t="shared" si="32"/>
        <v/>
      </c>
    </row>
    <row r="380" spans="1:18" ht="18.75" thickBot="1">
      <c r="A380" s="1085">
        <f>'Base-D'!A380</f>
        <v>379</v>
      </c>
      <c r="B380" s="1085">
        <f>'Base-D'!AX380</f>
        <v>0</v>
      </c>
      <c r="C380" s="1085" t="e">
        <f>LOOKUP(A380,'Base-D'!A:A,'Base-D'!BP:BP)</f>
        <v>#N/A</v>
      </c>
      <c r="D380" s="1085">
        <f>'Base-D'!S380</f>
        <v>0</v>
      </c>
      <c r="E380" s="1086"/>
      <c r="F380" s="1087"/>
      <c r="G380" s="1087" t="e">
        <f>LOOKUP(A380,'ETAT-PAY-PERM'!A:A,'ETAT-PAY-PERM'!J:J)</f>
        <v>#N/A</v>
      </c>
      <c r="H380" s="1094" t="e">
        <f t="shared" si="29"/>
        <v>#N/A</v>
      </c>
      <c r="I380" s="1094" t="e">
        <f t="shared" si="30"/>
        <v>#N/A</v>
      </c>
      <c r="P380" s="688">
        <f>LOOKUP(J380,'ETAT-PAY-PERM'!J:J,'ETAT-PAY-PERM'!S:S)</f>
        <v>0</v>
      </c>
      <c r="Q380" s="1095">
        <f t="shared" si="31"/>
        <v>0</v>
      </c>
      <c r="R380" s="1095" t="str">
        <f t="shared" si="32"/>
        <v/>
      </c>
    </row>
    <row r="381" spans="1:18" ht="18.75" thickBot="1">
      <c r="A381" s="1085">
        <f>'Base-D'!A381</f>
        <v>380</v>
      </c>
      <c r="B381" s="1085">
        <f>'Base-D'!AX381</f>
        <v>0</v>
      </c>
      <c r="C381" s="1085" t="e">
        <f>LOOKUP(A381,'Base-D'!A:A,'Base-D'!BP:BP)</f>
        <v>#N/A</v>
      </c>
      <c r="D381" s="1085">
        <f>'Base-D'!S381</f>
        <v>0</v>
      </c>
      <c r="E381" s="1086"/>
      <c r="F381" s="1087"/>
      <c r="G381" s="1087" t="e">
        <f>LOOKUP(A381,'ETAT-PAY-PERM'!A:A,'ETAT-PAY-PERM'!J:J)</f>
        <v>#N/A</v>
      </c>
      <c r="H381" s="1094" t="e">
        <f t="shared" si="29"/>
        <v>#N/A</v>
      </c>
      <c r="I381" s="1094" t="e">
        <f t="shared" si="30"/>
        <v>#N/A</v>
      </c>
      <c r="P381" s="688">
        <f>LOOKUP(J381,'ETAT-PAY-PERM'!J:J,'ETAT-PAY-PERM'!S:S)</f>
        <v>0</v>
      </c>
      <c r="Q381" s="1095">
        <f t="shared" si="31"/>
        <v>0</v>
      </c>
      <c r="R381" s="1095" t="str">
        <f t="shared" si="32"/>
        <v/>
      </c>
    </row>
    <row r="382" spans="1:18" ht="18.75" thickBot="1">
      <c r="A382" s="1085">
        <f>'Base-D'!A382</f>
        <v>381</v>
      </c>
      <c r="B382" s="1085">
        <f>'Base-D'!AX382</f>
        <v>0</v>
      </c>
      <c r="C382" s="1085" t="e">
        <f>LOOKUP(A382,'Base-D'!A:A,'Base-D'!BP:BP)</f>
        <v>#N/A</v>
      </c>
      <c r="D382" s="1085">
        <f>'Base-D'!S382</f>
        <v>0</v>
      </c>
      <c r="E382" s="1086"/>
      <c r="F382" s="1087"/>
      <c r="G382" s="1087" t="e">
        <f>LOOKUP(A382,'ETAT-PAY-PERM'!A:A,'ETAT-PAY-PERM'!J:J)</f>
        <v>#N/A</v>
      </c>
      <c r="H382" s="1094" t="e">
        <f t="shared" si="29"/>
        <v>#N/A</v>
      </c>
      <c r="I382" s="1094" t="e">
        <f t="shared" si="30"/>
        <v>#N/A</v>
      </c>
      <c r="P382" s="688">
        <f>LOOKUP(J382,'ETAT-PAY-PERM'!J:J,'ETAT-PAY-PERM'!S:S)</f>
        <v>0</v>
      </c>
      <c r="Q382" s="1095">
        <f t="shared" si="31"/>
        <v>0</v>
      </c>
      <c r="R382" s="1095" t="str">
        <f t="shared" si="32"/>
        <v/>
      </c>
    </row>
    <row r="383" spans="1:18" ht="18.75" thickBot="1">
      <c r="A383" s="1085">
        <f>'Base-D'!A383</f>
        <v>382</v>
      </c>
      <c r="B383" s="1085">
        <f>'Base-D'!AX383</f>
        <v>0</v>
      </c>
      <c r="C383" s="1085" t="e">
        <f>LOOKUP(A383,'Base-D'!A:A,'Base-D'!BP:BP)</f>
        <v>#N/A</v>
      </c>
      <c r="D383" s="1085">
        <f>'Base-D'!S383</f>
        <v>0</v>
      </c>
      <c r="E383" s="1086"/>
      <c r="F383" s="1087"/>
      <c r="G383" s="1087" t="e">
        <f>LOOKUP(A383,'ETAT-PAY-PERM'!A:A,'ETAT-PAY-PERM'!J:J)</f>
        <v>#N/A</v>
      </c>
      <c r="H383" s="1094" t="e">
        <f t="shared" si="29"/>
        <v>#N/A</v>
      </c>
      <c r="I383" s="1094" t="e">
        <f t="shared" si="30"/>
        <v>#N/A</v>
      </c>
      <c r="P383" s="688">
        <f>LOOKUP(J383,'ETAT-PAY-PERM'!J:J,'ETAT-PAY-PERM'!S:S)</f>
        <v>0</v>
      </c>
      <c r="Q383" s="1095">
        <f t="shared" si="31"/>
        <v>0</v>
      </c>
      <c r="R383" s="1095" t="str">
        <f t="shared" si="32"/>
        <v/>
      </c>
    </row>
    <row r="384" spans="1:18" ht="18.75" thickBot="1">
      <c r="A384" s="1085">
        <f>'Base-D'!A384</f>
        <v>383</v>
      </c>
      <c r="B384" s="1085">
        <f>'Base-D'!AX384</f>
        <v>0</v>
      </c>
      <c r="C384" s="1085" t="e">
        <f>LOOKUP(A384,'Base-D'!A:A,'Base-D'!BP:BP)</f>
        <v>#N/A</v>
      </c>
      <c r="D384" s="1085">
        <f>'Base-D'!S384</f>
        <v>0</v>
      </c>
      <c r="E384" s="1086"/>
      <c r="F384" s="1087"/>
      <c r="G384" s="1087" t="e">
        <f>LOOKUP(A384,'ETAT-PAY-PERM'!A:A,'ETAT-PAY-PERM'!J:J)</f>
        <v>#N/A</v>
      </c>
      <c r="H384" s="1094" t="e">
        <f t="shared" si="29"/>
        <v>#N/A</v>
      </c>
      <c r="I384" s="1094" t="e">
        <f t="shared" si="30"/>
        <v>#N/A</v>
      </c>
      <c r="P384" s="688">
        <f>LOOKUP(J384,'ETAT-PAY-PERM'!J:J,'ETAT-PAY-PERM'!S:S)</f>
        <v>0</v>
      </c>
      <c r="Q384" s="1095">
        <f t="shared" si="31"/>
        <v>0</v>
      </c>
      <c r="R384" s="1095" t="str">
        <f t="shared" si="32"/>
        <v/>
      </c>
    </row>
    <row r="385" spans="1:18" ht="18.75" thickBot="1">
      <c r="A385" s="1085">
        <f>'Base-D'!A385</f>
        <v>384</v>
      </c>
      <c r="B385" s="1085">
        <f>'Base-D'!AX385</f>
        <v>0</v>
      </c>
      <c r="C385" s="1085" t="e">
        <f>LOOKUP(A385,'Base-D'!A:A,'Base-D'!BP:BP)</f>
        <v>#N/A</v>
      </c>
      <c r="D385" s="1085">
        <f>'Base-D'!S385</f>
        <v>0</v>
      </c>
      <c r="E385" s="1086"/>
      <c r="F385" s="1087"/>
      <c r="G385" s="1087" t="e">
        <f>LOOKUP(A385,'ETAT-PAY-PERM'!A:A,'ETAT-PAY-PERM'!J:J)</f>
        <v>#N/A</v>
      </c>
      <c r="H385" s="1094" t="e">
        <f t="shared" si="29"/>
        <v>#N/A</v>
      </c>
      <c r="I385" s="1094" t="e">
        <f t="shared" si="30"/>
        <v>#N/A</v>
      </c>
      <c r="P385" s="688">
        <f>LOOKUP(J385,'ETAT-PAY-PERM'!J:J,'ETAT-PAY-PERM'!S:S)</f>
        <v>0</v>
      </c>
      <c r="Q385" s="1095">
        <f t="shared" si="31"/>
        <v>0</v>
      </c>
      <c r="R385" s="1095" t="str">
        <f t="shared" si="32"/>
        <v/>
      </c>
    </row>
    <row r="386" spans="1:18" ht="18.75" thickBot="1">
      <c r="A386" s="1085">
        <f>'Base-D'!A386</f>
        <v>385</v>
      </c>
      <c r="B386" s="1085">
        <f>'Base-D'!AX386</f>
        <v>0</v>
      </c>
      <c r="C386" s="1085" t="e">
        <f>LOOKUP(A386,'Base-D'!A:A,'Base-D'!BP:BP)</f>
        <v>#N/A</v>
      </c>
      <c r="D386" s="1085">
        <f>'Base-D'!S386</f>
        <v>0</v>
      </c>
      <c r="E386" s="1086"/>
      <c r="F386" s="1087"/>
      <c r="G386" s="1087" t="e">
        <f>LOOKUP(A386,'ETAT-PAY-PERM'!A:A,'ETAT-PAY-PERM'!J:J)</f>
        <v>#N/A</v>
      </c>
      <c r="H386" s="1094" t="e">
        <f t="shared" si="29"/>
        <v>#N/A</v>
      </c>
      <c r="I386" s="1094" t="e">
        <f t="shared" si="30"/>
        <v>#N/A</v>
      </c>
      <c r="P386" s="688">
        <f>LOOKUP(J386,'ETAT-PAY-PERM'!J:J,'ETAT-PAY-PERM'!S:S)</f>
        <v>0</v>
      </c>
      <c r="Q386" s="1095">
        <f t="shared" si="31"/>
        <v>0</v>
      </c>
      <c r="R386" s="1095" t="str">
        <f t="shared" si="32"/>
        <v/>
      </c>
    </row>
    <row r="387" spans="1:18" ht="18.75" thickBot="1">
      <c r="A387" s="1085">
        <f>'Base-D'!A387</f>
        <v>386</v>
      </c>
      <c r="B387" s="1085">
        <f>'Base-D'!AX387</f>
        <v>0</v>
      </c>
      <c r="C387" s="1085" t="e">
        <f>LOOKUP(A387,'Base-D'!A:A,'Base-D'!BP:BP)</f>
        <v>#N/A</v>
      </c>
      <c r="D387" s="1085">
        <f>'Base-D'!S387</f>
        <v>0</v>
      </c>
      <c r="E387" s="1086"/>
      <c r="F387" s="1087"/>
      <c r="G387" s="1087" t="e">
        <f>LOOKUP(A387,'ETAT-PAY-PERM'!A:A,'ETAT-PAY-PERM'!J:J)</f>
        <v>#N/A</v>
      </c>
      <c r="H387" s="1094" t="e">
        <f t="shared" ref="H387:H450" si="33">IF(G387&gt;1,1,0)</f>
        <v>#N/A</v>
      </c>
      <c r="I387" s="1094" t="e">
        <f t="shared" ref="I387:I450" si="34">IF(H387=0,"",A387)</f>
        <v>#N/A</v>
      </c>
      <c r="P387" s="688">
        <f>LOOKUP(J387,'ETAT-PAY-PERM'!J:J,'ETAT-PAY-PERM'!S:S)</f>
        <v>0</v>
      </c>
      <c r="Q387" s="1095">
        <f t="shared" ref="Q387:Q450" si="35">IF(P387&gt;1,1,0)</f>
        <v>0</v>
      </c>
      <c r="R387" s="1095" t="str">
        <f t="shared" ref="R387:R450" si="36">IF(Q387=0,"",J387)</f>
        <v/>
      </c>
    </row>
    <row r="388" spans="1:18" ht="18.75" thickBot="1">
      <c r="A388" s="1085">
        <f>'Base-D'!A388</f>
        <v>387</v>
      </c>
      <c r="B388" s="1085">
        <f>'Base-D'!AX388</f>
        <v>0</v>
      </c>
      <c r="C388" s="1085" t="e">
        <f>LOOKUP(A388,'Base-D'!A:A,'Base-D'!BP:BP)</f>
        <v>#N/A</v>
      </c>
      <c r="D388" s="1085">
        <f>'Base-D'!S388</f>
        <v>0</v>
      </c>
      <c r="E388" s="1086"/>
      <c r="F388" s="1087"/>
      <c r="G388" s="1087" t="e">
        <f>LOOKUP(A388,'ETAT-PAY-PERM'!A:A,'ETAT-PAY-PERM'!J:J)</f>
        <v>#N/A</v>
      </c>
      <c r="H388" s="1094" t="e">
        <f t="shared" si="33"/>
        <v>#N/A</v>
      </c>
      <c r="I388" s="1094" t="e">
        <f t="shared" si="34"/>
        <v>#N/A</v>
      </c>
      <c r="P388" s="688">
        <f>LOOKUP(J388,'ETAT-PAY-PERM'!J:J,'ETAT-PAY-PERM'!S:S)</f>
        <v>0</v>
      </c>
      <c r="Q388" s="1095">
        <f t="shared" si="35"/>
        <v>0</v>
      </c>
      <c r="R388" s="1095" t="str">
        <f t="shared" si="36"/>
        <v/>
      </c>
    </row>
    <row r="389" spans="1:18" ht="18.75" thickBot="1">
      <c r="A389" s="1085">
        <f>'Base-D'!A389</f>
        <v>388</v>
      </c>
      <c r="B389" s="1085">
        <f>'Base-D'!AX389</f>
        <v>0</v>
      </c>
      <c r="C389" s="1085" t="e">
        <f>LOOKUP(A389,'Base-D'!A:A,'Base-D'!BP:BP)</f>
        <v>#N/A</v>
      </c>
      <c r="D389" s="1085">
        <f>'Base-D'!S389</f>
        <v>0</v>
      </c>
      <c r="E389" s="1086"/>
      <c r="F389" s="1087"/>
      <c r="G389" s="1087" t="e">
        <f>LOOKUP(A389,'ETAT-PAY-PERM'!A:A,'ETAT-PAY-PERM'!J:J)</f>
        <v>#N/A</v>
      </c>
      <c r="H389" s="1094" t="e">
        <f t="shared" si="33"/>
        <v>#N/A</v>
      </c>
      <c r="I389" s="1094" t="e">
        <f t="shared" si="34"/>
        <v>#N/A</v>
      </c>
      <c r="P389" s="688">
        <f>LOOKUP(J389,'ETAT-PAY-PERM'!J:J,'ETAT-PAY-PERM'!S:S)</f>
        <v>0</v>
      </c>
      <c r="Q389" s="1095">
        <f t="shared" si="35"/>
        <v>0</v>
      </c>
      <c r="R389" s="1095" t="str">
        <f t="shared" si="36"/>
        <v/>
      </c>
    </row>
    <row r="390" spans="1:18" ht="18.75" thickBot="1">
      <c r="A390" s="1085">
        <f>'Base-D'!A390</f>
        <v>389</v>
      </c>
      <c r="B390" s="1085">
        <f>'Base-D'!AX390</f>
        <v>0</v>
      </c>
      <c r="C390" s="1085" t="e">
        <f>LOOKUP(A390,'Base-D'!A:A,'Base-D'!BP:BP)</f>
        <v>#N/A</v>
      </c>
      <c r="D390" s="1085">
        <f>'Base-D'!S390</f>
        <v>0</v>
      </c>
      <c r="E390" s="1086"/>
      <c r="F390" s="1087"/>
      <c r="G390" s="1087" t="e">
        <f>LOOKUP(A390,'ETAT-PAY-PERM'!A:A,'ETAT-PAY-PERM'!J:J)</f>
        <v>#N/A</v>
      </c>
      <c r="H390" s="1094" t="e">
        <f t="shared" si="33"/>
        <v>#N/A</v>
      </c>
      <c r="I390" s="1094" t="e">
        <f t="shared" si="34"/>
        <v>#N/A</v>
      </c>
      <c r="P390" s="688">
        <f>LOOKUP(J390,'ETAT-PAY-PERM'!J:J,'ETAT-PAY-PERM'!S:S)</f>
        <v>0</v>
      </c>
      <c r="Q390" s="1095">
        <f t="shared" si="35"/>
        <v>0</v>
      </c>
      <c r="R390" s="1095" t="str">
        <f t="shared" si="36"/>
        <v/>
      </c>
    </row>
    <row r="391" spans="1:18" ht="18.75" thickBot="1">
      <c r="A391" s="1085">
        <f>'Base-D'!A391</f>
        <v>390</v>
      </c>
      <c r="B391" s="1085">
        <f>'Base-D'!AX391</f>
        <v>0</v>
      </c>
      <c r="C391" s="1085" t="e">
        <f>LOOKUP(A391,'Base-D'!A:A,'Base-D'!BP:BP)</f>
        <v>#N/A</v>
      </c>
      <c r="D391" s="1085">
        <f>'Base-D'!S391</f>
        <v>0</v>
      </c>
      <c r="E391" s="1086"/>
      <c r="F391" s="1087"/>
      <c r="G391" s="1087" t="e">
        <f>LOOKUP(A391,'ETAT-PAY-PERM'!A:A,'ETAT-PAY-PERM'!J:J)</f>
        <v>#N/A</v>
      </c>
      <c r="H391" s="1094" t="e">
        <f t="shared" si="33"/>
        <v>#N/A</v>
      </c>
      <c r="I391" s="1094" t="e">
        <f t="shared" si="34"/>
        <v>#N/A</v>
      </c>
      <c r="P391" s="688">
        <f>LOOKUP(J391,'ETAT-PAY-PERM'!J:J,'ETAT-PAY-PERM'!S:S)</f>
        <v>0</v>
      </c>
      <c r="Q391" s="1095">
        <f t="shared" si="35"/>
        <v>0</v>
      </c>
      <c r="R391" s="1095" t="str">
        <f t="shared" si="36"/>
        <v/>
      </c>
    </row>
    <row r="392" spans="1:18" ht="18.75" thickBot="1">
      <c r="A392" s="1085">
        <f>'Base-D'!A392</f>
        <v>391</v>
      </c>
      <c r="B392" s="1085">
        <f>'Base-D'!AX392</f>
        <v>0</v>
      </c>
      <c r="C392" s="1085" t="e">
        <f>LOOKUP(A392,'Base-D'!A:A,'Base-D'!BP:BP)</f>
        <v>#N/A</v>
      </c>
      <c r="D392" s="1085">
        <f>'Base-D'!S392</f>
        <v>0</v>
      </c>
      <c r="E392" s="1086"/>
      <c r="F392" s="1087"/>
      <c r="G392" s="1087" t="e">
        <f>LOOKUP(A392,'ETAT-PAY-PERM'!A:A,'ETAT-PAY-PERM'!J:J)</f>
        <v>#N/A</v>
      </c>
      <c r="H392" s="1094" t="e">
        <f t="shared" si="33"/>
        <v>#N/A</v>
      </c>
      <c r="I392" s="1094" t="e">
        <f t="shared" si="34"/>
        <v>#N/A</v>
      </c>
      <c r="P392" s="688">
        <f>LOOKUP(J392,'ETAT-PAY-PERM'!J:J,'ETAT-PAY-PERM'!S:S)</f>
        <v>0</v>
      </c>
      <c r="Q392" s="1095">
        <f t="shared" si="35"/>
        <v>0</v>
      </c>
      <c r="R392" s="1095" t="str">
        <f t="shared" si="36"/>
        <v/>
      </c>
    </row>
    <row r="393" spans="1:18" ht="18.75" thickBot="1">
      <c r="A393" s="1085">
        <f>'Base-D'!A393</f>
        <v>392</v>
      </c>
      <c r="B393" s="1085">
        <f>'Base-D'!AX393</f>
        <v>0</v>
      </c>
      <c r="C393" s="1085" t="e">
        <f>LOOKUP(A393,'Base-D'!A:A,'Base-D'!BP:BP)</f>
        <v>#N/A</v>
      </c>
      <c r="D393" s="1085">
        <f>'Base-D'!S393</f>
        <v>0</v>
      </c>
      <c r="E393" s="1086"/>
      <c r="F393" s="1087"/>
      <c r="G393" s="1087" t="e">
        <f>LOOKUP(A393,'ETAT-PAY-PERM'!A:A,'ETAT-PAY-PERM'!J:J)</f>
        <v>#N/A</v>
      </c>
      <c r="H393" s="1094" t="e">
        <f t="shared" si="33"/>
        <v>#N/A</v>
      </c>
      <c r="I393" s="1094" t="e">
        <f t="shared" si="34"/>
        <v>#N/A</v>
      </c>
      <c r="P393" s="688">
        <f>LOOKUP(J393,'ETAT-PAY-PERM'!J:J,'ETAT-PAY-PERM'!S:S)</f>
        <v>0</v>
      </c>
      <c r="Q393" s="1095">
        <f t="shared" si="35"/>
        <v>0</v>
      </c>
      <c r="R393" s="1095" t="str">
        <f t="shared" si="36"/>
        <v/>
      </c>
    </row>
    <row r="394" spans="1:18" ht="18.75" thickBot="1">
      <c r="A394" s="1085">
        <f>'Base-D'!A394</f>
        <v>393</v>
      </c>
      <c r="B394" s="1085">
        <f>'Base-D'!AX394</f>
        <v>0</v>
      </c>
      <c r="C394" s="1085" t="e">
        <f>LOOKUP(A394,'Base-D'!A:A,'Base-D'!BP:BP)</f>
        <v>#N/A</v>
      </c>
      <c r="D394" s="1085">
        <f>'Base-D'!S394</f>
        <v>0</v>
      </c>
      <c r="E394" s="1086"/>
      <c r="F394" s="1087"/>
      <c r="G394" s="1087" t="e">
        <f>LOOKUP(A394,'ETAT-PAY-PERM'!A:A,'ETAT-PAY-PERM'!J:J)</f>
        <v>#N/A</v>
      </c>
      <c r="H394" s="1094" t="e">
        <f t="shared" si="33"/>
        <v>#N/A</v>
      </c>
      <c r="I394" s="1094" t="e">
        <f t="shared" si="34"/>
        <v>#N/A</v>
      </c>
      <c r="P394" s="688">
        <f>LOOKUP(J394,'ETAT-PAY-PERM'!J:J,'ETAT-PAY-PERM'!S:S)</f>
        <v>0</v>
      </c>
      <c r="Q394" s="1095">
        <f t="shared" si="35"/>
        <v>0</v>
      </c>
      <c r="R394" s="1095" t="str">
        <f t="shared" si="36"/>
        <v/>
      </c>
    </row>
    <row r="395" spans="1:18" ht="18.75" thickBot="1">
      <c r="A395" s="1085">
        <f>'Base-D'!A395</f>
        <v>394</v>
      </c>
      <c r="B395" s="1085">
        <f>'Base-D'!AX395</f>
        <v>0</v>
      </c>
      <c r="C395" s="1085" t="e">
        <f>LOOKUP(A395,'Base-D'!A:A,'Base-D'!BP:BP)</f>
        <v>#N/A</v>
      </c>
      <c r="D395" s="1085">
        <f>'Base-D'!S395</f>
        <v>0</v>
      </c>
      <c r="E395" s="1086"/>
      <c r="F395" s="1087"/>
      <c r="G395" s="1087" t="e">
        <f>LOOKUP(A395,'ETAT-PAY-PERM'!A:A,'ETAT-PAY-PERM'!J:J)</f>
        <v>#N/A</v>
      </c>
      <c r="H395" s="1094" t="e">
        <f t="shared" si="33"/>
        <v>#N/A</v>
      </c>
      <c r="I395" s="1094" t="e">
        <f t="shared" si="34"/>
        <v>#N/A</v>
      </c>
      <c r="P395" s="688">
        <f>LOOKUP(J395,'ETAT-PAY-PERM'!J:J,'ETAT-PAY-PERM'!S:S)</f>
        <v>0</v>
      </c>
      <c r="Q395" s="1095">
        <f t="shared" si="35"/>
        <v>0</v>
      </c>
      <c r="R395" s="1095" t="str">
        <f t="shared" si="36"/>
        <v/>
      </c>
    </row>
    <row r="396" spans="1:18" ht="18.75" thickBot="1">
      <c r="A396" s="1085">
        <f>'Base-D'!A396</f>
        <v>395</v>
      </c>
      <c r="B396" s="1085">
        <f>'Base-D'!AX396</f>
        <v>0</v>
      </c>
      <c r="C396" s="1085" t="e">
        <f>LOOKUP(A396,'Base-D'!A:A,'Base-D'!BP:BP)</f>
        <v>#N/A</v>
      </c>
      <c r="D396" s="1085">
        <f>'Base-D'!S396</f>
        <v>0</v>
      </c>
      <c r="E396" s="1086"/>
      <c r="F396" s="1087"/>
      <c r="G396" s="1087" t="e">
        <f>LOOKUP(A396,'ETAT-PAY-PERM'!A:A,'ETAT-PAY-PERM'!J:J)</f>
        <v>#N/A</v>
      </c>
      <c r="H396" s="1094" t="e">
        <f t="shared" si="33"/>
        <v>#N/A</v>
      </c>
      <c r="I396" s="1094" t="e">
        <f t="shared" si="34"/>
        <v>#N/A</v>
      </c>
      <c r="P396" s="688">
        <f>LOOKUP(J396,'ETAT-PAY-PERM'!J:J,'ETAT-PAY-PERM'!S:S)</f>
        <v>0</v>
      </c>
      <c r="Q396" s="1095">
        <f t="shared" si="35"/>
        <v>0</v>
      </c>
      <c r="R396" s="1095" t="str">
        <f t="shared" si="36"/>
        <v/>
      </c>
    </row>
    <row r="397" spans="1:18" ht="18.75" thickBot="1">
      <c r="A397" s="1085">
        <f>'Base-D'!A397</f>
        <v>396</v>
      </c>
      <c r="B397" s="1085">
        <f>'Base-D'!AX397</f>
        <v>0</v>
      </c>
      <c r="C397" s="1085" t="e">
        <f>LOOKUP(A397,'Base-D'!A:A,'Base-D'!BP:BP)</f>
        <v>#N/A</v>
      </c>
      <c r="D397" s="1085">
        <f>'Base-D'!S397</f>
        <v>0</v>
      </c>
      <c r="E397" s="1086"/>
      <c r="F397" s="1087"/>
      <c r="G397" s="1087" t="e">
        <f>LOOKUP(A397,'ETAT-PAY-PERM'!A:A,'ETAT-PAY-PERM'!J:J)</f>
        <v>#N/A</v>
      </c>
      <c r="H397" s="1094" t="e">
        <f t="shared" si="33"/>
        <v>#N/A</v>
      </c>
      <c r="I397" s="1094" t="e">
        <f t="shared" si="34"/>
        <v>#N/A</v>
      </c>
      <c r="P397" s="688">
        <f>LOOKUP(J397,'ETAT-PAY-PERM'!J:J,'ETAT-PAY-PERM'!S:S)</f>
        <v>0</v>
      </c>
      <c r="Q397" s="1095">
        <f t="shared" si="35"/>
        <v>0</v>
      </c>
      <c r="R397" s="1095" t="str">
        <f t="shared" si="36"/>
        <v/>
      </c>
    </row>
    <row r="398" spans="1:18" ht="18.75" thickBot="1">
      <c r="A398" s="1085">
        <f>'Base-D'!A398</f>
        <v>397</v>
      </c>
      <c r="B398" s="1085">
        <f>'Base-D'!AX398</f>
        <v>0</v>
      </c>
      <c r="C398" s="1085" t="e">
        <f>LOOKUP(A398,'Base-D'!A:A,'Base-D'!BP:BP)</f>
        <v>#N/A</v>
      </c>
      <c r="D398" s="1085">
        <f>'Base-D'!S398</f>
        <v>0</v>
      </c>
      <c r="E398" s="1086"/>
      <c r="F398" s="1087"/>
      <c r="G398" s="1087" t="e">
        <f>LOOKUP(A398,'ETAT-PAY-PERM'!A:A,'ETAT-PAY-PERM'!J:J)</f>
        <v>#N/A</v>
      </c>
      <c r="H398" s="1094" t="e">
        <f t="shared" si="33"/>
        <v>#N/A</v>
      </c>
      <c r="I398" s="1094" t="e">
        <f t="shared" si="34"/>
        <v>#N/A</v>
      </c>
      <c r="P398" s="688">
        <f>LOOKUP(J398,'ETAT-PAY-PERM'!J:J,'ETAT-PAY-PERM'!S:S)</f>
        <v>0</v>
      </c>
      <c r="Q398" s="1095">
        <f t="shared" si="35"/>
        <v>0</v>
      </c>
      <c r="R398" s="1095" t="str">
        <f t="shared" si="36"/>
        <v/>
      </c>
    </row>
    <row r="399" spans="1:18" ht="18.75" thickBot="1">
      <c r="A399" s="1085">
        <f>'Base-D'!A399</f>
        <v>398</v>
      </c>
      <c r="B399" s="1085">
        <f>'Base-D'!AX399</f>
        <v>0</v>
      </c>
      <c r="C399" s="1085" t="e">
        <f>LOOKUP(A399,'Base-D'!A:A,'Base-D'!BP:BP)</f>
        <v>#N/A</v>
      </c>
      <c r="D399" s="1085">
        <f>'Base-D'!S399</f>
        <v>0</v>
      </c>
      <c r="E399" s="1086"/>
      <c r="F399" s="1087"/>
      <c r="G399" s="1087" t="e">
        <f>LOOKUP(A399,'ETAT-PAY-PERM'!A:A,'ETAT-PAY-PERM'!J:J)</f>
        <v>#N/A</v>
      </c>
      <c r="H399" s="1094" t="e">
        <f t="shared" si="33"/>
        <v>#N/A</v>
      </c>
      <c r="I399" s="1094" t="e">
        <f t="shared" si="34"/>
        <v>#N/A</v>
      </c>
      <c r="P399" s="688">
        <f>LOOKUP(J399,'ETAT-PAY-PERM'!J:J,'ETAT-PAY-PERM'!S:S)</f>
        <v>0</v>
      </c>
      <c r="Q399" s="1095">
        <f t="shared" si="35"/>
        <v>0</v>
      </c>
      <c r="R399" s="1095" t="str">
        <f t="shared" si="36"/>
        <v/>
      </c>
    </row>
    <row r="400" spans="1:18" ht="18.75" thickBot="1">
      <c r="A400" s="1085">
        <f>'Base-D'!A400</f>
        <v>399</v>
      </c>
      <c r="B400" s="1085">
        <f>'Base-D'!AX400</f>
        <v>0</v>
      </c>
      <c r="C400" s="1085" t="e">
        <f>LOOKUP(A400,'Base-D'!A:A,'Base-D'!BP:BP)</f>
        <v>#N/A</v>
      </c>
      <c r="D400" s="1085">
        <f>'Base-D'!S400</f>
        <v>0</v>
      </c>
      <c r="E400" s="1086"/>
      <c r="F400" s="1087"/>
      <c r="G400" s="1087" t="e">
        <f>LOOKUP(A400,'ETAT-PAY-PERM'!A:A,'ETAT-PAY-PERM'!J:J)</f>
        <v>#N/A</v>
      </c>
      <c r="H400" s="1094" t="e">
        <f t="shared" si="33"/>
        <v>#N/A</v>
      </c>
      <c r="I400" s="1094" t="e">
        <f t="shared" si="34"/>
        <v>#N/A</v>
      </c>
      <c r="P400" s="688">
        <f>LOOKUP(J400,'ETAT-PAY-PERM'!J:J,'ETAT-PAY-PERM'!S:S)</f>
        <v>0</v>
      </c>
      <c r="Q400" s="1095">
        <f t="shared" si="35"/>
        <v>0</v>
      </c>
      <c r="R400" s="1095" t="str">
        <f t="shared" si="36"/>
        <v/>
      </c>
    </row>
    <row r="401" spans="1:18" ht="18.75" thickBot="1">
      <c r="A401" s="1085">
        <f>'Base-D'!A401</f>
        <v>400</v>
      </c>
      <c r="B401" s="1085">
        <f>'Base-D'!AX401</f>
        <v>0</v>
      </c>
      <c r="C401" s="1085" t="e">
        <f>LOOKUP(A401,'Base-D'!A:A,'Base-D'!BP:BP)</f>
        <v>#N/A</v>
      </c>
      <c r="D401" s="1085">
        <f>'Base-D'!S401</f>
        <v>0</v>
      </c>
      <c r="E401" s="1086"/>
      <c r="F401" s="1087"/>
      <c r="G401" s="1087" t="e">
        <f>LOOKUP(A401,'ETAT-PAY-PERM'!A:A,'ETAT-PAY-PERM'!J:J)</f>
        <v>#N/A</v>
      </c>
      <c r="H401" s="1094" t="e">
        <f t="shared" si="33"/>
        <v>#N/A</v>
      </c>
      <c r="I401" s="1094" t="e">
        <f t="shared" si="34"/>
        <v>#N/A</v>
      </c>
      <c r="P401" s="688">
        <f>LOOKUP(J401,'ETAT-PAY-PERM'!J:J,'ETAT-PAY-PERM'!S:S)</f>
        <v>0</v>
      </c>
      <c r="Q401" s="1095">
        <f t="shared" si="35"/>
        <v>0</v>
      </c>
      <c r="R401" s="1095" t="str">
        <f t="shared" si="36"/>
        <v/>
      </c>
    </row>
    <row r="402" spans="1:18" ht="18.75" thickBot="1">
      <c r="A402" s="1085">
        <f>'Base-D'!A402</f>
        <v>401</v>
      </c>
      <c r="B402" s="1085">
        <f>'Base-D'!AX402</f>
        <v>0</v>
      </c>
      <c r="C402" s="1085" t="e">
        <f>LOOKUP(A402,'Base-D'!A:A,'Base-D'!BP:BP)</f>
        <v>#N/A</v>
      </c>
      <c r="D402" s="1085">
        <f>'Base-D'!S402</f>
        <v>0</v>
      </c>
      <c r="E402" s="1086"/>
      <c r="F402" s="1087"/>
      <c r="G402" s="1087" t="e">
        <f>LOOKUP(A402,'ETAT-PAY-PERM'!A:A,'ETAT-PAY-PERM'!J:J)</f>
        <v>#N/A</v>
      </c>
      <c r="H402" s="1094" t="e">
        <f t="shared" si="33"/>
        <v>#N/A</v>
      </c>
      <c r="I402" s="1094" t="e">
        <f t="shared" si="34"/>
        <v>#N/A</v>
      </c>
      <c r="P402" s="688">
        <f>LOOKUP(J402,'ETAT-PAY-PERM'!J:J,'ETAT-PAY-PERM'!S:S)</f>
        <v>0</v>
      </c>
      <c r="Q402" s="1095">
        <f t="shared" si="35"/>
        <v>0</v>
      </c>
      <c r="R402" s="1095" t="str">
        <f t="shared" si="36"/>
        <v/>
      </c>
    </row>
    <row r="403" spans="1:18" ht="18.75" thickBot="1">
      <c r="A403" s="1085">
        <f>'Base-D'!A403</f>
        <v>402</v>
      </c>
      <c r="B403" s="1085">
        <f>'Base-D'!AX403</f>
        <v>0</v>
      </c>
      <c r="C403" s="1085" t="e">
        <f>LOOKUP(A403,'Base-D'!A:A,'Base-D'!BP:BP)</f>
        <v>#N/A</v>
      </c>
      <c r="D403" s="1085">
        <f>'Base-D'!S403</f>
        <v>0</v>
      </c>
      <c r="E403" s="1086"/>
      <c r="F403" s="1087"/>
      <c r="G403" s="1087" t="e">
        <f>LOOKUP(A403,'ETAT-PAY-PERM'!A:A,'ETAT-PAY-PERM'!J:J)</f>
        <v>#N/A</v>
      </c>
      <c r="H403" s="1094" t="e">
        <f t="shared" si="33"/>
        <v>#N/A</v>
      </c>
      <c r="I403" s="1094" t="e">
        <f t="shared" si="34"/>
        <v>#N/A</v>
      </c>
      <c r="P403" s="688">
        <f>LOOKUP(J403,'ETAT-PAY-PERM'!J:J,'ETAT-PAY-PERM'!S:S)</f>
        <v>0</v>
      </c>
      <c r="Q403" s="1095">
        <f t="shared" si="35"/>
        <v>0</v>
      </c>
      <c r="R403" s="1095" t="str">
        <f t="shared" si="36"/>
        <v/>
      </c>
    </row>
    <row r="404" spans="1:18" ht="18.75" thickBot="1">
      <c r="A404" s="1085">
        <f>'Base-D'!A404</f>
        <v>403</v>
      </c>
      <c r="B404" s="1085">
        <f>'Base-D'!AX404</f>
        <v>0</v>
      </c>
      <c r="C404" s="1085" t="e">
        <f>LOOKUP(A404,'Base-D'!A:A,'Base-D'!BP:BP)</f>
        <v>#N/A</v>
      </c>
      <c r="D404" s="1085">
        <f>'Base-D'!S404</f>
        <v>0</v>
      </c>
      <c r="E404" s="1086"/>
      <c r="F404" s="1087"/>
      <c r="G404" s="1087" t="e">
        <f>LOOKUP(A404,'ETAT-PAY-PERM'!A:A,'ETAT-PAY-PERM'!J:J)</f>
        <v>#N/A</v>
      </c>
      <c r="H404" s="1094" t="e">
        <f t="shared" si="33"/>
        <v>#N/A</v>
      </c>
      <c r="I404" s="1094" t="e">
        <f t="shared" si="34"/>
        <v>#N/A</v>
      </c>
      <c r="P404" s="688">
        <f>LOOKUP(J404,'ETAT-PAY-PERM'!J:J,'ETAT-PAY-PERM'!S:S)</f>
        <v>0</v>
      </c>
      <c r="Q404" s="1095">
        <f t="shared" si="35"/>
        <v>0</v>
      </c>
      <c r="R404" s="1095" t="str">
        <f t="shared" si="36"/>
        <v/>
      </c>
    </row>
    <row r="405" spans="1:18" ht="18.75" thickBot="1">
      <c r="A405" s="1085">
        <f>'Base-D'!A405</f>
        <v>404</v>
      </c>
      <c r="B405" s="1085">
        <f>'Base-D'!AX405</f>
        <v>0</v>
      </c>
      <c r="C405" s="1085" t="e">
        <f>LOOKUP(A405,'Base-D'!A:A,'Base-D'!BP:BP)</f>
        <v>#N/A</v>
      </c>
      <c r="D405" s="1085">
        <f>'Base-D'!S405</f>
        <v>0</v>
      </c>
      <c r="E405" s="1086"/>
      <c r="F405" s="1087"/>
      <c r="G405" s="1087" t="e">
        <f>LOOKUP(A405,'ETAT-PAY-PERM'!A:A,'ETAT-PAY-PERM'!J:J)</f>
        <v>#N/A</v>
      </c>
      <c r="H405" s="1094" t="e">
        <f t="shared" si="33"/>
        <v>#N/A</v>
      </c>
      <c r="I405" s="1094" t="e">
        <f t="shared" si="34"/>
        <v>#N/A</v>
      </c>
      <c r="P405" s="688">
        <f>LOOKUP(J405,'ETAT-PAY-PERM'!J:J,'ETAT-PAY-PERM'!S:S)</f>
        <v>0</v>
      </c>
      <c r="Q405" s="1095">
        <f t="shared" si="35"/>
        <v>0</v>
      </c>
      <c r="R405" s="1095" t="str">
        <f t="shared" si="36"/>
        <v/>
      </c>
    </row>
    <row r="406" spans="1:18" ht="18.75" thickBot="1">
      <c r="A406" s="1085">
        <f>'Base-D'!A406</f>
        <v>405</v>
      </c>
      <c r="B406" s="1085">
        <f>'Base-D'!AX406</f>
        <v>0</v>
      </c>
      <c r="C406" s="1085" t="e">
        <f>LOOKUP(A406,'Base-D'!A:A,'Base-D'!BP:BP)</f>
        <v>#N/A</v>
      </c>
      <c r="D406" s="1085">
        <f>'Base-D'!S406</f>
        <v>0</v>
      </c>
      <c r="E406" s="1086"/>
      <c r="F406" s="1087"/>
      <c r="G406" s="1087" t="e">
        <f>LOOKUP(A406,'ETAT-PAY-PERM'!A:A,'ETAT-PAY-PERM'!J:J)</f>
        <v>#N/A</v>
      </c>
      <c r="H406" s="1094" t="e">
        <f t="shared" si="33"/>
        <v>#N/A</v>
      </c>
      <c r="I406" s="1094" t="e">
        <f t="shared" si="34"/>
        <v>#N/A</v>
      </c>
      <c r="P406" s="688">
        <f>LOOKUP(J406,'ETAT-PAY-PERM'!J:J,'ETAT-PAY-PERM'!S:S)</f>
        <v>0</v>
      </c>
      <c r="Q406" s="1095">
        <f t="shared" si="35"/>
        <v>0</v>
      </c>
      <c r="R406" s="1095" t="str">
        <f t="shared" si="36"/>
        <v/>
      </c>
    </row>
    <row r="407" spans="1:18" ht="18.75" thickBot="1">
      <c r="A407" s="1085">
        <f>'Base-D'!A407</f>
        <v>406</v>
      </c>
      <c r="B407" s="1085">
        <f>'Base-D'!AX407</f>
        <v>0</v>
      </c>
      <c r="C407" s="1085" t="e">
        <f>LOOKUP(A407,'Base-D'!A:A,'Base-D'!BP:BP)</f>
        <v>#N/A</v>
      </c>
      <c r="D407" s="1085">
        <f>'Base-D'!S407</f>
        <v>0</v>
      </c>
      <c r="E407" s="1086"/>
      <c r="F407" s="1087"/>
      <c r="G407" s="1087" t="e">
        <f>LOOKUP(A407,'ETAT-PAY-PERM'!A:A,'ETAT-PAY-PERM'!J:J)</f>
        <v>#N/A</v>
      </c>
      <c r="H407" s="1094" t="e">
        <f t="shared" si="33"/>
        <v>#N/A</v>
      </c>
      <c r="I407" s="1094" t="e">
        <f t="shared" si="34"/>
        <v>#N/A</v>
      </c>
      <c r="P407" s="688">
        <f>LOOKUP(J407,'ETAT-PAY-PERM'!J:J,'ETAT-PAY-PERM'!S:S)</f>
        <v>0</v>
      </c>
      <c r="Q407" s="1095">
        <f t="shared" si="35"/>
        <v>0</v>
      </c>
      <c r="R407" s="1095" t="str">
        <f t="shared" si="36"/>
        <v/>
      </c>
    </row>
    <row r="408" spans="1:18" ht="18.75" thickBot="1">
      <c r="A408" s="1085">
        <f>'Base-D'!A408</f>
        <v>407</v>
      </c>
      <c r="B408" s="1085">
        <f>'Base-D'!AX408</f>
        <v>0</v>
      </c>
      <c r="C408" s="1085" t="e">
        <f>LOOKUP(A408,'Base-D'!A:A,'Base-D'!BP:BP)</f>
        <v>#N/A</v>
      </c>
      <c r="D408" s="1085">
        <f>'Base-D'!S408</f>
        <v>0</v>
      </c>
      <c r="E408" s="1086"/>
      <c r="F408" s="1087"/>
      <c r="G408" s="1087" t="e">
        <f>LOOKUP(A408,'ETAT-PAY-PERM'!A:A,'ETAT-PAY-PERM'!J:J)</f>
        <v>#N/A</v>
      </c>
      <c r="H408" s="1094" t="e">
        <f t="shared" si="33"/>
        <v>#N/A</v>
      </c>
      <c r="I408" s="1094" t="e">
        <f t="shared" si="34"/>
        <v>#N/A</v>
      </c>
      <c r="P408" s="688">
        <f>LOOKUP(J408,'ETAT-PAY-PERM'!J:J,'ETAT-PAY-PERM'!S:S)</f>
        <v>0</v>
      </c>
      <c r="Q408" s="1095">
        <f t="shared" si="35"/>
        <v>0</v>
      </c>
      <c r="R408" s="1095" t="str">
        <f t="shared" si="36"/>
        <v/>
      </c>
    </row>
    <row r="409" spans="1:18" ht="18.75" thickBot="1">
      <c r="A409" s="1085">
        <f>'Base-D'!A409</f>
        <v>408</v>
      </c>
      <c r="B409" s="1085">
        <f>'Base-D'!AX409</f>
        <v>0</v>
      </c>
      <c r="C409" s="1085" t="e">
        <f>LOOKUP(A409,'Base-D'!A:A,'Base-D'!BP:BP)</f>
        <v>#N/A</v>
      </c>
      <c r="D409" s="1085">
        <f>'Base-D'!S409</f>
        <v>0</v>
      </c>
      <c r="E409" s="1086"/>
      <c r="F409" s="1087"/>
      <c r="G409" s="1087" t="e">
        <f>LOOKUP(A409,'ETAT-PAY-PERM'!A:A,'ETAT-PAY-PERM'!J:J)</f>
        <v>#N/A</v>
      </c>
      <c r="H409" s="1094" t="e">
        <f t="shared" si="33"/>
        <v>#N/A</v>
      </c>
      <c r="I409" s="1094" t="e">
        <f t="shared" si="34"/>
        <v>#N/A</v>
      </c>
      <c r="P409" s="688">
        <f>LOOKUP(J409,'ETAT-PAY-PERM'!J:J,'ETAT-PAY-PERM'!S:S)</f>
        <v>0</v>
      </c>
      <c r="Q409" s="1095">
        <f t="shared" si="35"/>
        <v>0</v>
      </c>
      <c r="R409" s="1095" t="str">
        <f t="shared" si="36"/>
        <v/>
      </c>
    </row>
    <row r="410" spans="1:18" ht="18.75" thickBot="1">
      <c r="A410" s="1085">
        <f>'Base-D'!A410</f>
        <v>409</v>
      </c>
      <c r="B410" s="1085">
        <f>'Base-D'!AX410</f>
        <v>0</v>
      </c>
      <c r="C410" s="1085" t="e">
        <f>LOOKUP(A410,'Base-D'!A:A,'Base-D'!BP:BP)</f>
        <v>#N/A</v>
      </c>
      <c r="D410" s="1085">
        <f>'Base-D'!S410</f>
        <v>0</v>
      </c>
      <c r="E410" s="1086"/>
      <c r="F410" s="1087"/>
      <c r="G410" s="1087" t="e">
        <f>LOOKUP(A410,'ETAT-PAY-PERM'!A:A,'ETAT-PAY-PERM'!J:J)</f>
        <v>#N/A</v>
      </c>
      <c r="H410" s="1094" t="e">
        <f t="shared" si="33"/>
        <v>#N/A</v>
      </c>
      <c r="I410" s="1094" t="e">
        <f t="shared" si="34"/>
        <v>#N/A</v>
      </c>
      <c r="P410" s="688">
        <f>LOOKUP(J410,'ETAT-PAY-PERM'!J:J,'ETAT-PAY-PERM'!S:S)</f>
        <v>0</v>
      </c>
      <c r="Q410" s="1095">
        <f t="shared" si="35"/>
        <v>0</v>
      </c>
      <c r="R410" s="1095" t="str">
        <f t="shared" si="36"/>
        <v/>
      </c>
    </row>
    <row r="411" spans="1:18" ht="18.75" thickBot="1">
      <c r="A411" s="1085">
        <f>'Base-D'!A411</f>
        <v>410</v>
      </c>
      <c r="B411" s="1085">
        <f>'Base-D'!AX411</f>
        <v>0</v>
      </c>
      <c r="C411" s="1085" t="e">
        <f>LOOKUP(A411,'Base-D'!A:A,'Base-D'!BP:BP)</f>
        <v>#N/A</v>
      </c>
      <c r="D411" s="1085">
        <f>'Base-D'!S411</f>
        <v>0</v>
      </c>
      <c r="E411" s="1086"/>
      <c r="F411" s="1087"/>
      <c r="G411" s="1087" t="e">
        <f>LOOKUP(A411,'ETAT-PAY-PERM'!A:A,'ETAT-PAY-PERM'!J:J)</f>
        <v>#N/A</v>
      </c>
      <c r="H411" s="1094" t="e">
        <f t="shared" si="33"/>
        <v>#N/A</v>
      </c>
      <c r="I411" s="1094" t="e">
        <f t="shared" si="34"/>
        <v>#N/A</v>
      </c>
      <c r="P411" s="688">
        <f>LOOKUP(J411,'ETAT-PAY-PERM'!J:J,'ETAT-PAY-PERM'!S:S)</f>
        <v>0</v>
      </c>
      <c r="Q411" s="1095">
        <f t="shared" si="35"/>
        <v>0</v>
      </c>
      <c r="R411" s="1095" t="str">
        <f t="shared" si="36"/>
        <v/>
      </c>
    </row>
    <row r="412" spans="1:18" ht="18.75" thickBot="1">
      <c r="A412" s="1085">
        <f>'Base-D'!A412</f>
        <v>411</v>
      </c>
      <c r="B412" s="1085">
        <f>'Base-D'!AX412</f>
        <v>0</v>
      </c>
      <c r="C412" s="1085" t="e">
        <f>LOOKUP(A412,'Base-D'!A:A,'Base-D'!BP:BP)</f>
        <v>#N/A</v>
      </c>
      <c r="D412" s="1085">
        <f>'Base-D'!S412</f>
        <v>0</v>
      </c>
      <c r="E412" s="1086"/>
      <c r="F412" s="1087"/>
      <c r="G412" s="1087" t="e">
        <f>LOOKUP(A412,'ETAT-PAY-PERM'!A:A,'ETAT-PAY-PERM'!J:J)</f>
        <v>#N/A</v>
      </c>
      <c r="H412" s="1094" t="e">
        <f t="shared" si="33"/>
        <v>#N/A</v>
      </c>
      <c r="I412" s="1094" t="e">
        <f t="shared" si="34"/>
        <v>#N/A</v>
      </c>
      <c r="P412" s="688">
        <f>LOOKUP(J412,'ETAT-PAY-PERM'!J:J,'ETAT-PAY-PERM'!S:S)</f>
        <v>0</v>
      </c>
      <c r="Q412" s="1095">
        <f t="shared" si="35"/>
        <v>0</v>
      </c>
      <c r="R412" s="1095" t="str">
        <f t="shared" si="36"/>
        <v/>
      </c>
    </row>
    <row r="413" spans="1:18" ht="18.75" thickBot="1">
      <c r="A413" s="1085">
        <f>'Base-D'!A413</f>
        <v>412</v>
      </c>
      <c r="B413" s="1085">
        <f>'Base-D'!AX413</f>
        <v>0</v>
      </c>
      <c r="C413" s="1085" t="e">
        <f>LOOKUP(A413,'Base-D'!A:A,'Base-D'!BP:BP)</f>
        <v>#N/A</v>
      </c>
      <c r="D413" s="1085">
        <f>'Base-D'!S413</f>
        <v>0</v>
      </c>
      <c r="E413" s="1086"/>
      <c r="F413" s="1087"/>
      <c r="G413" s="1087" t="e">
        <f>LOOKUP(A413,'ETAT-PAY-PERM'!A:A,'ETAT-PAY-PERM'!J:J)</f>
        <v>#N/A</v>
      </c>
      <c r="H413" s="1094" t="e">
        <f t="shared" si="33"/>
        <v>#N/A</v>
      </c>
      <c r="I413" s="1094" t="e">
        <f t="shared" si="34"/>
        <v>#N/A</v>
      </c>
      <c r="P413" s="688">
        <f>LOOKUP(J413,'ETAT-PAY-PERM'!J:J,'ETAT-PAY-PERM'!S:S)</f>
        <v>0</v>
      </c>
      <c r="Q413" s="1095">
        <f t="shared" si="35"/>
        <v>0</v>
      </c>
      <c r="R413" s="1095" t="str">
        <f t="shared" si="36"/>
        <v/>
      </c>
    </row>
    <row r="414" spans="1:18" ht="18.75" thickBot="1">
      <c r="A414" s="1085">
        <f>'Base-D'!A414</f>
        <v>413</v>
      </c>
      <c r="B414" s="1085">
        <f>'Base-D'!AX414</f>
        <v>0</v>
      </c>
      <c r="C414" s="1085" t="e">
        <f>LOOKUP(A414,'Base-D'!A:A,'Base-D'!BP:BP)</f>
        <v>#N/A</v>
      </c>
      <c r="D414" s="1085">
        <f>'Base-D'!S414</f>
        <v>0</v>
      </c>
      <c r="E414" s="1086"/>
      <c r="F414" s="1087"/>
      <c r="G414" s="1087" t="e">
        <f>LOOKUP(A414,'ETAT-PAY-PERM'!A:A,'ETAT-PAY-PERM'!J:J)</f>
        <v>#N/A</v>
      </c>
      <c r="H414" s="1094" t="e">
        <f t="shared" si="33"/>
        <v>#N/A</v>
      </c>
      <c r="I414" s="1094" t="e">
        <f t="shared" si="34"/>
        <v>#N/A</v>
      </c>
      <c r="P414" s="688">
        <f>LOOKUP(J414,'ETAT-PAY-PERM'!J:J,'ETAT-PAY-PERM'!S:S)</f>
        <v>0</v>
      </c>
      <c r="Q414" s="1095">
        <f t="shared" si="35"/>
        <v>0</v>
      </c>
      <c r="R414" s="1095" t="str">
        <f t="shared" si="36"/>
        <v/>
      </c>
    </row>
    <row r="415" spans="1:18" ht="18.75" thickBot="1">
      <c r="A415" s="1085">
        <f>'Base-D'!A415</f>
        <v>414</v>
      </c>
      <c r="B415" s="1085">
        <f>'Base-D'!AX415</f>
        <v>0</v>
      </c>
      <c r="C415" s="1085" t="e">
        <f>LOOKUP(A415,'Base-D'!A:A,'Base-D'!BP:BP)</f>
        <v>#N/A</v>
      </c>
      <c r="D415" s="1085">
        <f>'Base-D'!S415</f>
        <v>0</v>
      </c>
      <c r="E415" s="1086"/>
      <c r="F415" s="1087"/>
      <c r="G415" s="1087" t="e">
        <f>LOOKUP(A415,'ETAT-PAY-PERM'!A:A,'ETAT-PAY-PERM'!J:J)</f>
        <v>#N/A</v>
      </c>
      <c r="H415" s="1094" t="e">
        <f t="shared" si="33"/>
        <v>#N/A</v>
      </c>
      <c r="I415" s="1094" t="e">
        <f t="shared" si="34"/>
        <v>#N/A</v>
      </c>
      <c r="P415" s="688">
        <f>LOOKUP(J415,'ETAT-PAY-PERM'!J:J,'ETAT-PAY-PERM'!S:S)</f>
        <v>0</v>
      </c>
      <c r="Q415" s="1095">
        <f t="shared" si="35"/>
        <v>0</v>
      </c>
      <c r="R415" s="1095" t="str">
        <f t="shared" si="36"/>
        <v/>
      </c>
    </row>
    <row r="416" spans="1:18" ht="18.75" thickBot="1">
      <c r="A416" s="1085">
        <f>'Base-D'!A416</f>
        <v>415</v>
      </c>
      <c r="B416" s="1085">
        <f>'Base-D'!AX416</f>
        <v>0</v>
      </c>
      <c r="C416" s="1085" t="e">
        <f>LOOKUP(A416,'Base-D'!A:A,'Base-D'!BP:BP)</f>
        <v>#N/A</v>
      </c>
      <c r="D416" s="1085">
        <f>'Base-D'!S416</f>
        <v>0</v>
      </c>
      <c r="E416" s="1086"/>
      <c r="F416" s="1087"/>
      <c r="G416" s="1087" t="e">
        <f>LOOKUP(A416,'ETAT-PAY-PERM'!A:A,'ETAT-PAY-PERM'!J:J)</f>
        <v>#N/A</v>
      </c>
      <c r="H416" s="1094" t="e">
        <f t="shared" si="33"/>
        <v>#N/A</v>
      </c>
      <c r="I416" s="1094" t="e">
        <f t="shared" si="34"/>
        <v>#N/A</v>
      </c>
      <c r="P416" s="688">
        <f>LOOKUP(J416,'ETAT-PAY-PERM'!J:J,'ETAT-PAY-PERM'!S:S)</f>
        <v>0</v>
      </c>
      <c r="Q416" s="1095">
        <f t="shared" si="35"/>
        <v>0</v>
      </c>
      <c r="R416" s="1095" t="str">
        <f t="shared" si="36"/>
        <v/>
      </c>
    </row>
    <row r="417" spans="1:18" ht="18.75" thickBot="1">
      <c r="A417" s="1085">
        <f>'Base-D'!A417</f>
        <v>416</v>
      </c>
      <c r="B417" s="1085">
        <f>'Base-D'!AX417</f>
        <v>0</v>
      </c>
      <c r="C417" s="1085" t="e">
        <f>LOOKUP(A417,'Base-D'!A:A,'Base-D'!BP:BP)</f>
        <v>#N/A</v>
      </c>
      <c r="D417" s="1085">
        <f>'Base-D'!S417</f>
        <v>0</v>
      </c>
      <c r="E417" s="1086"/>
      <c r="F417" s="1087"/>
      <c r="G417" s="1087" t="e">
        <f>LOOKUP(A417,'ETAT-PAY-PERM'!A:A,'ETAT-PAY-PERM'!J:J)</f>
        <v>#N/A</v>
      </c>
      <c r="H417" s="1094" t="e">
        <f t="shared" si="33"/>
        <v>#N/A</v>
      </c>
      <c r="I417" s="1094" t="e">
        <f t="shared" si="34"/>
        <v>#N/A</v>
      </c>
      <c r="P417" s="688">
        <f>LOOKUP(J417,'ETAT-PAY-PERM'!J:J,'ETAT-PAY-PERM'!S:S)</f>
        <v>0</v>
      </c>
      <c r="Q417" s="1095">
        <f t="shared" si="35"/>
        <v>0</v>
      </c>
      <c r="R417" s="1095" t="str">
        <f t="shared" si="36"/>
        <v/>
      </c>
    </row>
    <row r="418" spans="1:18" ht="18.75" thickBot="1">
      <c r="A418" s="1085">
        <f>'Base-D'!A418</f>
        <v>417</v>
      </c>
      <c r="B418" s="1085">
        <f>'Base-D'!AX418</f>
        <v>0</v>
      </c>
      <c r="C418" s="1085" t="e">
        <f>LOOKUP(A418,'Base-D'!A:A,'Base-D'!BP:BP)</f>
        <v>#N/A</v>
      </c>
      <c r="D418" s="1085">
        <f>'Base-D'!S418</f>
        <v>0</v>
      </c>
      <c r="E418" s="1086"/>
      <c r="F418" s="1087"/>
      <c r="G418" s="1087" t="e">
        <f>LOOKUP(A418,'ETAT-PAY-PERM'!A:A,'ETAT-PAY-PERM'!J:J)</f>
        <v>#N/A</v>
      </c>
      <c r="H418" s="1094" t="e">
        <f t="shared" si="33"/>
        <v>#N/A</v>
      </c>
      <c r="I418" s="1094" t="e">
        <f t="shared" si="34"/>
        <v>#N/A</v>
      </c>
      <c r="P418" s="688">
        <f>LOOKUP(J418,'ETAT-PAY-PERM'!J:J,'ETAT-PAY-PERM'!S:S)</f>
        <v>0</v>
      </c>
      <c r="Q418" s="1095">
        <f t="shared" si="35"/>
        <v>0</v>
      </c>
      <c r="R418" s="1095" t="str">
        <f t="shared" si="36"/>
        <v/>
      </c>
    </row>
    <row r="419" spans="1:18" ht="18.75" thickBot="1">
      <c r="A419" s="1085">
        <f>'Base-D'!A419</f>
        <v>418</v>
      </c>
      <c r="B419" s="1085">
        <f>'Base-D'!AX419</f>
        <v>0</v>
      </c>
      <c r="C419" s="1085" t="e">
        <f>LOOKUP(A419,'Base-D'!A:A,'Base-D'!BP:BP)</f>
        <v>#N/A</v>
      </c>
      <c r="D419" s="1085">
        <f>'Base-D'!S419</f>
        <v>0</v>
      </c>
      <c r="E419" s="1086"/>
      <c r="F419" s="1087"/>
      <c r="G419" s="1087" t="e">
        <f>LOOKUP(A419,'ETAT-PAY-PERM'!A:A,'ETAT-PAY-PERM'!J:J)</f>
        <v>#N/A</v>
      </c>
      <c r="H419" s="1094" t="e">
        <f t="shared" si="33"/>
        <v>#N/A</v>
      </c>
      <c r="I419" s="1094" t="e">
        <f t="shared" si="34"/>
        <v>#N/A</v>
      </c>
      <c r="P419" s="688">
        <f>LOOKUP(J419,'ETAT-PAY-PERM'!J:J,'ETAT-PAY-PERM'!S:S)</f>
        <v>0</v>
      </c>
      <c r="Q419" s="1095">
        <f t="shared" si="35"/>
        <v>0</v>
      </c>
      <c r="R419" s="1095" t="str">
        <f t="shared" si="36"/>
        <v/>
      </c>
    </row>
    <row r="420" spans="1:18" ht="18.75" thickBot="1">
      <c r="A420" s="1085">
        <f>'Base-D'!A420</f>
        <v>419</v>
      </c>
      <c r="B420" s="1085">
        <f>'Base-D'!AX420</f>
        <v>0</v>
      </c>
      <c r="C420" s="1085" t="e">
        <f>LOOKUP(A420,'Base-D'!A:A,'Base-D'!BP:BP)</f>
        <v>#N/A</v>
      </c>
      <c r="D420" s="1085">
        <f>'Base-D'!S420</f>
        <v>0</v>
      </c>
      <c r="E420" s="1086"/>
      <c r="F420" s="1087"/>
      <c r="G420" s="1087" t="e">
        <f>LOOKUP(A420,'ETAT-PAY-PERM'!A:A,'ETAT-PAY-PERM'!J:J)</f>
        <v>#N/A</v>
      </c>
      <c r="H420" s="1094" t="e">
        <f t="shared" si="33"/>
        <v>#N/A</v>
      </c>
      <c r="I420" s="1094" t="e">
        <f t="shared" si="34"/>
        <v>#N/A</v>
      </c>
      <c r="P420" s="688">
        <f>LOOKUP(J420,'ETAT-PAY-PERM'!J:J,'ETAT-PAY-PERM'!S:S)</f>
        <v>0</v>
      </c>
      <c r="Q420" s="1095">
        <f t="shared" si="35"/>
        <v>0</v>
      </c>
      <c r="R420" s="1095" t="str">
        <f t="shared" si="36"/>
        <v/>
      </c>
    </row>
    <row r="421" spans="1:18" ht="18.75" thickBot="1">
      <c r="A421" s="1085">
        <f>'Base-D'!A421</f>
        <v>420</v>
      </c>
      <c r="B421" s="1085">
        <f>'Base-D'!AX421</f>
        <v>0</v>
      </c>
      <c r="C421" s="1085" t="e">
        <f>LOOKUP(A421,'Base-D'!A:A,'Base-D'!BP:BP)</f>
        <v>#N/A</v>
      </c>
      <c r="D421" s="1085">
        <f>'Base-D'!S421</f>
        <v>0</v>
      </c>
      <c r="E421" s="1086"/>
      <c r="F421" s="1087"/>
      <c r="G421" s="1087" t="e">
        <f>LOOKUP(A421,'ETAT-PAY-PERM'!A:A,'ETAT-PAY-PERM'!J:J)</f>
        <v>#N/A</v>
      </c>
      <c r="H421" s="1094" t="e">
        <f t="shared" si="33"/>
        <v>#N/A</v>
      </c>
      <c r="I421" s="1094" t="e">
        <f t="shared" si="34"/>
        <v>#N/A</v>
      </c>
      <c r="P421" s="688">
        <f>LOOKUP(J421,'ETAT-PAY-PERM'!J:J,'ETAT-PAY-PERM'!S:S)</f>
        <v>0</v>
      </c>
      <c r="Q421" s="1095">
        <f t="shared" si="35"/>
        <v>0</v>
      </c>
      <c r="R421" s="1095" t="str">
        <f t="shared" si="36"/>
        <v/>
      </c>
    </row>
    <row r="422" spans="1:18" ht="18.75" thickBot="1">
      <c r="A422" s="1085">
        <f>'Base-D'!A422</f>
        <v>421</v>
      </c>
      <c r="B422" s="1085">
        <f>'Base-D'!AX422</f>
        <v>0</v>
      </c>
      <c r="C422" s="1085" t="e">
        <f>LOOKUP(A422,'Base-D'!A:A,'Base-D'!BP:BP)</f>
        <v>#N/A</v>
      </c>
      <c r="D422" s="1085">
        <f>'Base-D'!S422</f>
        <v>0</v>
      </c>
      <c r="E422" s="1086"/>
      <c r="F422" s="1087"/>
      <c r="G422" s="1087" t="e">
        <f>LOOKUP(A422,'ETAT-PAY-PERM'!A:A,'ETAT-PAY-PERM'!J:J)</f>
        <v>#N/A</v>
      </c>
      <c r="H422" s="1094" t="e">
        <f t="shared" si="33"/>
        <v>#N/A</v>
      </c>
      <c r="I422" s="1094" t="e">
        <f t="shared" si="34"/>
        <v>#N/A</v>
      </c>
      <c r="P422" s="688">
        <f>LOOKUP(J422,'ETAT-PAY-PERM'!J:J,'ETAT-PAY-PERM'!S:S)</f>
        <v>0</v>
      </c>
      <c r="Q422" s="1095">
        <f t="shared" si="35"/>
        <v>0</v>
      </c>
      <c r="R422" s="1095" t="str">
        <f t="shared" si="36"/>
        <v/>
      </c>
    </row>
    <row r="423" spans="1:18" ht="18.75" thickBot="1">
      <c r="A423" s="1085">
        <f>'Base-D'!A423</f>
        <v>422</v>
      </c>
      <c r="B423" s="1085">
        <f>'Base-D'!AX423</f>
        <v>0</v>
      </c>
      <c r="C423" s="1085" t="e">
        <f>LOOKUP(A423,'Base-D'!A:A,'Base-D'!BP:BP)</f>
        <v>#N/A</v>
      </c>
      <c r="D423" s="1085">
        <f>'Base-D'!S423</f>
        <v>0</v>
      </c>
      <c r="E423" s="1086"/>
      <c r="F423" s="1087"/>
      <c r="G423" s="1087" t="e">
        <f>LOOKUP(A423,'ETAT-PAY-PERM'!A:A,'ETAT-PAY-PERM'!J:J)</f>
        <v>#N/A</v>
      </c>
      <c r="H423" s="1094" t="e">
        <f t="shared" si="33"/>
        <v>#N/A</v>
      </c>
      <c r="I423" s="1094" t="e">
        <f t="shared" si="34"/>
        <v>#N/A</v>
      </c>
      <c r="P423" s="688">
        <f>LOOKUP(J423,'ETAT-PAY-PERM'!J:J,'ETAT-PAY-PERM'!S:S)</f>
        <v>0</v>
      </c>
      <c r="Q423" s="1095">
        <f t="shared" si="35"/>
        <v>0</v>
      </c>
      <c r="R423" s="1095" t="str">
        <f t="shared" si="36"/>
        <v/>
      </c>
    </row>
    <row r="424" spans="1:18" ht="18.75" thickBot="1">
      <c r="A424" s="1085">
        <f>'Base-D'!A424</f>
        <v>423</v>
      </c>
      <c r="B424" s="1085">
        <f>'Base-D'!AX424</f>
        <v>0</v>
      </c>
      <c r="C424" s="1085" t="e">
        <f>LOOKUP(A424,'Base-D'!A:A,'Base-D'!BP:BP)</f>
        <v>#N/A</v>
      </c>
      <c r="D424" s="1085">
        <f>'Base-D'!S424</f>
        <v>0</v>
      </c>
      <c r="E424" s="1086"/>
      <c r="F424" s="1087"/>
      <c r="G424" s="1087" t="e">
        <f>LOOKUP(A424,'ETAT-PAY-PERM'!A:A,'ETAT-PAY-PERM'!J:J)</f>
        <v>#N/A</v>
      </c>
      <c r="H424" s="1094" t="e">
        <f t="shared" si="33"/>
        <v>#N/A</v>
      </c>
      <c r="I424" s="1094" t="e">
        <f t="shared" si="34"/>
        <v>#N/A</v>
      </c>
      <c r="P424" s="688">
        <f>LOOKUP(J424,'ETAT-PAY-PERM'!J:J,'ETAT-PAY-PERM'!S:S)</f>
        <v>0</v>
      </c>
      <c r="Q424" s="1095">
        <f t="shared" si="35"/>
        <v>0</v>
      </c>
      <c r="R424" s="1095" t="str">
        <f t="shared" si="36"/>
        <v/>
      </c>
    </row>
    <row r="425" spans="1:18" ht="18.75" thickBot="1">
      <c r="A425" s="1085">
        <f>'Base-D'!A425</f>
        <v>424</v>
      </c>
      <c r="B425" s="1085">
        <f>'Base-D'!AX425</f>
        <v>0</v>
      </c>
      <c r="C425" s="1085" t="e">
        <f>LOOKUP(A425,'Base-D'!A:A,'Base-D'!BP:BP)</f>
        <v>#N/A</v>
      </c>
      <c r="D425" s="1085">
        <f>'Base-D'!S425</f>
        <v>0</v>
      </c>
      <c r="E425" s="1086"/>
      <c r="F425" s="1087"/>
      <c r="G425" s="1087" t="e">
        <f>LOOKUP(A425,'ETAT-PAY-PERM'!A:A,'ETAT-PAY-PERM'!J:J)</f>
        <v>#N/A</v>
      </c>
      <c r="H425" s="1094" t="e">
        <f t="shared" si="33"/>
        <v>#N/A</v>
      </c>
      <c r="I425" s="1094" t="e">
        <f t="shared" si="34"/>
        <v>#N/A</v>
      </c>
      <c r="P425" s="688">
        <f>LOOKUP(J425,'ETAT-PAY-PERM'!J:J,'ETAT-PAY-PERM'!S:S)</f>
        <v>0</v>
      </c>
      <c r="Q425" s="1095">
        <f t="shared" si="35"/>
        <v>0</v>
      </c>
      <c r="R425" s="1095" t="str">
        <f t="shared" si="36"/>
        <v/>
      </c>
    </row>
    <row r="426" spans="1:18" ht="18.75" thickBot="1">
      <c r="A426" s="1085">
        <f>'Base-D'!A426</f>
        <v>425</v>
      </c>
      <c r="B426" s="1085">
        <f>'Base-D'!AX426</f>
        <v>0</v>
      </c>
      <c r="C426" s="1085" t="e">
        <f>LOOKUP(A426,'Base-D'!A:A,'Base-D'!BP:BP)</f>
        <v>#N/A</v>
      </c>
      <c r="D426" s="1085">
        <f>'Base-D'!S426</f>
        <v>0</v>
      </c>
      <c r="E426" s="1086"/>
      <c r="F426" s="1087"/>
      <c r="G426" s="1087" t="e">
        <f>LOOKUP(A426,'ETAT-PAY-PERM'!A:A,'ETAT-PAY-PERM'!J:J)</f>
        <v>#N/A</v>
      </c>
      <c r="H426" s="1094" t="e">
        <f t="shared" si="33"/>
        <v>#N/A</v>
      </c>
      <c r="I426" s="1094" t="e">
        <f t="shared" si="34"/>
        <v>#N/A</v>
      </c>
      <c r="P426" s="688">
        <f>LOOKUP(J426,'ETAT-PAY-PERM'!J:J,'ETAT-PAY-PERM'!S:S)</f>
        <v>0</v>
      </c>
      <c r="Q426" s="1095">
        <f t="shared" si="35"/>
        <v>0</v>
      </c>
      <c r="R426" s="1095" t="str">
        <f t="shared" si="36"/>
        <v/>
      </c>
    </row>
    <row r="427" spans="1:18" ht="18.75" thickBot="1">
      <c r="A427" s="1085">
        <f>'Base-D'!A427</f>
        <v>426</v>
      </c>
      <c r="B427" s="1085">
        <f>'Base-D'!AX427</f>
        <v>0</v>
      </c>
      <c r="C427" s="1085" t="e">
        <f>LOOKUP(A427,'Base-D'!A:A,'Base-D'!BP:BP)</f>
        <v>#N/A</v>
      </c>
      <c r="D427" s="1085">
        <f>'Base-D'!S427</f>
        <v>0</v>
      </c>
      <c r="E427" s="1086"/>
      <c r="F427" s="1087"/>
      <c r="G427" s="1087" t="e">
        <f>LOOKUP(A427,'ETAT-PAY-PERM'!A:A,'ETAT-PAY-PERM'!J:J)</f>
        <v>#N/A</v>
      </c>
      <c r="H427" s="1094" t="e">
        <f t="shared" si="33"/>
        <v>#N/A</v>
      </c>
      <c r="I427" s="1094" t="e">
        <f t="shared" si="34"/>
        <v>#N/A</v>
      </c>
      <c r="P427" s="688">
        <f>LOOKUP(J427,'ETAT-PAY-PERM'!J:J,'ETAT-PAY-PERM'!S:S)</f>
        <v>0</v>
      </c>
      <c r="Q427" s="1095">
        <f t="shared" si="35"/>
        <v>0</v>
      </c>
      <c r="R427" s="1095" t="str">
        <f t="shared" si="36"/>
        <v/>
      </c>
    </row>
    <row r="428" spans="1:18" ht="18.75" thickBot="1">
      <c r="A428" s="1085">
        <f>'Base-D'!A428</f>
        <v>427</v>
      </c>
      <c r="B428" s="1085">
        <f>'Base-D'!AX428</f>
        <v>0</v>
      </c>
      <c r="C428" s="1085" t="e">
        <f>LOOKUP(A428,'Base-D'!A:A,'Base-D'!BP:BP)</f>
        <v>#N/A</v>
      </c>
      <c r="D428" s="1085">
        <f>'Base-D'!S428</f>
        <v>0</v>
      </c>
      <c r="E428" s="1086"/>
      <c r="F428" s="1087"/>
      <c r="G428" s="1087" t="e">
        <f>LOOKUP(A428,'ETAT-PAY-PERM'!A:A,'ETAT-PAY-PERM'!J:J)</f>
        <v>#N/A</v>
      </c>
      <c r="H428" s="1094" t="e">
        <f t="shared" si="33"/>
        <v>#N/A</v>
      </c>
      <c r="I428" s="1094" t="e">
        <f t="shared" si="34"/>
        <v>#N/A</v>
      </c>
      <c r="P428" s="688">
        <f>LOOKUP(J428,'ETAT-PAY-PERM'!J:J,'ETAT-PAY-PERM'!S:S)</f>
        <v>0</v>
      </c>
      <c r="Q428" s="1095">
        <f t="shared" si="35"/>
        <v>0</v>
      </c>
      <c r="R428" s="1095" t="str">
        <f t="shared" si="36"/>
        <v/>
      </c>
    </row>
    <row r="429" spans="1:18" ht="18.75" thickBot="1">
      <c r="A429" s="1085">
        <f>'Base-D'!A429</f>
        <v>428</v>
      </c>
      <c r="B429" s="1085">
        <f>'Base-D'!AX429</f>
        <v>0</v>
      </c>
      <c r="C429" s="1085" t="e">
        <f>LOOKUP(A429,'Base-D'!A:A,'Base-D'!BP:BP)</f>
        <v>#N/A</v>
      </c>
      <c r="D429" s="1085">
        <f>'Base-D'!S429</f>
        <v>0</v>
      </c>
      <c r="E429" s="1086"/>
      <c r="F429" s="1087"/>
      <c r="G429" s="1087" t="e">
        <f>LOOKUP(A429,'ETAT-PAY-PERM'!A:A,'ETAT-PAY-PERM'!J:J)</f>
        <v>#N/A</v>
      </c>
      <c r="H429" s="1094" t="e">
        <f t="shared" si="33"/>
        <v>#N/A</v>
      </c>
      <c r="I429" s="1094" t="e">
        <f t="shared" si="34"/>
        <v>#N/A</v>
      </c>
      <c r="P429" s="688">
        <f>LOOKUP(J429,'ETAT-PAY-PERM'!J:J,'ETAT-PAY-PERM'!S:S)</f>
        <v>0</v>
      </c>
      <c r="Q429" s="1095">
        <f t="shared" si="35"/>
        <v>0</v>
      </c>
      <c r="R429" s="1095" t="str">
        <f t="shared" si="36"/>
        <v/>
      </c>
    </row>
    <row r="430" spans="1:18" ht="18.75" thickBot="1">
      <c r="A430" s="1085">
        <f>'Base-D'!A430</f>
        <v>429</v>
      </c>
      <c r="B430" s="1085">
        <f>'Base-D'!AX430</f>
        <v>0</v>
      </c>
      <c r="C430" s="1085" t="e">
        <f>LOOKUP(A430,'Base-D'!A:A,'Base-D'!BP:BP)</f>
        <v>#N/A</v>
      </c>
      <c r="D430" s="1085">
        <f>'Base-D'!S430</f>
        <v>0</v>
      </c>
      <c r="E430" s="1086"/>
      <c r="F430" s="1087"/>
      <c r="G430" s="1087" t="e">
        <f>LOOKUP(A430,'ETAT-PAY-PERM'!A:A,'ETAT-PAY-PERM'!J:J)</f>
        <v>#N/A</v>
      </c>
      <c r="H430" s="1094" t="e">
        <f t="shared" si="33"/>
        <v>#N/A</v>
      </c>
      <c r="I430" s="1094" t="e">
        <f t="shared" si="34"/>
        <v>#N/A</v>
      </c>
      <c r="P430" s="688">
        <f>LOOKUP(J430,'ETAT-PAY-PERM'!J:J,'ETAT-PAY-PERM'!S:S)</f>
        <v>0</v>
      </c>
      <c r="Q430" s="1095">
        <f t="shared" si="35"/>
        <v>0</v>
      </c>
      <c r="R430" s="1095" t="str">
        <f t="shared" si="36"/>
        <v/>
      </c>
    </row>
    <row r="431" spans="1:18" ht="18.75" thickBot="1">
      <c r="A431" s="1085">
        <f>'Base-D'!A431</f>
        <v>430</v>
      </c>
      <c r="B431" s="1085">
        <f>'Base-D'!AX431</f>
        <v>0</v>
      </c>
      <c r="C431" s="1085" t="e">
        <f>LOOKUP(A431,'Base-D'!A:A,'Base-D'!BP:BP)</f>
        <v>#N/A</v>
      </c>
      <c r="D431" s="1085">
        <f>'Base-D'!S431</f>
        <v>0</v>
      </c>
      <c r="E431" s="1086"/>
      <c r="F431" s="1087"/>
      <c r="G431" s="1087" t="e">
        <f>LOOKUP(A431,'ETAT-PAY-PERM'!A:A,'ETAT-PAY-PERM'!J:J)</f>
        <v>#N/A</v>
      </c>
      <c r="H431" s="1094" t="e">
        <f t="shared" si="33"/>
        <v>#N/A</v>
      </c>
      <c r="I431" s="1094" t="e">
        <f t="shared" si="34"/>
        <v>#N/A</v>
      </c>
      <c r="P431" s="688">
        <f>LOOKUP(J431,'ETAT-PAY-PERM'!J:J,'ETAT-PAY-PERM'!S:S)</f>
        <v>0</v>
      </c>
      <c r="Q431" s="1095">
        <f t="shared" si="35"/>
        <v>0</v>
      </c>
      <c r="R431" s="1095" t="str">
        <f t="shared" si="36"/>
        <v/>
      </c>
    </row>
    <row r="432" spans="1:18" ht="18.75" thickBot="1">
      <c r="A432" s="1085">
        <f>'Base-D'!A432</f>
        <v>431</v>
      </c>
      <c r="B432" s="1085">
        <f>'Base-D'!AX432</f>
        <v>0</v>
      </c>
      <c r="C432" s="1085" t="e">
        <f>LOOKUP(A432,'Base-D'!A:A,'Base-D'!BP:BP)</f>
        <v>#N/A</v>
      </c>
      <c r="D432" s="1085">
        <f>'Base-D'!S432</f>
        <v>0</v>
      </c>
      <c r="E432" s="1086"/>
      <c r="F432" s="1087"/>
      <c r="G432" s="1087" t="e">
        <f>LOOKUP(A432,'ETAT-PAY-PERM'!A:A,'ETAT-PAY-PERM'!J:J)</f>
        <v>#N/A</v>
      </c>
      <c r="H432" s="1094" t="e">
        <f t="shared" si="33"/>
        <v>#N/A</v>
      </c>
      <c r="I432" s="1094" t="e">
        <f t="shared" si="34"/>
        <v>#N/A</v>
      </c>
      <c r="P432" s="688">
        <f>LOOKUP(J432,'ETAT-PAY-PERM'!J:J,'ETAT-PAY-PERM'!S:S)</f>
        <v>0</v>
      </c>
      <c r="Q432" s="1095">
        <f t="shared" si="35"/>
        <v>0</v>
      </c>
      <c r="R432" s="1095" t="str">
        <f t="shared" si="36"/>
        <v/>
      </c>
    </row>
    <row r="433" spans="1:18" ht="18.75" thickBot="1">
      <c r="A433" s="1085">
        <f>'Base-D'!A433</f>
        <v>432</v>
      </c>
      <c r="B433" s="1085">
        <f>'Base-D'!AX433</f>
        <v>0</v>
      </c>
      <c r="C433" s="1085" t="e">
        <f>LOOKUP(A433,'Base-D'!A:A,'Base-D'!BP:BP)</f>
        <v>#N/A</v>
      </c>
      <c r="D433" s="1085">
        <f>'Base-D'!S433</f>
        <v>0</v>
      </c>
      <c r="E433" s="1086"/>
      <c r="F433" s="1087"/>
      <c r="G433" s="1087" t="e">
        <f>LOOKUP(A433,'ETAT-PAY-PERM'!A:A,'ETAT-PAY-PERM'!J:J)</f>
        <v>#N/A</v>
      </c>
      <c r="H433" s="1094" t="e">
        <f t="shared" si="33"/>
        <v>#N/A</v>
      </c>
      <c r="I433" s="1094" t="e">
        <f t="shared" si="34"/>
        <v>#N/A</v>
      </c>
      <c r="P433" s="688">
        <f>LOOKUP(J433,'ETAT-PAY-PERM'!J:J,'ETAT-PAY-PERM'!S:S)</f>
        <v>0</v>
      </c>
      <c r="Q433" s="1095">
        <f t="shared" si="35"/>
        <v>0</v>
      </c>
      <c r="R433" s="1095" t="str">
        <f t="shared" si="36"/>
        <v/>
      </c>
    </row>
    <row r="434" spans="1:18" ht="18.75" thickBot="1">
      <c r="A434" s="1085">
        <f>'Base-D'!A434</f>
        <v>433</v>
      </c>
      <c r="B434" s="1085">
        <f>'Base-D'!AX434</f>
        <v>0</v>
      </c>
      <c r="C434" s="1085" t="e">
        <f>LOOKUP(A434,'Base-D'!A:A,'Base-D'!BP:BP)</f>
        <v>#N/A</v>
      </c>
      <c r="D434" s="1085">
        <f>'Base-D'!S434</f>
        <v>0</v>
      </c>
      <c r="E434" s="1086"/>
      <c r="F434" s="1087"/>
      <c r="G434" s="1087" t="e">
        <f>LOOKUP(A434,'ETAT-PAY-PERM'!A:A,'ETAT-PAY-PERM'!J:J)</f>
        <v>#N/A</v>
      </c>
      <c r="H434" s="1094" t="e">
        <f t="shared" si="33"/>
        <v>#N/A</v>
      </c>
      <c r="I434" s="1094" t="e">
        <f t="shared" si="34"/>
        <v>#N/A</v>
      </c>
      <c r="P434" s="688">
        <f>LOOKUP(J434,'ETAT-PAY-PERM'!J:J,'ETAT-PAY-PERM'!S:S)</f>
        <v>0</v>
      </c>
      <c r="Q434" s="1095">
        <f t="shared" si="35"/>
        <v>0</v>
      </c>
      <c r="R434" s="1095" t="str">
        <f t="shared" si="36"/>
        <v/>
      </c>
    </row>
    <row r="435" spans="1:18" ht="18.75" thickBot="1">
      <c r="A435" s="1085">
        <f>'Base-D'!A435</f>
        <v>434</v>
      </c>
      <c r="B435" s="1085">
        <f>'Base-D'!AX435</f>
        <v>0</v>
      </c>
      <c r="C435" s="1085" t="e">
        <f>LOOKUP(A435,'Base-D'!A:A,'Base-D'!BP:BP)</f>
        <v>#N/A</v>
      </c>
      <c r="D435" s="1085">
        <f>'Base-D'!S435</f>
        <v>0</v>
      </c>
      <c r="E435" s="1086"/>
      <c r="F435" s="1087"/>
      <c r="G435" s="1087" t="e">
        <f>LOOKUP(A435,'ETAT-PAY-PERM'!A:A,'ETAT-PAY-PERM'!J:J)</f>
        <v>#N/A</v>
      </c>
      <c r="H435" s="1094" t="e">
        <f t="shared" si="33"/>
        <v>#N/A</v>
      </c>
      <c r="I435" s="1094" t="e">
        <f t="shared" si="34"/>
        <v>#N/A</v>
      </c>
      <c r="P435" s="688">
        <f>LOOKUP(J435,'ETAT-PAY-PERM'!J:J,'ETAT-PAY-PERM'!S:S)</f>
        <v>0</v>
      </c>
      <c r="Q435" s="1095">
        <f t="shared" si="35"/>
        <v>0</v>
      </c>
      <c r="R435" s="1095" t="str">
        <f t="shared" si="36"/>
        <v/>
      </c>
    </row>
    <row r="436" spans="1:18" ht="18.75" thickBot="1">
      <c r="A436" s="1085">
        <f>'Base-D'!A436</f>
        <v>435</v>
      </c>
      <c r="B436" s="1085">
        <f>'Base-D'!AX436</f>
        <v>0</v>
      </c>
      <c r="C436" s="1085" t="e">
        <f>LOOKUP(A436,'Base-D'!A:A,'Base-D'!BP:BP)</f>
        <v>#N/A</v>
      </c>
      <c r="D436" s="1085">
        <f>'Base-D'!S436</f>
        <v>0</v>
      </c>
      <c r="E436" s="1086"/>
      <c r="F436" s="1087"/>
      <c r="G436" s="1087" t="e">
        <f>LOOKUP(A436,'ETAT-PAY-PERM'!A:A,'ETAT-PAY-PERM'!J:J)</f>
        <v>#N/A</v>
      </c>
      <c r="H436" s="1094" t="e">
        <f t="shared" si="33"/>
        <v>#N/A</v>
      </c>
      <c r="I436" s="1094" t="e">
        <f t="shared" si="34"/>
        <v>#N/A</v>
      </c>
      <c r="P436" s="688">
        <f>LOOKUP(J436,'ETAT-PAY-PERM'!J:J,'ETAT-PAY-PERM'!S:S)</f>
        <v>0</v>
      </c>
      <c r="Q436" s="1095">
        <f t="shared" si="35"/>
        <v>0</v>
      </c>
      <c r="R436" s="1095" t="str">
        <f t="shared" si="36"/>
        <v/>
      </c>
    </row>
    <row r="437" spans="1:18" ht="18.75" thickBot="1">
      <c r="A437" s="1085">
        <f>'Base-D'!A437</f>
        <v>436</v>
      </c>
      <c r="B437" s="1085">
        <f>'Base-D'!AX437</f>
        <v>0</v>
      </c>
      <c r="C437" s="1085" t="e">
        <f>LOOKUP(A437,'Base-D'!A:A,'Base-D'!BP:BP)</f>
        <v>#N/A</v>
      </c>
      <c r="D437" s="1085">
        <f>'Base-D'!S437</f>
        <v>0</v>
      </c>
      <c r="E437" s="1086"/>
      <c r="F437" s="1087"/>
      <c r="G437" s="1087" t="e">
        <f>LOOKUP(A437,'ETAT-PAY-PERM'!A:A,'ETAT-PAY-PERM'!J:J)</f>
        <v>#N/A</v>
      </c>
      <c r="H437" s="1094" t="e">
        <f t="shared" si="33"/>
        <v>#N/A</v>
      </c>
      <c r="I437" s="1094" t="e">
        <f t="shared" si="34"/>
        <v>#N/A</v>
      </c>
      <c r="P437" s="688">
        <f>LOOKUP(J437,'ETAT-PAY-PERM'!J:J,'ETAT-PAY-PERM'!S:S)</f>
        <v>0</v>
      </c>
      <c r="Q437" s="1095">
        <f t="shared" si="35"/>
        <v>0</v>
      </c>
      <c r="R437" s="1095" t="str">
        <f t="shared" si="36"/>
        <v/>
      </c>
    </row>
    <row r="438" spans="1:18" ht="18.75" thickBot="1">
      <c r="A438" s="1085">
        <f>'Base-D'!A438</f>
        <v>437</v>
      </c>
      <c r="B438" s="1085">
        <f>'Base-D'!AX438</f>
        <v>0</v>
      </c>
      <c r="C438" s="1085" t="e">
        <f>LOOKUP(A438,'Base-D'!A:A,'Base-D'!BP:BP)</f>
        <v>#N/A</v>
      </c>
      <c r="D438" s="1085">
        <f>'Base-D'!S438</f>
        <v>0</v>
      </c>
      <c r="E438" s="1086"/>
      <c r="F438" s="1087"/>
      <c r="G438" s="1087" t="e">
        <f>LOOKUP(A438,'ETAT-PAY-PERM'!A:A,'ETAT-PAY-PERM'!J:J)</f>
        <v>#N/A</v>
      </c>
      <c r="H438" s="1094" t="e">
        <f t="shared" si="33"/>
        <v>#N/A</v>
      </c>
      <c r="I438" s="1094" t="e">
        <f t="shared" si="34"/>
        <v>#N/A</v>
      </c>
      <c r="P438" s="688">
        <f>LOOKUP(J438,'ETAT-PAY-PERM'!J:J,'ETAT-PAY-PERM'!S:S)</f>
        <v>0</v>
      </c>
      <c r="Q438" s="1095">
        <f t="shared" si="35"/>
        <v>0</v>
      </c>
      <c r="R438" s="1095" t="str">
        <f t="shared" si="36"/>
        <v/>
      </c>
    </row>
    <row r="439" spans="1:18" ht="18.75" thickBot="1">
      <c r="A439" s="1085">
        <f>'Base-D'!A439</f>
        <v>438</v>
      </c>
      <c r="B439" s="1085">
        <f>'Base-D'!AX439</f>
        <v>0</v>
      </c>
      <c r="C439" s="1085" t="e">
        <f>LOOKUP(A439,'Base-D'!A:A,'Base-D'!BP:BP)</f>
        <v>#N/A</v>
      </c>
      <c r="D439" s="1085">
        <f>'Base-D'!S439</f>
        <v>0</v>
      </c>
      <c r="E439" s="1086"/>
      <c r="F439" s="1087"/>
      <c r="G439" s="1087" t="e">
        <f>LOOKUP(A439,'ETAT-PAY-PERM'!A:A,'ETAT-PAY-PERM'!J:J)</f>
        <v>#N/A</v>
      </c>
      <c r="H439" s="1094" t="e">
        <f t="shared" si="33"/>
        <v>#N/A</v>
      </c>
      <c r="I439" s="1094" t="e">
        <f t="shared" si="34"/>
        <v>#N/A</v>
      </c>
      <c r="P439" s="688">
        <f>LOOKUP(J439,'ETAT-PAY-PERM'!J:J,'ETAT-PAY-PERM'!S:S)</f>
        <v>0</v>
      </c>
      <c r="Q439" s="1095">
        <f t="shared" si="35"/>
        <v>0</v>
      </c>
      <c r="R439" s="1095" t="str">
        <f t="shared" si="36"/>
        <v/>
      </c>
    </row>
    <row r="440" spans="1:18" ht="18.75" thickBot="1">
      <c r="A440" s="1085">
        <f>'Base-D'!A440</f>
        <v>439</v>
      </c>
      <c r="B440" s="1085">
        <f>'Base-D'!AX440</f>
        <v>0</v>
      </c>
      <c r="C440" s="1085" t="e">
        <f>LOOKUP(A440,'Base-D'!A:A,'Base-D'!BP:BP)</f>
        <v>#N/A</v>
      </c>
      <c r="D440" s="1085">
        <f>'Base-D'!S440</f>
        <v>0</v>
      </c>
      <c r="E440" s="1086"/>
      <c r="F440" s="1087"/>
      <c r="G440" s="1087" t="e">
        <f>LOOKUP(A440,'ETAT-PAY-PERM'!A:A,'ETAT-PAY-PERM'!J:J)</f>
        <v>#N/A</v>
      </c>
      <c r="H440" s="1094" t="e">
        <f t="shared" si="33"/>
        <v>#N/A</v>
      </c>
      <c r="I440" s="1094" t="e">
        <f t="shared" si="34"/>
        <v>#N/A</v>
      </c>
      <c r="P440" s="688">
        <f>LOOKUP(J440,'ETAT-PAY-PERM'!J:J,'ETAT-PAY-PERM'!S:S)</f>
        <v>0</v>
      </c>
      <c r="Q440" s="1095">
        <f t="shared" si="35"/>
        <v>0</v>
      </c>
      <c r="R440" s="1095" t="str">
        <f t="shared" si="36"/>
        <v/>
      </c>
    </row>
    <row r="441" spans="1:18" ht="18.75" thickBot="1">
      <c r="A441" s="1085">
        <f>'Base-D'!A441</f>
        <v>440</v>
      </c>
      <c r="B441" s="1085">
        <f>'Base-D'!AX441</f>
        <v>0</v>
      </c>
      <c r="C441" s="1085" t="e">
        <f>LOOKUP(A441,'Base-D'!A:A,'Base-D'!BP:BP)</f>
        <v>#N/A</v>
      </c>
      <c r="D441" s="1085">
        <f>'Base-D'!S441</f>
        <v>0</v>
      </c>
      <c r="E441" s="1086"/>
      <c r="F441" s="1087"/>
      <c r="G441" s="1087" t="e">
        <f>LOOKUP(A441,'ETAT-PAY-PERM'!A:A,'ETAT-PAY-PERM'!J:J)</f>
        <v>#N/A</v>
      </c>
      <c r="H441" s="1094" t="e">
        <f t="shared" si="33"/>
        <v>#N/A</v>
      </c>
      <c r="I441" s="1094" t="e">
        <f t="shared" si="34"/>
        <v>#N/A</v>
      </c>
      <c r="P441" s="688">
        <f>LOOKUP(J441,'ETAT-PAY-PERM'!J:J,'ETAT-PAY-PERM'!S:S)</f>
        <v>0</v>
      </c>
      <c r="Q441" s="1095">
        <f t="shared" si="35"/>
        <v>0</v>
      </c>
      <c r="R441" s="1095" t="str">
        <f t="shared" si="36"/>
        <v/>
      </c>
    </row>
    <row r="442" spans="1:18" ht="18.75" thickBot="1">
      <c r="A442" s="1085">
        <f>'Base-D'!A442</f>
        <v>441</v>
      </c>
      <c r="B442" s="1085">
        <f>'Base-D'!AX442</f>
        <v>0</v>
      </c>
      <c r="C442" s="1085" t="e">
        <f>LOOKUP(A442,'Base-D'!A:A,'Base-D'!BP:BP)</f>
        <v>#N/A</v>
      </c>
      <c r="D442" s="1085">
        <f>'Base-D'!S442</f>
        <v>0</v>
      </c>
      <c r="E442" s="1086"/>
      <c r="F442" s="1087"/>
      <c r="G442" s="1087" t="e">
        <f>LOOKUP(A442,'ETAT-PAY-PERM'!A:A,'ETAT-PAY-PERM'!J:J)</f>
        <v>#N/A</v>
      </c>
      <c r="H442" s="1094" t="e">
        <f t="shared" si="33"/>
        <v>#N/A</v>
      </c>
      <c r="I442" s="1094" t="e">
        <f t="shared" si="34"/>
        <v>#N/A</v>
      </c>
      <c r="P442" s="688">
        <f>LOOKUP(J442,'ETAT-PAY-PERM'!J:J,'ETAT-PAY-PERM'!S:S)</f>
        <v>0</v>
      </c>
      <c r="Q442" s="1095">
        <f t="shared" si="35"/>
        <v>0</v>
      </c>
      <c r="R442" s="1095" t="str">
        <f t="shared" si="36"/>
        <v/>
      </c>
    </row>
    <row r="443" spans="1:18" ht="18.75" thickBot="1">
      <c r="A443" s="1085">
        <f>'Base-D'!A443</f>
        <v>442</v>
      </c>
      <c r="B443" s="1085">
        <f>'Base-D'!AX443</f>
        <v>0</v>
      </c>
      <c r="C443" s="1085" t="e">
        <f>LOOKUP(A443,'Base-D'!A:A,'Base-D'!BP:BP)</f>
        <v>#N/A</v>
      </c>
      <c r="D443" s="1085">
        <f>'Base-D'!S443</f>
        <v>0</v>
      </c>
      <c r="E443" s="1086"/>
      <c r="F443" s="1087"/>
      <c r="G443" s="1087" t="e">
        <f>LOOKUP(A443,'ETAT-PAY-PERM'!A:A,'ETAT-PAY-PERM'!J:J)</f>
        <v>#N/A</v>
      </c>
      <c r="H443" s="1094" t="e">
        <f t="shared" si="33"/>
        <v>#N/A</v>
      </c>
      <c r="I443" s="1094" t="e">
        <f t="shared" si="34"/>
        <v>#N/A</v>
      </c>
      <c r="P443" s="688">
        <f>LOOKUP(J443,'ETAT-PAY-PERM'!J:J,'ETAT-PAY-PERM'!S:S)</f>
        <v>0</v>
      </c>
      <c r="Q443" s="1095">
        <f t="shared" si="35"/>
        <v>0</v>
      </c>
      <c r="R443" s="1095" t="str">
        <f t="shared" si="36"/>
        <v/>
      </c>
    </row>
    <row r="444" spans="1:18" ht="18.75" thickBot="1">
      <c r="A444" s="1085">
        <f>'Base-D'!A444</f>
        <v>443</v>
      </c>
      <c r="B444" s="1085">
        <f>'Base-D'!AX444</f>
        <v>0</v>
      </c>
      <c r="C444" s="1085" t="e">
        <f>LOOKUP(A444,'Base-D'!A:A,'Base-D'!BP:BP)</f>
        <v>#N/A</v>
      </c>
      <c r="D444" s="1085">
        <f>'Base-D'!S444</f>
        <v>0</v>
      </c>
      <c r="E444" s="1086"/>
      <c r="F444" s="1087"/>
      <c r="G444" s="1087" t="e">
        <f>LOOKUP(A444,'ETAT-PAY-PERM'!A:A,'ETAT-PAY-PERM'!J:J)</f>
        <v>#N/A</v>
      </c>
      <c r="H444" s="1094" t="e">
        <f t="shared" si="33"/>
        <v>#N/A</v>
      </c>
      <c r="I444" s="1094" t="e">
        <f t="shared" si="34"/>
        <v>#N/A</v>
      </c>
      <c r="P444" s="688">
        <f>LOOKUP(J444,'ETAT-PAY-PERM'!J:J,'ETAT-PAY-PERM'!S:S)</f>
        <v>0</v>
      </c>
      <c r="Q444" s="1095">
        <f t="shared" si="35"/>
        <v>0</v>
      </c>
      <c r="R444" s="1095" t="str">
        <f t="shared" si="36"/>
        <v/>
      </c>
    </row>
    <row r="445" spans="1:18" ht="18.75" thickBot="1">
      <c r="A445" s="1085">
        <f>'Base-D'!A445</f>
        <v>444</v>
      </c>
      <c r="B445" s="1085">
        <f>'Base-D'!AX445</f>
        <v>0</v>
      </c>
      <c r="C445" s="1085" t="e">
        <f>LOOKUP(A445,'Base-D'!A:A,'Base-D'!BP:BP)</f>
        <v>#N/A</v>
      </c>
      <c r="D445" s="1085">
        <f>'Base-D'!S445</f>
        <v>0</v>
      </c>
      <c r="E445" s="1086"/>
      <c r="F445" s="1087"/>
      <c r="G445" s="1087" t="e">
        <f>LOOKUP(A445,'ETAT-PAY-PERM'!A:A,'ETAT-PAY-PERM'!J:J)</f>
        <v>#N/A</v>
      </c>
      <c r="H445" s="1094" t="e">
        <f t="shared" si="33"/>
        <v>#N/A</v>
      </c>
      <c r="I445" s="1094" t="e">
        <f t="shared" si="34"/>
        <v>#N/A</v>
      </c>
      <c r="P445" s="688">
        <f>LOOKUP(J445,'ETAT-PAY-PERM'!J:J,'ETAT-PAY-PERM'!S:S)</f>
        <v>0</v>
      </c>
      <c r="Q445" s="1095">
        <f t="shared" si="35"/>
        <v>0</v>
      </c>
      <c r="R445" s="1095" t="str">
        <f t="shared" si="36"/>
        <v/>
      </c>
    </row>
    <row r="446" spans="1:18" ht="18.75" thickBot="1">
      <c r="A446" s="1085">
        <f>'Base-D'!A446</f>
        <v>445</v>
      </c>
      <c r="B446" s="1085">
        <f>'Base-D'!AX446</f>
        <v>0</v>
      </c>
      <c r="C446" s="1085" t="e">
        <f>LOOKUP(A446,'Base-D'!A:A,'Base-D'!BP:BP)</f>
        <v>#N/A</v>
      </c>
      <c r="D446" s="1085">
        <f>'Base-D'!S446</f>
        <v>0</v>
      </c>
      <c r="E446" s="1086"/>
      <c r="F446" s="1087"/>
      <c r="G446" s="1087" t="e">
        <f>LOOKUP(A446,'ETAT-PAY-PERM'!A:A,'ETAT-PAY-PERM'!J:J)</f>
        <v>#N/A</v>
      </c>
      <c r="H446" s="1094" t="e">
        <f t="shared" si="33"/>
        <v>#N/A</v>
      </c>
      <c r="I446" s="1094" t="e">
        <f t="shared" si="34"/>
        <v>#N/A</v>
      </c>
      <c r="P446" s="688">
        <f>LOOKUP(J446,'ETAT-PAY-PERM'!J:J,'ETAT-PAY-PERM'!S:S)</f>
        <v>0</v>
      </c>
      <c r="Q446" s="1095">
        <f t="shared" si="35"/>
        <v>0</v>
      </c>
      <c r="R446" s="1095" t="str">
        <f t="shared" si="36"/>
        <v/>
      </c>
    </row>
    <row r="447" spans="1:18" ht="18.75" thickBot="1">
      <c r="A447" s="1085">
        <f>'Base-D'!A447</f>
        <v>446</v>
      </c>
      <c r="B447" s="1085">
        <f>'Base-D'!AX447</f>
        <v>0</v>
      </c>
      <c r="C447" s="1085" t="e">
        <f>LOOKUP(A447,'Base-D'!A:A,'Base-D'!BP:BP)</f>
        <v>#N/A</v>
      </c>
      <c r="D447" s="1085">
        <f>'Base-D'!S447</f>
        <v>0</v>
      </c>
      <c r="E447" s="1086"/>
      <c r="F447" s="1087"/>
      <c r="G447" s="1087" t="e">
        <f>LOOKUP(A447,'ETAT-PAY-PERM'!A:A,'ETAT-PAY-PERM'!J:J)</f>
        <v>#N/A</v>
      </c>
      <c r="H447" s="1094" t="e">
        <f t="shared" si="33"/>
        <v>#N/A</v>
      </c>
      <c r="I447" s="1094" t="e">
        <f t="shared" si="34"/>
        <v>#N/A</v>
      </c>
      <c r="P447" s="688">
        <f>LOOKUP(J447,'ETAT-PAY-PERM'!J:J,'ETAT-PAY-PERM'!S:S)</f>
        <v>0</v>
      </c>
      <c r="Q447" s="1095">
        <f t="shared" si="35"/>
        <v>0</v>
      </c>
      <c r="R447" s="1095" t="str">
        <f t="shared" si="36"/>
        <v/>
      </c>
    </row>
    <row r="448" spans="1:18" ht="18.75" thickBot="1">
      <c r="A448" s="1085">
        <f>'Base-D'!A448</f>
        <v>447</v>
      </c>
      <c r="B448" s="1085">
        <f>'Base-D'!AX448</f>
        <v>0</v>
      </c>
      <c r="C448" s="1085" t="e">
        <f>LOOKUP(A448,'Base-D'!A:A,'Base-D'!BP:BP)</f>
        <v>#N/A</v>
      </c>
      <c r="D448" s="1085">
        <f>'Base-D'!S448</f>
        <v>0</v>
      </c>
      <c r="E448" s="1086"/>
      <c r="F448" s="1087"/>
      <c r="G448" s="1087" t="e">
        <f>LOOKUP(A448,'ETAT-PAY-PERM'!A:A,'ETAT-PAY-PERM'!J:J)</f>
        <v>#N/A</v>
      </c>
      <c r="H448" s="1094" t="e">
        <f t="shared" si="33"/>
        <v>#N/A</v>
      </c>
      <c r="I448" s="1094" t="e">
        <f t="shared" si="34"/>
        <v>#N/A</v>
      </c>
      <c r="P448" s="688">
        <f>LOOKUP(J448,'ETAT-PAY-PERM'!J:J,'ETAT-PAY-PERM'!S:S)</f>
        <v>0</v>
      </c>
      <c r="Q448" s="1095">
        <f t="shared" si="35"/>
        <v>0</v>
      </c>
      <c r="R448" s="1095" t="str">
        <f t="shared" si="36"/>
        <v/>
      </c>
    </row>
    <row r="449" spans="1:18" ht="18.75" thickBot="1">
      <c r="A449" s="1085">
        <f>'Base-D'!A449</f>
        <v>448</v>
      </c>
      <c r="B449" s="1085">
        <f>'Base-D'!AX449</f>
        <v>0</v>
      </c>
      <c r="C449" s="1085" t="e">
        <f>LOOKUP(A449,'Base-D'!A:A,'Base-D'!BP:BP)</f>
        <v>#N/A</v>
      </c>
      <c r="D449" s="1085">
        <f>'Base-D'!S449</f>
        <v>0</v>
      </c>
      <c r="E449" s="1086"/>
      <c r="F449" s="1087"/>
      <c r="G449" s="1087" t="e">
        <f>LOOKUP(A449,'ETAT-PAY-PERM'!A:A,'ETAT-PAY-PERM'!J:J)</f>
        <v>#N/A</v>
      </c>
      <c r="H449" s="1094" t="e">
        <f t="shared" si="33"/>
        <v>#N/A</v>
      </c>
      <c r="I449" s="1094" t="e">
        <f t="shared" si="34"/>
        <v>#N/A</v>
      </c>
      <c r="P449" s="688">
        <f>LOOKUP(J449,'ETAT-PAY-PERM'!J:J,'ETAT-PAY-PERM'!S:S)</f>
        <v>0</v>
      </c>
      <c r="Q449" s="1095">
        <f t="shared" si="35"/>
        <v>0</v>
      </c>
      <c r="R449" s="1095" t="str">
        <f t="shared" si="36"/>
        <v/>
      </c>
    </row>
    <row r="450" spans="1:18" ht="18.75" thickBot="1">
      <c r="A450" s="1085">
        <f>'Base-D'!A450</f>
        <v>449</v>
      </c>
      <c r="B450" s="1085">
        <f>'Base-D'!AX450</f>
        <v>0</v>
      </c>
      <c r="C450" s="1085" t="e">
        <f>LOOKUP(A450,'Base-D'!A:A,'Base-D'!BP:BP)</f>
        <v>#N/A</v>
      </c>
      <c r="D450" s="1085">
        <f>'Base-D'!S450</f>
        <v>0</v>
      </c>
      <c r="E450" s="1086"/>
      <c r="F450" s="1087"/>
      <c r="G450" s="1087" t="e">
        <f>LOOKUP(A450,'ETAT-PAY-PERM'!A:A,'ETAT-PAY-PERM'!J:J)</f>
        <v>#N/A</v>
      </c>
      <c r="H450" s="1094" t="e">
        <f t="shared" si="33"/>
        <v>#N/A</v>
      </c>
      <c r="I450" s="1094" t="e">
        <f t="shared" si="34"/>
        <v>#N/A</v>
      </c>
      <c r="P450" s="688">
        <f>LOOKUP(J450,'ETAT-PAY-PERM'!J:J,'ETAT-PAY-PERM'!S:S)</f>
        <v>0</v>
      </c>
      <c r="Q450" s="1095">
        <f t="shared" si="35"/>
        <v>0</v>
      </c>
      <c r="R450" s="1095" t="str">
        <f t="shared" si="36"/>
        <v/>
      </c>
    </row>
    <row r="451" spans="1:18" ht="18.75" thickBot="1">
      <c r="A451" s="1085">
        <f>'Base-D'!A451</f>
        <v>450</v>
      </c>
      <c r="B451" s="1085">
        <f>'Base-D'!AX451</f>
        <v>0</v>
      </c>
      <c r="C451" s="1085" t="e">
        <f>LOOKUP(A451,'Base-D'!A:A,'Base-D'!BP:BP)</f>
        <v>#N/A</v>
      </c>
      <c r="D451" s="1085">
        <f>'Base-D'!S451</f>
        <v>0</v>
      </c>
      <c r="E451" s="1086"/>
      <c r="F451" s="1087"/>
      <c r="G451" s="1087" t="e">
        <f>LOOKUP(A451,'ETAT-PAY-PERM'!A:A,'ETAT-PAY-PERM'!J:J)</f>
        <v>#N/A</v>
      </c>
      <c r="H451" s="1094" t="e">
        <f t="shared" ref="H451:H499" si="37">IF(G451&gt;1,1,0)</f>
        <v>#N/A</v>
      </c>
      <c r="I451" s="1094" t="e">
        <f t="shared" ref="I451:I499" si="38">IF(H451=0,"",A451)</f>
        <v>#N/A</v>
      </c>
      <c r="P451" s="688">
        <f>LOOKUP(J451,'ETAT-PAY-PERM'!J:J,'ETAT-PAY-PERM'!S:S)</f>
        <v>0</v>
      </c>
      <c r="Q451" s="1095">
        <f t="shared" ref="Q451:Q499" si="39">IF(P451&gt;1,1,0)</f>
        <v>0</v>
      </c>
      <c r="R451" s="1095" t="str">
        <f t="shared" ref="R451:R499" si="40">IF(Q451=0,"",J451)</f>
        <v/>
      </c>
    </row>
    <row r="452" spans="1:18" ht="18.75" thickBot="1">
      <c r="A452" s="1085">
        <f>'Base-D'!A452</f>
        <v>451</v>
      </c>
      <c r="B452" s="1085">
        <f>'Base-D'!AX452</f>
        <v>0</v>
      </c>
      <c r="C452" s="1085" t="e">
        <f>LOOKUP(A452,'Base-D'!A:A,'Base-D'!BP:BP)</f>
        <v>#N/A</v>
      </c>
      <c r="D452" s="1085">
        <f>'Base-D'!S452</f>
        <v>0</v>
      </c>
      <c r="E452" s="1086"/>
      <c r="F452" s="1087"/>
      <c r="G452" s="1087" t="e">
        <f>LOOKUP(A452,'ETAT-PAY-PERM'!A:A,'ETAT-PAY-PERM'!J:J)</f>
        <v>#N/A</v>
      </c>
      <c r="H452" s="1094" t="e">
        <f t="shared" si="37"/>
        <v>#N/A</v>
      </c>
      <c r="I452" s="1094" t="e">
        <f t="shared" si="38"/>
        <v>#N/A</v>
      </c>
      <c r="P452" s="688">
        <f>LOOKUP(J452,'ETAT-PAY-PERM'!J:J,'ETAT-PAY-PERM'!S:S)</f>
        <v>0</v>
      </c>
      <c r="Q452" s="1095">
        <f t="shared" si="39"/>
        <v>0</v>
      </c>
      <c r="R452" s="1095" t="str">
        <f t="shared" si="40"/>
        <v/>
      </c>
    </row>
    <row r="453" spans="1:18" ht="18.75" thickBot="1">
      <c r="A453" s="1085">
        <f>'Base-D'!A453</f>
        <v>452</v>
      </c>
      <c r="B453" s="1085">
        <f>'Base-D'!AX453</f>
        <v>0</v>
      </c>
      <c r="C453" s="1085" t="e">
        <f>LOOKUP(A453,'Base-D'!A:A,'Base-D'!BP:BP)</f>
        <v>#N/A</v>
      </c>
      <c r="D453" s="1085">
        <f>'Base-D'!S453</f>
        <v>0</v>
      </c>
      <c r="E453" s="1086"/>
      <c r="F453" s="1087"/>
      <c r="G453" s="1087" t="e">
        <f>LOOKUP(A453,'ETAT-PAY-PERM'!A:A,'ETAT-PAY-PERM'!J:J)</f>
        <v>#N/A</v>
      </c>
      <c r="H453" s="1094" t="e">
        <f t="shared" si="37"/>
        <v>#N/A</v>
      </c>
      <c r="I453" s="1094" t="e">
        <f t="shared" si="38"/>
        <v>#N/A</v>
      </c>
      <c r="P453" s="688">
        <f>LOOKUP(J453,'ETAT-PAY-PERM'!J:J,'ETAT-PAY-PERM'!S:S)</f>
        <v>0</v>
      </c>
      <c r="Q453" s="1095">
        <f t="shared" si="39"/>
        <v>0</v>
      </c>
      <c r="R453" s="1095" t="str">
        <f t="shared" si="40"/>
        <v/>
      </c>
    </row>
    <row r="454" spans="1:18" ht="18.75" thickBot="1">
      <c r="A454" s="1085">
        <f>'Base-D'!A454</f>
        <v>453</v>
      </c>
      <c r="B454" s="1085">
        <f>'Base-D'!AX454</f>
        <v>0</v>
      </c>
      <c r="C454" s="1085" t="e">
        <f>LOOKUP(A454,'Base-D'!A:A,'Base-D'!BP:BP)</f>
        <v>#N/A</v>
      </c>
      <c r="D454" s="1085">
        <f>'Base-D'!S454</f>
        <v>0</v>
      </c>
      <c r="E454" s="1086"/>
      <c r="F454" s="1087"/>
      <c r="G454" s="1087" t="e">
        <f>LOOKUP(A454,'ETAT-PAY-PERM'!A:A,'ETAT-PAY-PERM'!J:J)</f>
        <v>#N/A</v>
      </c>
      <c r="H454" s="1094" t="e">
        <f t="shared" si="37"/>
        <v>#N/A</v>
      </c>
      <c r="I454" s="1094" t="e">
        <f t="shared" si="38"/>
        <v>#N/A</v>
      </c>
      <c r="P454" s="688">
        <f>LOOKUP(J454,'ETAT-PAY-PERM'!J:J,'ETAT-PAY-PERM'!S:S)</f>
        <v>0</v>
      </c>
      <c r="Q454" s="1095">
        <f t="shared" si="39"/>
        <v>0</v>
      </c>
      <c r="R454" s="1095" t="str">
        <f t="shared" si="40"/>
        <v/>
      </c>
    </row>
    <row r="455" spans="1:18" ht="18.75" thickBot="1">
      <c r="A455" s="1085">
        <f>'Base-D'!A455</f>
        <v>454</v>
      </c>
      <c r="B455" s="1085">
        <f>'Base-D'!AX455</f>
        <v>0</v>
      </c>
      <c r="C455" s="1085" t="e">
        <f>LOOKUP(A455,'Base-D'!A:A,'Base-D'!BP:BP)</f>
        <v>#N/A</v>
      </c>
      <c r="D455" s="1085">
        <f>'Base-D'!S455</f>
        <v>0</v>
      </c>
      <c r="E455" s="1086"/>
      <c r="F455" s="1087"/>
      <c r="G455" s="1087" t="e">
        <f>LOOKUP(A455,'ETAT-PAY-PERM'!A:A,'ETAT-PAY-PERM'!J:J)</f>
        <v>#N/A</v>
      </c>
      <c r="H455" s="1094" t="e">
        <f t="shared" si="37"/>
        <v>#N/A</v>
      </c>
      <c r="I455" s="1094" t="e">
        <f t="shared" si="38"/>
        <v>#N/A</v>
      </c>
      <c r="P455" s="688">
        <f>LOOKUP(J455,'ETAT-PAY-PERM'!J:J,'ETAT-PAY-PERM'!S:S)</f>
        <v>0</v>
      </c>
      <c r="Q455" s="1095">
        <f t="shared" si="39"/>
        <v>0</v>
      </c>
      <c r="R455" s="1095" t="str">
        <f t="shared" si="40"/>
        <v/>
      </c>
    </row>
    <row r="456" spans="1:18" ht="18.75" thickBot="1">
      <c r="A456" s="1085">
        <f>'Base-D'!A456</f>
        <v>455</v>
      </c>
      <c r="B456" s="1085">
        <f>'Base-D'!AX456</f>
        <v>0</v>
      </c>
      <c r="C456" s="1085" t="e">
        <f>LOOKUP(A456,'Base-D'!A:A,'Base-D'!BP:BP)</f>
        <v>#N/A</v>
      </c>
      <c r="D456" s="1085">
        <f>'Base-D'!S456</f>
        <v>0</v>
      </c>
      <c r="E456" s="1086"/>
      <c r="F456" s="1087"/>
      <c r="G456" s="1087" t="e">
        <f>LOOKUP(A456,'ETAT-PAY-PERM'!A:A,'ETAT-PAY-PERM'!J:J)</f>
        <v>#N/A</v>
      </c>
      <c r="H456" s="1094" t="e">
        <f t="shared" si="37"/>
        <v>#N/A</v>
      </c>
      <c r="I456" s="1094" t="e">
        <f t="shared" si="38"/>
        <v>#N/A</v>
      </c>
      <c r="P456" s="688">
        <f>LOOKUP(J456,'ETAT-PAY-PERM'!J:J,'ETAT-PAY-PERM'!S:S)</f>
        <v>0</v>
      </c>
      <c r="Q456" s="1095">
        <f t="shared" si="39"/>
        <v>0</v>
      </c>
      <c r="R456" s="1095" t="str">
        <f t="shared" si="40"/>
        <v/>
      </c>
    </row>
    <row r="457" spans="1:18" ht="18.75" thickBot="1">
      <c r="A457" s="1085">
        <f>'Base-D'!A457</f>
        <v>456</v>
      </c>
      <c r="B457" s="1085">
        <f>'Base-D'!AX457</f>
        <v>0</v>
      </c>
      <c r="C457" s="1085" t="e">
        <f>LOOKUP(A457,'Base-D'!A:A,'Base-D'!BP:BP)</f>
        <v>#N/A</v>
      </c>
      <c r="D457" s="1085">
        <f>'Base-D'!S457</f>
        <v>0</v>
      </c>
      <c r="E457" s="1086"/>
      <c r="F457" s="1087"/>
      <c r="G457" s="1087" t="e">
        <f>LOOKUP(A457,'ETAT-PAY-PERM'!A:A,'ETAT-PAY-PERM'!J:J)</f>
        <v>#N/A</v>
      </c>
      <c r="H457" s="1094" t="e">
        <f t="shared" si="37"/>
        <v>#N/A</v>
      </c>
      <c r="I457" s="1094" t="e">
        <f t="shared" si="38"/>
        <v>#N/A</v>
      </c>
      <c r="P457" s="688">
        <f>LOOKUP(J457,'ETAT-PAY-PERM'!J:J,'ETAT-PAY-PERM'!S:S)</f>
        <v>0</v>
      </c>
      <c r="Q457" s="1095">
        <f t="shared" si="39"/>
        <v>0</v>
      </c>
      <c r="R457" s="1095" t="str">
        <f t="shared" si="40"/>
        <v/>
      </c>
    </row>
    <row r="458" spans="1:18" ht="18.75" thickBot="1">
      <c r="A458" s="1085">
        <f>'Base-D'!A458</f>
        <v>457</v>
      </c>
      <c r="B458" s="1085">
        <f>'Base-D'!AX458</f>
        <v>0</v>
      </c>
      <c r="C458" s="1085" t="e">
        <f>LOOKUP(A458,'Base-D'!A:A,'Base-D'!BP:BP)</f>
        <v>#N/A</v>
      </c>
      <c r="D458" s="1085">
        <f>'Base-D'!S458</f>
        <v>0</v>
      </c>
      <c r="E458" s="1086"/>
      <c r="F458" s="1087"/>
      <c r="G458" s="1087" t="e">
        <f>LOOKUP(A458,'ETAT-PAY-PERM'!A:A,'ETAT-PAY-PERM'!J:J)</f>
        <v>#N/A</v>
      </c>
      <c r="H458" s="1094" t="e">
        <f t="shared" si="37"/>
        <v>#N/A</v>
      </c>
      <c r="I458" s="1094" t="e">
        <f t="shared" si="38"/>
        <v>#N/A</v>
      </c>
      <c r="P458" s="688">
        <f>LOOKUP(J458,'ETAT-PAY-PERM'!J:J,'ETAT-PAY-PERM'!S:S)</f>
        <v>0</v>
      </c>
      <c r="Q458" s="1095">
        <f t="shared" si="39"/>
        <v>0</v>
      </c>
      <c r="R458" s="1095" t="str">
        <f t="shared" si="40"/>
        <v/>
      </c>
    </row>
    <row r="459" spans="1:18" ht="18.75" thickBot="1">
      <c r="A459" s="1085">
        <f>'Base-D'!A459</f>
        <v>458</v>
      </c>
      <c r="B459" s="1085">
        <f>'Base-D'!AX459</f>
        <v>0</v>
      </c>
      <c r="C459" s="1085" t="e">
        <f>LOOKUP(A459,'Base-D'!A:A,'Base-D'!BP:BP)</f>
        <v>#N/A</v>
      </c>
      <c r="D459" s="1085">
        <f>'Base-D'!S459</f>
        <v>0</v>
      </c>
      <c r="E459" s="1086"/>
      <c r="F459" s="1087"/>
      <c r="G459" s="1087" t="e">
        <f>LOOKUP(A459,'ETAT-PAY-PERM'!A:A,'ETAT-PAY-PERM'!J:J)</f>
        <v>#N/A</v>
      </c>
      <c r="H459" s="1094" t="e">
        <f t="shared" si="37"/>
        <v>#N/A</v>
      </c>
      <c r="I459" s="1094" t="e">
        <f t="shared" si="38"/>
        <v>#N/A</v>
      </c>
      <c r="P459" s="688">
        <f>LOOKUP(J459,'ETAT-PAY-PERM'!J:J,'ETAT-PAY-PERM'!S:S)</f>
        <v>0</v>
      </c>
      <c r="Q459" s="1095">
        <f t="shared" si="39"/>
        <v>0</v>
      </c>
      <c r="R459" s="1095" t="str">
        <f t="shared" si="40"/>
        <v/>
      </c>
    </row>
    <row r="460" spans="1:18" ht="18.75" thickBot="1">
      <c r="A460" s="1085">
        <f>'Base-D'!A460</f>
        <v>459</v>
      </c>
      <c r="B460" s="1085">
        <f>'Base-D'!AX460</f>
        <v>0</v>
      </c>
      <c r="C460" s="1085" t="e">
        <f>LOOKUP(A460,'Base-D'!A:A,'Base-D'!BP:BP)</f>
        <v>#N/A</v>
      </c>
      <c r="D460" s="1085">
        <f>'Base-D'!S460</f>
        <v>0</v>
      </c>
      <c r="E460" s="1086"/>
      <c r="F460" s="1087"/>
      <c r="G460" s="1087" t="e">
        <f>LOOKUP(A460,'ETAT-PAY-PERM'!A:A,'ETAT-PAY-PERM'!J:J)</f>
        <v>#N/A</v>
      </c>
      <c r="H460" s="1094" t="e">
        <f t="shared" si="37"/>
        <v>#N/A</v>
      </c>
      <c r="I460" s="1094" t="e">
        <f t="shared" si="38"/>
        <v>#N/A</v>
      </c>
      <c r="P460" s="688">
        <f>LOOKUP(J460,'ETAT-PAY-PERM'!J:J,'ETAT-PAY-PERM'!S:S)</f>
        <v>0</v>
      </c>
      <c r="Q460" s="1095">
        <f t="shared" si="39"/>
        <v>0</v>
      </c>
      <c r="R460" s="1095" t="str">
        <f t="shared" si="40"/>
        <v/>
      </c>
    </row>
    <row r="461" spans="1:18" ht="18.75" thickBot="1">
      <c r="A461" s="1085">
        <f>'Base-D'!A461</f>
        <v>460</v>
      </c>
      <c r="B461" s="1085">
        <f>'Base-D'!AX461</f>
        <v>0</v>
      </c>
      <c r="C461" s="1085" t="e">
        <f>LOOKUP(A461,'Base-D'!A:A,'Base-D'!BP:BP)</f>
        <v>#N/A</v>
      </c>
      <c r="D461" s="1085">
        <f>'Base-D'!S461</f>
        <v>0</v>
      </c>
      <c r="E461" s="1086"/>
      <c r="F461" s="1087"/>
      <c r="G461" s="1087" t="e">
        <f>LOOKUP(A461,'ETAT-PAY-PERM'!A:A,'ETAT-PAY-PERM'!J:J)</f>
        <v>#N/A</v>
      </c>
      <c r="H461" s="1094" t="e">
        <f t="shared" si="37"/>
        <v>#N/A</v>
      </c>
      <c r="I461" s="1094" t="e">
        <f t="shared" si="38"/>
        <v>#N/A</v>
      </c>
      <c r="P461" s="688">
        <f>LOOKUP(J461,'ETAT-PAY-PERM'!J:J,'ETAT-PAY-PERM'!S:S)</f>
        <v>0</v>
      </c>
      <c r="Q461" s="1095">
        <f t="shared" si="39"/>
        <v>0</v>
      </c>
      <c r="R461" s="1095" t="str">
        <f t="shared" si="40"/>
        <v/>
      </c>
    </row>
    <row r="462" spans="1:18" ht="18.75" thickBot="1">
      <c r="A462" s="1085">
        <f>'Base-D'!A462</f>
        <v>461</v>
      </c>
      <c r="B462" s="1085">
        <f>'Base-D'!AX462</f>
        <v>0</v>
      </c>
      <c r="C462" s="1085" t="e">
        <f>LOOKUP(A462,'Base-D'!A:A,'Base-D'!BP:BP)</f>
        <v>#N/A</v>
      </c>
      <c r="D462" s="1085">
        <f>'Base-D'!S462</f>
        <v>0</v>
      </c>
      <c r="E462" s="1086"/>
      <c r="F462" s="1087"/>
      <c r="G462" s="1087" t="e">
        <f>LOOKUP(A462,'ETAT-PAY-PERM'!A:A,'ETAT-PAY-PERM'!J:J)</f>
        <v>#N/A</v>
      </c>
      <c r="H462" s="1094" t="e">
        <f t="shared" si="37"/>
        <v>#N/A</v>
      </c>
      <c r="I462" s="1094" t="e">
        <f t="shared" si="38"/>
        <v>#N/A</v>
      </c>
      <c r="P462" s="688">
        <f>LOOKUP(J462,'ETAT-PAY-PERM'!J:J,'ETAT-PAY-PERM'!S:S)</f>
        <v>0</v>
      </c>
      <c r="Q462" s="1095">
        <f t="shared" si="39"/>
        <v>0</v>
      </c>
      <c r="R462" s="1095" t="str">
        <f t="shared" si="40"/>
        <v/>
      </c>
    </row>
    <row r="463" spans="1:18" ht="18.75" thickBot="1">
      <c r="A463" s="1085">
        <f>'Base-D'!A463</f>
        <v>462</v>
      </c>
      <c r="B463" s="1085">
        <f>'Base-D'!AX463</f>
        <v>0</v>
      </c>
      <c r="C463" s="1085" t="e">
        <f>LOOKUP(A463,'Base-D'!A:A,'Base-D'!BP:BP)</f>
        <v>#N/A</v>
      </c>
      <c r="D463" s="1085">
        <f>'Base-D'!S463</f>
        <v>0</v>
      </c>
      <c r="E463" s="1086"/>
      <c r="F463" s="1087"/>
      <c r="G463" s="1087" t="e">
        <f>LOOKUP(A463,'ETAT-PAY-PERM'!A:A,'ETAT-PAY-PERM'!J:J)</f>
        <v>#N/A</v>
      </c>
      <c r="H463" s="1094" t="e">
        <f t="shared" si="37"/>
        <v>#N/A</v>
      </c>
      <c r="I463" s="1094" t="e">
        <f t="shared" si="38"/>
        <v>#N/A</v>
      </c>
      <c r="P463" s="688">
        <f>LOOKUP(J463,'ETAT-PAY-PERM'!J:J,'ETAT-PAY-PERM'!S:S)</f>
        <v>0</v>
      </c>
      <c r="Q463" s="1095">
        <f t="shared" si="39"/>
        <v>0</v>
      </c>
      <c r="R463" s="1095" t="str">
        <f t="shared" si="40"/>
        <v/>
      </c>
    </row>
    <row r="464" spans="1:18" ht="18.75" thickBot="1">
      <c r="A464" s="1085">
        <f>'Base-D'!A464</f>
        <v>463</v>
      </c>
      <c r="B464" s="1085">
        <f>'Base-D'!AX464</f>
        <v>0</v>
      </c>
      <c r="C464" s="1085" t="e">
        <f>LOOKUP(A464,'Base-D'!A:A,'Base-D'!BP:BP)</f>
        <v>#N/A</v>
      </c>
      <c r="D464" s="1085">
        <f>'Base-D'!S464</f>
        <v>0</v>
      </c>
      <c r="E464" s="1086"/>
      <c r="F464" s="1087"/>
      <c r="G464" s="1087" t="e">
        <f>LOOKUP(A464,'ETAT-PAY-PERM'!A:A,'ETAT-PAY-PERM'!J:J)</f>
        <v>#N/A</v>
      </c>
      <c r="H464" s="1094" t="e">
        <f t="shared" si="37"/>
        <v>#N/A</v>
      </c>
      <c r="I464" s="1094" t="e">
        <f t="shared" si="38"/>
        <v>#N/A</v>
      </c>
      <c r="P464" s="688">
        <f>LOOKUP(J464,'ETAT-PAY-PERM'!J:J,'ETAT-PAY-PERM'!S:S)</f>
        <v>0</v>
      </c>
      <c r="Q464" s="1095">
        <f t="shared" si="39"/>
        <v>0</v>
      </c>
      <c r="R464" s="1095" t="str">
        <f t="shared" si="40"/>
        <v/>
      </c>
    </row>
    <row r="465" spans="1:18" ht="18.75" thickBot="1">
      <c r="A465" s="1085">
        <f>'Base-D'!A465</f>
        <v>464</v>
      </c>
      <c r="B465" s="1085">
        <f>'Base-D'!AX465</f>
        <v>0</v>
      </c>
      <c r="C465" s="1085" t="e">
        <f>LOOKUP(A465,'Base-D'!A:A,'Base-D'!BP:BP)</f>
        <v>#N/A</v>
      </c>
      <c r="D465" s="1085">
        <f>'Base-D'!S465</f>
        <v>0</v>
      </c>
      <c r="E465" s="1086"/>
      <c r="F465" s="1087"/>
      <c r="G465" s="1087" t="e">
        <f>LOOKUP(A465,'ETAT-PAY-PERM'!A:A,'ETAT-PAY-PERM'!J:J)</f>
        <v>#N/A</v>
      </c>
      <c r="H465" s="1094" t="e">
        <f t="shared" si="37"/>
        <v>#N/A</v>
      </c>
      <c r="I465" s="1094" t="e">
        <f t="shared" si="38"/>
        <v>#N/A</v>
      </c>
      <c r="P465" s="688">
        <f>LOOKUP(J465,'ETAT-PAY-PERM'!J:J,'ETAT-PAY-PERM'!S:S)</f>
        <v>0</v>
      </c>
      <c r="Q465" s="1095">
        <f t="shared" si="39"/>
        <v>0</v>
      </c>
      <c r="R465" s="1095" t="str">
        <f t="shared" si="40"/>
        <v/>
      </c>
    </row>
    <row r="466" spans="1:18" ht="18.75" thickBot="1">
      <c r="A466" s="1085">
        <f>'Base-D'!A466</f>
        <v>465</v>
      </c>
      <c r="B466" s="1085">
        <f>'Base-D'!AX466</f>
        <v>0</v>
      </c>
      <c r="C466" s="1085" t="e">
        <f>LOOKUP(A466,'Base-D'!A:A,'Base-D'!BP:BP)</f>
        <v>#N/A</v>
      </c>
      <c r="D466" s="1085">
        <f>'Base-D'!S466</f>
        <v>0</v>
      </c>
      <c r="E466" s="1086"/>
      <c r="F466" s="1087"/>
      <c r="G466" s="1087" t="e">
        <f>LOOKUP(A466,'ETAT-PAY-PERM'!A:A,'ETAT-PAY-PERM'!J:J)</f>
        <v>#N/A</v>
      </c>
      <c r="H466" s="1094" t="e">
        <f t="shared" si="37"/>
        <v>#N/A</v>
      </c>
      <c r="I466" s="1094" t="e">
        <f t="shared" si="38"/>
        <v>#N/A</v>
      </c>
      <c r="P466" s="688">
        <f>LOOKUP(J466,'ETAT-PAY-PERM'!J:J,'ETAT-PAY-PERM'!S:S)</f>
        <v>0</v>
      </c>
      <c r="Q466" s="1095">
        <f t="shared" si="39"/>
        <v>0</v>
      </c>
      <c r="R466" s="1095" t="str">
        <f t="shared" si="40"/>
        <v/>
      </c>
    </row>
    <row r="467" spans="1:18" ht="18.75" thickBot="1">
      <c r="A467" s="1085">
        <f>'Base-D'!A467</f>
        <v>466</v>
      </c>
      <c r="B467" s="1085">
        <f>'Base-D'!AX467</f>
        <v>0</v>
      </c>
      <c r="C467" s="1085" t="e">
        <f>LOOKUP(A467,'Base-D'!A:A,'Base-D'!BP:BP)</f>
        <v>#N/A</v>
      </c>
      <c r="D467" s="1085">
        <f>'Base-D'!S467</f>
        <v>0</v>
      </c>
      <c r="E467" s="1086"/>
      <c r="F467" s="1087"/>
      <c r="G467" s="1087" t="e">
        <f>LOOKUP(A467,'ETAT-PAY-PERM'!A:A,'ETAT-PAY-PERM'!J:J)</f>
        <v>#N/A</v>
      </c>
      <c r="H467" s="1094" t="e">
        <f t="shared" si="37"/>
        <v>#N/A</v>
      </c>
      <c r="I467" s="1094" t="e">
        <f t="shared" si="38"/>
        <v>#N/A</v>
      </c>
      <c r="P467" s="688">
        <f>LOOKUP(J467,'ETAT-PAY-PERM'!J:J,'ETAT-PAY-PERM'!S:S)</f>
        <v>0</v>
      </c>
      <c r="Q467" s="1095">
        <f t="shared" si="39"/>
        <v>0</v>
      </c>
      <c r="R467" s="1095" t="str">
        <f t="shared" si="40"/>
        <v/>
      </c>
    </row>
    <row r="468" spans="1:18" ht="18.75" thickBot="1">
      <c r="A468" s="1085">
        <f>'Base-D'!A468</f>
        <v>467</v>
      </c>
      <c r="B468" s="1085">
        <f>'Base-D'!AX468</f>
        <v>0</v>
      </c>
      <c r="C468" s="1085" t="e">
        <f>LOOKUP(A468,'Base-D'!A:A,'Base-D'!BP:BP)</f>
        <v>#N/A</v>
      </c>
      <c r="D468" s="1085">
        <f>'Base-D'!S468</f>
        <v>0</v>
      </c>
      <c r="E468" s="1086"/>
      <c r="F468" s="1087"/>
      <c r="G468" s="1087" t="e">
        <f>LOOKUP(A468,'ETAT-PAY-PERM'!A:A,'ETAT-PAY-PERM'!J:J)</f>
        <v>#N/A</v>
      </c>
      <c r="H468" s="1094" t="e">
        <f t="shared" si="37"/>
        <v>#N/A</v>
      </c>
      <c r="I468" s="1094" t="e">
        <f t="shared" si="38"/>
        <v>#N/A</v>
      </c>
      <c r="P468" s="688">
        <f>LOOKUP(J468,'ETAT-PAY-PERM'!J:J,'ETAT-PAY-PERM'!S:S)</f>
        <v>0</v>
      </c>
      <c r="Q468" s="1095">
        <f t="shared" si="39"/>
        <v>0</v>
      </c>
      <c r="R468" s="1095" t="str">
        <f t="shared" si="40"/>
        <v/>
      </c>
    </row>
    <row r="469" spans="1:18" ht="18.75" thickBot="1">
      <c r="A469" s="1085">
        <f>'Base-D'!A469</f>
        <v>468</v>
      </c>
      <c r="B469" s="1085">
        <f>'Base-D'!AX469</f>
        <v>0</v>
      </c>
      <c r="C469" s="1085" t="e">
        <f>LOOKUP(A469,'Base-D'!A:A,'Base-D'!BP:BP)</f>
        <v>#N/A</v>
      </c>
      <c r="D469" s="1085">
        <f>'Base-D'!S469</f>
        <v>0</v>
      </c>
      <c r="E469" s="1086"/>
      <c r="F469" s="1087"/>
      <c r="G469" s="1087" t="e">
        <f>LOOKUP(A469,'ETAT-PAY-PERM'!A:A,'ETAT-PAY-PERM'!J:J)</f>
        <v>#N/A</v>
      </c>
      <c r="H469" s="1094" t="e">
        <f t="shared" si="37"/>
        <v>#N/A</v>
      </c>
      <c r="I469" s="1094" t="e">
        <f t="shared" si="38"/>
        <v>#N/A</v>
      </c>
      <c r="P469" s="688">
        <f>LOOKUP(J469,'ETAT-PAY-PERM'!J:J,'ETAT-PAY-PERM'!S:S)</f>
        <v>0</v>
      </c>
      <c r="Q469" s="1095">
        <f t="shared" si="39"/>
        <v>0</v>
      </c>
      <c r="R469" s="1095" t="str">
        <f t="shared" si="40"/>
        <v/>
      </c>
    </row>
    <row r="470" spans="1:18" ht="18.75" thickBot="1">
      <c r="A470" s="1085">
        <f>'Base-D'!A470</f>
        <v>469</v>
      </c>
      <c r="B470" s="1085">
        <f>'Base-D'!AX470</f>
        <v>0</v>
      </c>
      <c r="C470" s="1085" t="e">
        <f>LOOKUP(A470,'Base-D'!A:A,'Base-D'!BP:BP)</f>
        <v>#N/A</v>
      </c>
      <c r="D470" s="1085">
        <f>'Base-D'!S470</f>
        <v>0</v>
      </c>
      <c r="E470" s="1086"/>
      <c r="F470" s="1087"/>
      <c r="G470" s="1087" t="e">
        <f>LOOKUP(A470,'ETAT-PAY-PERM'!A:A,'ETAT-PAY-PERM'!J:J)</f>
        <v>#N/A</v>
      </c>
      <c r="H470" s="1094" t="e">
        <f t="shared" si="37"/>
        <v>#N/A</v>
      </c>
      <c r="I470" s="1094" t="e">
        <f t="shared" si="38"/>
        <v>#N/A</v>
      </c>
      <c r="P470" s="688">
        <f>LOOKUP(J470,'ETAT-PAY-PERM'!J:J,'ETAT-PAY-PERM'!S:S)</f>
        <v>0</v>
      </c>
      <c r="Q470" s="1095">
        <f t="shared" si="39"/>
        <v>0</v>
      </c>
      <c r="R470" s="1095" t="str">
        <f t="shared" si="40"/>
        <v/>
      </c>
    </row>
    <row r="471" spans="1:18" ht="18.75" thickBot="1">
      <c r="A471" s="1085">
        <f>'Base-D'!A471</f>
        <v>470</v>
      </c>
      <c r="B471" s="1085">
        <f>'Base-D'!AX471</f>
        <v>0</v>
      </c>
      <c r="C471" s="1085" t="e">
        <f>LOOKUP(A471,'Base-D'!A:A,'Base-D'!BP:BP)</f>
        <v>#N/A</v>
      </c>
      <c r="D471" s="1085">
        <f>'Base-D'!S471</f>
        <v>0</v>
      </c>
      <c r="E471" s="1086"/>
      <c r="F471" s="1087"/>
      <c r="G471" s="1087" t="e">
        <f>LOOKUP(A471,'ETAT-PAY-PERM'!A:A,'ETAT-PAY-PERM'!J:J)</f>
        <v>#N/A</v>
      </c>
      <c r="H471" s="1094" t="e">
        <f t="shared" si="37"/>
        <v>#N/A</v>
      </c>
      <c r="I471" s="1094" t="e">
        <f t="shared" si="38"/>
        <v>#N/A</v>
      </c>
      <c r="P471" s="688">
        <f>LOOKUP(J471,'ETAT-PAY-PERM'!J:J,'ETAT-PAY-PERM'!S:S)</f>
        <v>0</v>
      </c>
      <c r="Q471" s="1095">
        <f t="shared" si="39"/>
        <v>0</v>
      </c>
      <c r="R471" s="1095" t="str">
        <f t="shared" si="40"/>
        <v/>
      </c>
    </row>
    <row r="472" spans="1:18" ht="18.75" thickBot="1">
      <c r="A472" s="1085">
        <f>'Base-D'!A472</f>
        <v>471</v>
      </c>
      <c r="B472" s="1085">
        <f>'Base-D'!AX472</f>
        <v>0</v>
      </c>
      <c r="C472" s="1085" t="e">
        <f>LOOKUP(A472,'Base-D'!A:A,'Base-D'!BP:BP)</f>
        <v>#N/A</v>
      </c>
      <c r="D472" s="1085">
        <f>'Base-D'!S472</f>
        <v>0</v>
      </c>
      <c r="E472" s="1086"/>
      <c r="F472" s="1087"/>
      <c r="G472" s="1087" t="e">
        <f>LOOKUP(A472,'ETAT-PAY-PERM'!A:A,'ETAT-PAY-PERM'!J:J)</f>
        <v>#N/A</v>
      </c>
      <c r="H472" s="1094" t="e">
        <f t="shared" si="37"/>
        <v>#N/A</v>
      </c>
      <c r="I472" s="1094" t="e">
        <f t="shared" si="38"/>
        <v>#N/A</v>
      </c>
      <c r="P472" s="688">
        <f>LOOKUP(J472,'ETAT-PAY-PERM'!J:J,'ETAT-PAY-PERM'!S:S)</f>
        <v>0</v>
      </c>
      <c r="Q472" s="1095">
        <f t="shared" si="39"/>
        <v>0</v>
      </c>
      <c r="R472" s="1095" t="str">
        <f t="shared" si="40"/>
        <v/>
      </c>
    </row>
    <row r="473" spans="1:18" ht="18.75" thickBot="1">
      <c r="A473" s="1085">
        <f>'Base-D'!A473</f>
        <v>472</v>
      </c>
      <c r="B473" s="1085">
        <f>'Base-D'!AX473</f>
        <v>0</v>
      </c>
      <c r="C473" s="1085" t="e">
        <f>LOOKUP(A473,'Base-D'!A:A,'Base-D'!BP:BP)</f>
        <v>#N/A</v>
      </c>
      <c r="D473" s="1085">
        <f>'Base-D'!S473</f>
        <v>0</v>
      </c>
      <c r="E473" s="1086"/>
      <c r="F473" s="1087"/>
      <c r="G473" s="1087" t="e">
        <f>LOOKUP(A473,'ETAT-PAY-PERM'!A:A,'ETAT-PAY-PERM'!J:J)</f>
        <v>#N/A</v>
      </c>
      <c r="H473" s="1094" t="e">
        <f t="shared" si="37"/>
        <v>#N/A</v>
      </c>
      <c r="I473" s="1094" t="e">
        <f t="shared" si="38"/>
        <v>#N/A</v>
      </c>
      <c r="P473" s="688">
        <f>LOOKUP(J473,'ETAT-PAY-PERM'!J:J,'ETAT-PAY-PERM'!S:S)</f>
        <v>0</v>
      </c>
      <c r="Q473" s="1095">
        <f t="shared" si="39"/>
        <v>0</v>
      </c>
      <c r="R473" s="1095" t="str">
        <f t="shared" si="40"/>
        <v/>
      </c>
    </row>
    <row r="474" spans="1:18" ht="18.75" thickBot="1">
      <c r="A474" s="1085">
        <f>'Base-D'!A474</f>
        <v>473</v>
      </c>
      <c r="B474" s="1085">
        <f>'Base-D'!AX474</f>
        <v>0</v>
      </c>
      <c r="C474" s="1085" t="e">
        <f>LOOKUP(A474,'Base-D'!A:A,'Base-D'!BP:BP)</f>
        <v>#N/A</v>
      </c>
      <c r="D474" s="1085">
        <f>'Base-D'!S474</f>
        <v>0</v>
      </c>
      <c r="E474" s="1086"/>
      <c r="F474" s="1087"/>
      <c r="G474" s="1087" t="e">
        <f>LOOKUP(A474,'ETAT-PAY-PERM'!A:A,'ETAT-PAY-PERM'!J:J)</f>
        <v>#N/A</v>
      </c>
      <c r="H474" s="1094" t="e">
        <f t="shared" si="37"/>
        <v>#N/A</v>
      </c>
      <c r="I474" s="1094" t="e">
        <f t="shared" si="38"/>
        <v>#N/A</v>
      </c>
      <c r="P474" s="688">
        <f>LOOKUP(J474,'ETAT-PAY-PERM'!J:J,'ETAT-PAY-PERM'!S:S)</f>
        <v>0</v>
      </c>
      <c r="Q474" s="1095">
        <f t="shared" si="39"/>
        <v>0</v>
      </c>
      <c r="R474" s="1095" t="str">
        <f t="shared" si="40"/>
        <v/>
      </c>
    </row>
    <row r="475" spans="1:18" ht="18.75" thickBot="1">
      <c r="A475" s="1085">
        <f>'Base-D'!A475</f>
        <v>474</v>
      </c>
      <c r="B475" s="1085">
        <f>'Base-D'!AX475</f>
        <v>0</v>
      </c>
      <c r="C475" s="1085" t="e">
        <f>LOOKUP(A475,'Base-D'!A:A,'Base-D'!BP:BP)</f>
        <v>#N/A</v>
      </c>
      <c r="D475" s="1085">
        <f>'Base-D'!S475</f>
        <v>0</v>
      </c>
      <c r="E475" s="1086"/>
      <c r="F475" s="1087"/>
      <c r="G475" s="1087" t="e">
        <f>LOOKUP(A475,'ETAT-PAY-PERM'!A:A,'ETAT-PAY-PERM'!J:J)</f>
        <v>#N/A</v>
      </c>
      <c r="H475" s="1094" t="e">
        <f t="shared" si="37"/>
        <v>#N/A</v>
      </c>
      <c r="I475" s="1094" t="e">
        <f t="shared" si="38"/>
        <v>#N/A</v>
      </c>
      <c r="P475" s="688">
        <f>LOOKUP(J475,'ETAT-PAY-PERM'!J:J,'ETAT-PAY-PERM'!S:S)</f>
        <v>0</v>
      </c>
      <c r="Q475" s="1095">
        <f t="shared" si="39"/>
        <v>0</v>
      </c>
      <c r="R475" s="1095" t="str">
        <f t="shared" si="40"/>
        <v/>
      </c>
    </row>
    <row r="476" spans="1:18" ht="18.75" thickBot="1">
      <c r="A476" s="1085">
        <f>'Base-D'!A476</f>
        <v>475</v>
      </c>
      <c r="B476" s="1085">
        <f>'Base-D'!AX476</f>
        <v>0</v>
      </c>
      <c r="C476" s="1085" t="e">
        <f>LOOKUP(A476,'Base-D'!A:A,'Base-D'!BP:BP)</f>
        <v>#N/A</v>
      </c>
      <c r="D476" s="1085">
        <f>'Base-D'!S476</f>
        <v>0</v>
      </c>
      <c r="E476" s="1086"/>
      <c r="F476" s="1087"/>
      <c r="G476" s="1087" t="e">
        <f>LOOKUP(A476,'ETAT-PAY-PERM'!A:A,'ETAT-PAY-PERM'!J:J)</f>
        <v>#N/A</v>
      </c>
      <c r="H476" s="1094" t="e">
        <f t="shared" si="37"/>
        <v>#N/A</v>
      </c>
      <c r="I476" s="1094" t="e">
        <f t="shared" si="38"/>
        <v>#N/A</v>
      </c>
      <c r="P476" s="688">
        <f>LOOKUP(J476,'ETAT-PAY-PERM'!J:J,'ETAT-PAY-PERM'!S:S)</f>
        <v>0</v>
      </c>
      <c r="Q476" s="1095">
        <f t="shared" si="39"/>
        <v>0</v>
      </c>
      <c r="R476" s="1095" t="str">
        <f t="shared" si="40"/>
        <v/>
      </c>
    </row>
    <row r="477" spans="1:18" ht="18.75" thickBot="1">
      <c r="A477" s="1085">
        <f>'Base-D'!A477</f>
        <v>476</v>
      </c>
      <c r="B477" s="1085">
        <f>'Base-D'!AX477</f>
        <v>0</v>
      </c>
      <c r="C477" s="1085" t="e">
        <f>LOOKUP(A477,'Base-D'!A:A,'Base-D'!BP:BP)</f>
        <v>#N/A</v>
      </c>
      <c r="D477" s="1085">
        <f>'Base-D'!S477</f>
        <v>0</v>
      </c>
      <c r="E477" s="1086"/>
      <c r="F477" s="1087"/>
      <c r="G477" s="1087" t="e">
        <f>LOOKUP(A477,'ETAT-PAY-PERM'!A:A,'ETAT-PAY-PERM'!J:J)</f>
        <v>#N/A</v>
      </c>
      <c r="H477" s="1094" t="e">
        <f t="shared" si="37"/>
        <v>#N/A</v>
      </c>
      <c r="I477" s="1094" t="e">
        <f t="shared" si="38"/>
        <v>#N/A</v>
      </c>
      <c r="P477" s="688">
        <f>LOOKUP(J477,'ETAT-PAY-PERM'!J:J,'ETAT-PAY-PERM'!S:S)</f>
        <v>0</v>
      </c>
      <c r="Q477" s="1095">
        <f t="shared" si="39"/>
        <v>0</v>
      </c>
      <c r="R477" s="1095" t="str">
        <f t="shared" si="40"/>
        <v/>
      </c>
    </row>
    <row r="478" spans="1:18" ht="18.75" thickBot="1">
      <c r="A478" s="1085">
        <f>'Base-D'!A478</f>
        <v>477</v>
      </c>
      <c r="B478" s="1085">
        <f>'Base-D'!AX478</f>
        <v>0</v>
      </c>
      <c r="C478" s="1085" t="e">
        <f>LOOKUP(A478,'Base-D'!A:A,'Base-D'!BP:BP)</f>
        <v>#N/A</v>
      </c>
      <c r="D478" s="1085">
        <f>'Base-D'!S478</f>
        <v>0</v>
      </c>
      <c r="E478" s="1086"/>
      <c r="F478" s="1087"/>
      <c r="G478" s="1087" t="e">
        <f>LOOKUP(A478,'ETAT-PAY-PERM'!A:A,'ETAT-PAY-PERM'!J:J)</f>
        <v>#N/A</v>
      </c>
      <c r="H478" s="1094" t="e">
        <f t="shared" si="37"/>
        <v>#N/A</v>
      </c>
      <c r="I478" s="1094" t="e">
        <f t="shared" si="38"/>
        <v>#N/A</v>
      </c>
      <c r="P478" s="688">
        <f>LOOKUP(J478,'ETAT-PAY-PERM'!J:J,'ETAT-PAY-PERM'!S:S)</f>
        <v>0</v>
      </c>
      <c r="Q478" s="1095">
        <f t="shared" si="39"/>
        <v>0</v>
      </c>
      <c r="R478" s="1095" t="str">
        <f t="shared" si="40"/>
        <v/>
      </c>
    </row>
    <row r="479" spans="1:18" ht="18.75" thickBot="1">
      <c r="A479" s="1085">
        <f>'Base-D'!A479</f>
        <v>478</v>
      </c>
      <c r="B479" s="1085">
        <f>'Base-D'!AX479</f>
        <v>0</v>
      </c>
      <c r="C479" s="1085" t="e">
        <f>LOOKUP(A479,'Base-D'!A:A,'Base-D'!BP:BP)</f>
        <v>#N/A</v>
      </c>
      <c r="D479" s="1085">
        <f>'Base-D'!S479</f>
        <v>0</v>
      </c>
      <c r="E479" s="1086"/>
      <c r="F479" s="1087"/>
      <c r="G479" s="1087" t="e">
        <f>LOOKUP(A479,'ETAT-PAY-PERM'!A:A,'ETAT-PAY-PERM'!J:J)</f>
        <v>#N/A</v>
      </c>
      <c r="H479" s="1094" t="e">
        <f t="shared" si="37"/>
        <v>#N/A</v>
      </c>
      <c r="I479" s="1094" t="e">
        <f t="shared" si="38"/>
        <v>#N/A</v>
      </c>
      <c r="P479" s="688">
        <f>LOOKUP(J479,'ETAT-PAY-PERM'!J:J,'ETAT-PAY-PERM'!S:S)</f>
        <v>0</v>
      </c>
      <c r="Q479" s="1095">
        <f t="shared" si="39"/>
        <v>0</v>
      </c>
      <c r="R479" s="1095" t="str">
        <f t="shared" si="40"/>
        <v/>
      </c>
    </row>
    <row r="480" spans="1:18" ht="18.75" thickBot="1">
      <c r="A480" s="1085">
        <f>'Base-D'!A480</f>
        <v>479</v>
      </c>
      <c r="B480" s="1085">
        <f>'Base-D'!AX480</f>
        <v>0</v>
      </c>
      <c r="C480" s="1085" t="e">
        <f>LOOKUP(A480,'Base-D'!A:A,'Base-D'!BP:BP)</f>
        <v>#N/A</v>
      </c>
      <c r="D480" s="1085">
        <f>'Base-D'!S480</f>
        <v>0</v>
      </c>
      <c r="E480" s="1086"/>
      <c r="F480" s="1087"/>
      <c r="G480" s="1087" t="e">
        <f>LOOKUP(A480,'ETAT-PAY-PERM'!A:A,'ETAT-PAY-PERM'!J:J)</f>
        <v>#N/A</v>
      </c>
      <c r="H480" s="1094" t="e">
        <f t="shared" si="37"/>
        <v>#N/A</v>
      </c>
      <c r="I480" s="1094" t="e">
        <f t="shared" si="38"/>
        <v>#N/A</v>
      </c>
      <c r="P480" s="688">
        <f>LOOKUP(J480,'ETAT-PAY-PERM'!J:J,'ETAT-PAY-PERM'!S:S)</f>
        <v>0</v>
      </c>
      <c r="Q480" s="1095">
        <f t="shared" si="39"/>
        <v>0</v>
      </c>
      <c r="R480" s="1095" t="str">
        <f t="shared" si="40"/>
        <v/>
      </c>
    </row>
    <row r="481" spans="1:18" ht="18.75" thickBot="1">
      <c r="A481" s="1085">
        <f>'Base-D'!A481</f>
        <v>480</v>
      </c>
      <c r="B481" s="1085">
        <f>'Base-D'!AX481</f>
        <v>0</v>
      </c>
      <c r="C481" s="1085" t="e">
        <f>LOOKUP(A481,'Base-D'!A:A,'Base-D'!BP:BP)</f>
        <v>#N/A</v>
      </c>
      <c r="D481" s="1085">
        <f>'Base-D'!S481</f>
        <v>0</v>
      </c>
      <c r="E481" s="1086"/>
      <c r="F481" s="1087"/>
      <c r="G481" s="1087" t="e">
        <f>LOOKUP(A481,'ETAT-PAY-PERM'!A:A,'ETAT-PAY-PERM'!J:J)</f>
        <v>#N/A</v>
      </c>
      <c r="H481" s="1094" t="e">
        <f t="shared" si="37"/>
        <v>#N/A</v>
      </c>
      <c r="I481" s="1094" t="e">
        <f t="shared" si="38"/>
        <v>#N/A</v>
      </c>
      <c r="P481" s="688">
        <f>LOOKUP(J481,'ETAT-PAY-PERM'!J:J,'ETAT-PAY-PERM'!S:S)</f>
        <v>0</v>
      </c>
      <c r="Q481" s="1095">
        <f t="shared" si="39"/>
        <v>0</v>
      </c>
      <c r="R481" s="1095" t="str">
        <f t="shared" si="40"/>
        <v/>
      </c>
    </row>
    <row r="482" spans="1:18" ht="18.75" thickBot="1">
      <c r="A482" s="1085">
        <f>'Base-D'!A482</f>
        <v>481</v>
      </c>
      <c r="B482" s="1085">
        <f>'Base-D'!AX482</f>
        <v>0</v>
      </c>
      <c r="C482" s="1085" t="e">
        <f>LOOKUP(A482,'Base-D'!A:A,'Base-D'!BP:BP)</f>
        <v>#N/A</v>
      </c>
      <c r="D482" s="1085">
        <f>'Base-D'!S482</f>
        <v>0</v>
      </c>
      <c r="E482" s="1086"/>
      <c r="F482" s="1087"/>
      <c r="G482" s="1087" t="e">
        <f>LOOKUP(A482,'ETAT-PAY-PERM'!A:A,'ETAT-PAY-PERM'!J:J)</f>
        <v>#N/A</v>
      </c>
      <c r="H482" s="1094" t="e">
        <f t="shared" si="37"/>
        <v>#N/A</v>
      </c>
      <c r="I482" s="1094" t="e">
        <f t="shared" si="38"/>
        <v>#N/A</v>
      </c>
      <c r="P482" s="688">
        <f>LOOKUP(J482,'ETAT-PAY-PERM'!J:J,'ETAT-PAY-PERM'!S:S)</f>
        <v>0</v>
      </c>
      <c r="Q482" s="1095">
        <f t="shared" si="39"/>
        <v>0</v>
      </c>
      <c r="R482" s="1095" t="str">
        <f t="shared" si="40"/>
        <v/>
      </c>
    </row>
    <row r="483" spans="1:18" ht="18.75" thickBot="1">
      <c r="A483" s="1085">
        <f>'Base-D'!A483</f>
        <v>482</v>
      </c>
      <c r="B483" s="1085">
        <f>'Base-D'!AX483</f>
        <v>0</v>
      </c>
      <c r="C483" s="1085" t="e">
        <f>LOOKUP(A483,'Base-D'!A:A,'Base-D'!BP:BP)</f>
        <v>#N/A</v>
      </c>
      <c r="D483" s="1085">
        <f>'Base-D'!S483</f>
        <v>0</v>
      </c>
      <c r="E483" s="1086"/>
      <c r="F483" s="1087"/>
      <c r="G483" s="1087" t="e">
        <f>LOOKUP(A483,'ETAT-PAY-PERM'!A:A,'ETAT-PAY-PERM'!J:J)</f>
        <v>#N/A</v>
      </c>
      <c r="H483" s="1094" t="e">
        <f t="shared" si="37"/>
        <v>#N/A</v>
      </c>
      <c r="I483" s="1094" t="e">
        <f t="shared" si="38"/>
        <v>#N/A</v>
      </c>
      <c r="P483" s="688">
        <f>LOOKUP(J483,'ETAT-PAY-PERM'!J:J,'ETAT-PAY-PERM'!S:S)</f>
        <v>0</v>
      </c>
      <c r="Q483" s="1095">
        <f t="shared" si="39"/>
        <v>0</v>
      </c>
      <c r="R483" s="1095" t="str">
        <f t="shared" si="40"/>
        <v/>
      </c>
    </row>
    <row r="484" spans="1:18" ht="18.75" thickBot="1">
      <c r="A484" s="1085">
        <f>'Base-D'!A484</f>
        <v>483</v>
      </c>
      <c r="B484" s="1085">
        <f>'Base-D'!AX484</f>
        <v>0</v>
      </c>
      <c r="C484" s="1085" t="e">
        <f>LOOKUP(A484,'Base-D'!A:A,'Base-D'!BP:BP)</f>
        <v>#N/A</v>
      </c>
      <c r="D484" s="1085">
        <f>'Base-D'!S484</f>
        <v>0</v>
      </c>
      <c r="E484" s="1086"/>
      <c r="F484" s="1087"/>
      <c r="G484" s="1087" t="e">
        <f>LOOKUP(A484,'ETAT-PAY-PERM'!A:A,'ETAT-PAY-PERM'!J:J)</f>
        <v>#N/A</v>
      </c>
      <c r="H484" s="1094" t="e">
        <f t="shared" si="37"/>
        <v>#N/A</v>
      </c>
      <c r="I484" s="1094" t="e">
        <f t="shared" si="38"/>
        <v>#N/A</v>
      </c>
      <c r="P484" s="688">
        <f>LOOKUP(J484,'ETAT-PAY-PERM'!J:J,'ETAT-PAY-PERM'!S:S)</f>
        <v>0</v>
      </c>
      <c r="Q484" s="1095">
        <f t="shared" si="39"/>
        <v>0</v>
      </c>
      <c r="R484" s="1095" t="str">
        <f t="shared" si="40"/>
        <v/>
      </c>
    </row>
    <row r="485" spans="1:18" ht="18.75" thickBot="1">
      <c r="A485" s="1085">
        <f>'Base-D'!A485</f>
        <v>484</v>
      </c>
      <c r="B485" s="1085">
        <f>'Base-D'!AX485</f>
        <v>0</v>
      </c>
      <c r="C485" s="1085" t="e">
        <f>LOOKUP(A485,'Base-D'!A:A,'Base-D'!BP:BP)</f>
        <v>#N/A</v>
      </c>
      <c r="D485" s="1085">
        <f>'Base-D'!S485</f>
        <v>0</v>
      </c>
      <c r="E485" s="1086"/>
      <c r="F485" s="1087"/>
      <c r="G485" s="1087" t="e">
        <f>LOOKUP(A485,'ETAT-PAY-PERM'!A:A,'ETAT-PAY-PERM'!J:J)</f>
        <v>#N/A</v>
      </c>
      <c r="H485" s="1094" t="e">
        <f t="shared" si="37"/>
        <v>#N/A</v>
      </c>
      <c r="I485" s="1094" t="e">
        <f t="shared" si="38"/>
        <v>#N/A</v>
      </c>
      <c r="P485" s="688">
        <f>LOOKUP(J485,'ETAT-PAY-PERM'!J:J,'ETAT-PAY-PERM'!S:S)</f>
        <v>0</v>
      </c>
      <c r="Q485" s="1095">
        <f t="shared" si="39"/>
        <v>0</v>
      </c>
      <c r="R485" s="1095" t="str">
        <f t="shared" si="40"/>
        <v/>
      </c>
    </row>
    <row r="486" spans="1:18" ht="18.75" thickBot="1">
      <c r="A486" s="1085">
        <f>'Base-D'!A486</f>
        <v>485</v>
      </c>
      <c r="B486" s="1085">
        <f>'Base-D'!AX486</f>
        <v>0</v>
      </c>
      <c r="C486" s="1085" t="e">
        <f>LOOKUP(A486,'Base-D'!A:A,'Base-D'!BP:BP)</f>
        <v>#N/A</v>
      </c>
      <c r="D486" s="1085">
        <f>'Base-D'!S486</f>
        <v>0</v>
      </c>
      <c r="E486" s="1086"/>
      <c r="F486" s="1087"/>
      <c r="G486" s="1087" t="e">
        <f>LOOKUP(A486,'ETAT-PAY-PERM'!A:A,'ETAT-PAY-PERM'!J:J)</f>
        <v>#N/A</v>
      </c>
      <c r="H486" s="1094" t="e">
        <f t="shared" si="37"/>
        <v>#N/A</v>
      </c>
      <c r="I486" s="1094" t="e">
        <f t="shared" si="38"/>
        <v>#N/A</v>
      </c>
      <c r="P486" s="688">
        <f>LOOKUP(J486,'ETAT-PAY-PERM'!J:J,'ETAT-PAY-PERM'!S:S)</f>
        <v>0</v>
      </c>
      <c r="Q486" s="1095">
        <f t="shared" si="39"/>
        <v>0</v>
      </c>
      <c r="R486" s="1095" t="str">
        <f t="shared" si="40"/>
        <v/>
      </c>
    </row>
    <row r="487" spans="1:18" ht="18.75" thickBot="1">
      <c r="A487" s="1085">
        <f>'Base-D'!A487</f>
        <v>486</v>
      </c>
      <c r="B487" s="1085">
        <f>'Base-D'!AX487</f>
        <v>0</v>
      </c>
      <c r="C487" s="1085" t="e">
        <f>LOOKUP(A487,'Base-D'!A:A,'Base-D'!BP:BP)</f>
        <v>#N/A</v>
      </c>
      <c r="D487" s="1085">
        <f>'Base-D'!S487</f>
        <v>0</v>
      </c>
      <c r="E487" s="1086"/>
      <c r="F487" s="1087"/>
      <c r="G487" s="1087" t="e">
        <f>LOOKUP(A487,'ETAT-PAY-PERM'!A:A,'ETAT-PAY-PERM'!J:J)</f>
        <v>#N/A</v>
      </c>
      <c r="H487" s="1094" t="e">
        <f t="shared" si="37"/>
        <v>#N/A</v>
      </c>
      <c r="I487" s="1094" t="e">
        <f t="shared" si="38"/>
        <v>#N/A</v>
      </c>
      <c r="P487" s="688">
        <f>LOOKUP(J487,'ETAT-PAY-PERM'!J:J,'ETAT-PAY-PERM'!S:S)</f>
        <v>0</v>
      </c>
      <c r="Q487" s="1095">
        <f t="shared" si="39"/>
        <v>0</v>
      </c>
      <c r="R487" s="1095" t="str">
        <f t="shared" si="40"/>
        <v/>
      </c>
    </row>
    <row r="488" spans="1:18" ht="18.75" thickBot="1">
      <c r="A488" s="1085">
        <f>'Base-D'!A488</f>
        <v>487</v>
      </c>
      <c r="B488" s="1085">
        <f>'Base-D'!AX488</f>
        <v>0</v>
      </c>
      <c r="C488" s="1085" t="e">
        <f>LOOKUP(A488,'Base-D'!A:A,'Base-D'!BP:BP)</f>
        <v>#N/A</v>
      </c>
      <c r="D488" s="1085">
        <f>'Base-D'!S488</f>
        <v>0</v>
      </c>
      <c r="E488" s="1086"/>
      <c r="F488" s="1087"/>
      <c r="G488" s="1087" t="e">
        <f>LOOKUP(A488,'ETAT-PAY-PERM'!A:A,'ETAT-PAY-PERM'!J:J)</f>
        <v>#N/A</v>
      </c>
      <c r="H488" s="1094" t="e">
        <f t="shared" si="37"/>
        <v>#N/A</v>
      </c>
      <c r="I488" s="1094" t="e">
        <f t="shared" si="38"/>
        <v>#N/A</v>
      </c>
      <c r="P488" s="688">
        <f>LOOKUP(J488,'ETAT-PAY-PERM'!J:J,'ETAT-PAY-PERM'!S:S)</f>
        <v>0</v>
      </c>
      <c r="Q488" s="1095">
        <f t="shared" si="39"/>
        <v>0</v>
      </c>
      <c r="R488" s="1095" t="str">
        <f t="shared" si="40"/>
        <v/>
      </c>
    </row>
    <row r="489" spans="1:18" ht="18.75" thickBot="1">
      <c r="A489" s="1085">
        <f>'Base-D'!A489</f>
        <v>488</v>
      </c>
      <c r="B489" s="1085">
        <f>'Base-D'!AX489</f>
        <v>0</v>
      </c>
      <c r="C489" s="1085" t="e">
        <f>LOOKUP(A489,'Base-D'!A:A,'Base-D'!BP:BP)</f>
        <v>#N/A</v>
      </c>
      <c r="D489" s="1085">
        <f>'Base-D'!S489</f>
        <v>0</v>
      </c>
      <c r="E489" s="1086"/>
      <c r="F489" s="1087"/>
      <c r="G489" s="1087" t="e">
        <f>LOOKUP(A489,'ETAT-PAY-PERM'!A:A,'ETAT-PAY-PERM'!J:J)</f>
        <v>#N/A</v>
      </c>
      <c r="H489" s="1094" t="e">
        <f t="shared" si="37"/>
        <v>#N/A</v>
      </c>
      <c r="I489" s="1094" t="e">
        <f t="shared" si="38"/>
        <v>#N/A</v>
      </c>
      <c r="P489" s="688">
        <f>LOOKUP(J489,'ETAT-PAY-PERM'!J:J,'ETAT-PAY-PERM'!S:S)</f>
        <v>0</v>
      </c>
      <c r="Q489" s="1095">
        <f t="shared" si="39"/>
        <v>0</v>
      </c>
      <c r="R489" s="1095" t="str">
        <f t="shared" si="40"/>
        <v/>
      </c>
    </row>
    <row r="490" spans="1:18" ht="18.75" thickBot="1">
      <c r="A490" s="1085">
        <f>'Base-D'!A490</f>
        <v>489</v>
      </c>
      <c r="B490" s="1085">
        <f>'Base-D'!AX490</f>
        <v>0</v>
      </c>
      <c r="C490" s="1085" t="e">
        <f>LOOKUP(A490,'Base-D'!A:A,'Base-D'!BP:BP)</f>
        <v>#N/A</v>
      </c>
      <c r="D490" s="1085">
        <f>'Base-D'!S490</f>
        <v>0</v>
      </c>
      <c r="E490" s="1086"/>
      <c r="F490" s="1087"/>
      <c r="G490" s="1087" t="e">
        <f>LOOKUP(A490,'ETAT-PAY-PERM'!A:A,'ETAT-PAY-PERM'!J:J)</f>
        <v>#N/A</v>
      </c>
      <c r="H490" s="1094" t="e">
        <f t="shared" si="37"/>
        <v>#N/A</v>
      </c>
      <c r="I490" s="1094" t="e">
        <f t="shared" si="38"/>
        <v>#N/A</v>
      </c>
      <c r="P490" s="688">
        <f>LOOKUP(J490,'ETAT-PAY-PERM'!J:J,'ETAT-PAY-PERM'!S:S)</f>
        <v>0</v>
      </c>
      <c r="Q490" s="1095">
        <f t="shared" si="39"/>
        <v>0</v>
      </c>
      <c r="R490" s="1095" t="str">
        <f t="shared" si="40"/>
        <v/>
      </c>
    </row>
    <row r="491" spans="1:18" ht="18.75" thickBot="1">
      <c r="A491" s="1085">
        <f>'Base-D'!A491</f>
        <v>490</v>
      </c>
      <c r="B491" s="1085">
        <f>'Base-D'!AX491</f>
        <v>0</v>
      </c>
      <c r="C491" s="1085" t="e">
        <f>LOOKUP(A491,'Base-D'!A:A,'Base-D'!BP:BP)</f>
        <v>#N/A</v>
      </c>
      <c r="D491" s="1085">
        <f>'Base-D'!S491</f>
        <v>0</v>
      </c>
      <c r="E491" s="1086"/>
      <c r="F491" s="1087"/>
      <c r="G491" s="1087" t="e">
        <f>LOOKUP(A491,'ETAT-PAY-PERM'!A:A,'ETAT-PAY-PERM'!J:J)</f>
        <v>#N/A</v>
      </c>
      <c r="H491" s="1094" t="e">
        <f t="shared" si="37"/>
        <v>#N/A</v>
      </c>
      <c r="I491" s="1094" t="e">
        <f t="shared" si="38"/>
        <v>#N/A</v>
      </c>
      <c r="P491" s="688">
        <f>LOOKUP(J491,'ETAT-PAY-PERM'!J:J,'ETAT-PAY-PERM'!S:S)</f>
        <v>0</v>
      </c>
      <c r="Q491" s="1095">
        <f t="shared" si="39"/>
        <v>0</v>
      </c>
      <c r="R491" s="1095" t="str">
        <f t="shared" si="40"/>
        <v/>
      </c>
    </row>
    <row r="492" spans="1:18" ht="18.75" thickBot="1">
      <c r="A492" s="1085">
        <f>'Base-D'!A492</f>
        <v>491</v>
      </c>
      <c r="B492" s="1085">
        <f>'Base-D'!AX492</f>
        <v>0</v>
      </c>
      <c r="C492" s="1085" t="e">
        <f>LOOKUP(A492,'Base-D'!A:A,'Base-D'!BP:BP)</f>
        <v>#N/A</v>
      </c>
      <c r="D492" s="1085">
        <f>'Base-D'!S492</f>
        <v>0</v>
      </c>
      <c r="E492" s="1086"/>
      <c r="F492" s="1087"/>
      <c r="G492" s="1087" t="e">
        <f>LOOKUP(A492,'ETAT-PAY-PERM'!A:A,'ETAT-PAY-PERM'!J:J)</f>
        <v>#N/A</v>
      </c>
      <c r="H492" s="1094" t="e">
        <f t="shared" si="37"/>
        <v>#N/A</v>
      </c>
      <c r="I492" s="1094" t="e">
        <f t="shared" si="38"/>
        <v>#N/A</v>
      </c>
      <c r="P492" s="688">
        <f>LOOKUP(J492,'ETAT-PAY-PERM'!J:J,'ETAT-PAY-PERM'!S:S)</f>
        <v>0</v>
      </c>
      <c r="Q492" s="1095">
        <f t="shared" si="39"/>
        <v>0</v>
      </c>
      <c r="R492" s="1095" t="str">
        <f t="shared" si="40"/>
        <v/>
      </c>
    </row>
    <row r="493" spans="1:18" ht="18.75" thickBot="1">
      <c r="A493" s="1085">
        <f>'Base-D'!A493</f>
        <v>492</v>
      </c>
      <c r="B493" s="1085">
        <f>'Base-D'!AX493</f>
        <v>0</v>
      </c>
      <c r="C493" s="1085" t="e">
        <f>LOOKUP(A493,'Base-D'!A:A,'Base-D'!BP:BP)</f>
        <v>#N/A</v>
      </c>
      <c r="D493" s="1085">
        <f>'Base-D'!S493</f>
        <v>0</v>
      </c>
      <c r="E493" s="1086"/>
      <c r="F493" s="1087"/>
      <c r="G493" s="1087" t="e">
        <f>LOOKUP(A493,'ETAT-PAY-PERM'!A:A,'ETAT-PAY-PERM'!J:J)</f>
        <v>#N/A</v>
      </c>
      <c r="H493" s="1094" t="e">
        <f t="shared" si="37"/>
        <v>#N/A</v>
      </c>
      <c r="I493" s="1094" t="e">
        <f t="shared" si="38"/>
        <v>#N/A</v>
      </c>
      <c r="P493" s="688">
        <f>LOOKUP(J493,'ETAT-PAY-PERM'!J:J,'ETAT-PAY-PERM'!S:S)</f>
        <v>0</v>
      </c>
      <c r="Q493" s="1095">
        <f t="shared" si="39"/>
        <v>0</v>
      </c>
      <c r="R493" s="1095" t="str">
        <f t="shared" si="40"/>
        <v/>
      </c>
    </row>
    <row r="494" spans="1:18" ht="18.75" thickBot="1">
      <c r="A494" s="1085">
        <f>'Base-D'!A494</f>
        <v>493</v>
      </c>
      <c r="B494" s="1085">
        <f>'Base-D'!AX494</f>
        <v>0</v>
      </c>
      <c r="C494" s="1085" t="e">
        <f>LOOKUP(A494,'Base-D'!A:A,'Base-D'!BP:BP)</f>
        <v>#N/A</v>
      </c>
      <c r="D494" s="1085">
        <f>'Base-D'!S494</f>
        <v>0</v>
      </c>
      <c r="E494" s="1086"/>
      <c r="F494" s="1087"/>
      <c r="G494" s="1087" t="e">
        <f>LOOKUP(A494,'ETAT-PAY-PERM'!A:A,'ETAT-PAY-PERM'!J:J)</f>
        <v>#N/A</v>
      </c>
      <c r="H494" s="1094" t="e">
        <f t="shared" si="37"/>
        <v>#N/A</v>
      </c>
      <c r="I494" s="1094" t="e">
        <f t="shared" si="38"/>
        <v>#N/A</v>
      </c>
      <c r="P494" s="688">
        <f>LOOKUP(J494,'ETAT-PAY-PERM'!J:J,'ETAT-PAY-PERM'!S:S)</f>
        <v>0</v>
      </c>
      <c r="Q494" s="1095">
        <f t="shared" si="39"/>
        <v>0</v>
      </c>
      <c r="R494" s="1095" t="str">
        <f t="shared" si="40"/>
        <v/>
      </c>
    </row>
    <row r="495" spans="1:18" ht="18.75" thickBot="1">
      <c r="A495" s="1085">
        <f>'Base-D'!A495</f>
        <v>494</v>
      </c>
      <c r="B495" s="1085">
        <f>'Base-D'!AX495</f>
        <v>0</v>
      </c>
      <c r="C495" s="1085" t="e">
        <f>LOOKUP(A495,'Base-D'!A:A,'Base-D'!BP:BP)</f>
        <v>#N/A</v>
      </c>
      <c r="D495" s="1085">
        <f>'Base-D'!S495</f>
        <v>0</v>
      </c>
      <c r="E495" s="1086"/>
      <c r="F495" s="1087"/>
      <c r="G495" s="1087" t="e">
        <f>LOOKUP(A495,'ETAT-PAY-PERM'!A:A,'ETAT-PAY-PERM'!J:J)</f>
        <v>#N/A</v>
      </c>
      <c r="H495" s="1094" t="e">
        <f t="shared" si="37"/>
        <v>#N/A</v>
      </c>
      <c r="I495" s="1094" t="e">
        <f t="shared" si="38"/>
        <v>#N/A</v>
      </c>
      <c r="P495" s="688">
        <f>LOOKUP(J495,'ETAT-PAY-PERM'!J:J,'ETAT-PAY-PERM'!S:S)</f>
        <v>0</v>
      </c>
      <c r="Q495" s="1095">
        <f t="shared" si="39"/>
        <v>0</v>
      </c>
      <c r="R495" s="1095" t="str">
        <f t="shared" si="40"/>
        <v/>
      </c>
    </row>
    <row r="496" spans="1:18" ht="18.75" thickBot="1">
      <c r="A496" s="1085">
        <f>'Base-D'!A496</f>
        <v>495</v>
      </c>
      <c r="B496" s="1085">
        <f>'Base-D'!AX496</f>
        <v>0</v>
      </c>
      <c r="C496" s="1085" t="e">
        <f>LOOKUP(A496,'Base-D'!A:A,'Base-D'!BP:BP)</f>
        <v>#N/A</v>
      </c>
      <c r="D496" s="1085">
        <f>'Base-D'!S496</f>
        <v>0</v>
      </c>
      <c r="E496" s="1086"/>
      <c r="F496" s="1087"/>
      <c r="G496" s="1087" t="e">
        <f>LOOKUP(A496,'ETAT-PAY-PERM'!A:A,'ETAT-PAY-PERM'!J:J)</f>
        <v>#N/A</v>
      </c>
      <c r="H496" s="1094" t="e">
        <f t="shared" si="37"/>
        <v>#N/A</v>
      </c>
      <c r="I496" s="1094" t="e">
        <f t="shared" si="38"/>
        <v>#N/A</v>
      </c>
      <c r="P496" s="688">
        <f>LOOKUP(J496,'ETAT-PAY-PERM'!J:J,'ETAT-PAY-PERM'!S:S)</f>
        <v>0</v>
      </c>
      <c r="Q496" s="1095">
        <f t="shared" si="39"/>
        <v>0</v>
      </c>
      <c r="R496" s="1095" t="str">
        <f t="shared" si="40"/>
        <v/>
      </c>
    </row>
    <row r="497" spans="1:18" ht="18.75" thickBot="1">
      <c r="A497" s="1085">
        <f>'Base-D'!A497</f>
        <v>496</v>
      </c>
      <c r="B497" s="1085">
        <f>'Base-D'!AX497</f>
        <v>0</v>
      </c>
      <c r="C497" s="1085" t="e">
        <f>LOOKUP(A497,'Base-D'!A:A,'Base-D'!BP:BP)</f>
        <v>#N/A</v>
      </c>
      <c r="D497" s="1085">
        <f>'Base-D'!S497</f>
        <v>0</v>
      </c>
      <c r="E497" s="1086"/>
      <c r="F497" s="1087"/>
      <c r="G497" s="1087" t="e">
        <f>LOOKUP(A497,'ETAT-PAY-PERM'!A:A,'ETAT-PAY-PERM'!J:J)</f>
        <v>#N/A</v>
      </c>
      <c r="H497" s="1094" t="e">
        <f t="shared" si="37"/>
        <v>#N/A</v>
      </c>
      <c r="I497" s="1094" t="e">
        <f t="shared" si="38"/>
        <v>#N/A</v>
      </c>
      <c r="P497" s="688">
        <f>LOOKUP(J497,'ETAT-PAY-PERM'!J:J,'ETAT-PAY-PERM'!S:S)</f>
        <v>0</v>
      </c>
      <c r="Q497" s="1095">
        <f t="shared" si="39"/>
        <v>0</v>
      </c>
      <c r="R497" s="1095" t="str">
        <f t="shared" si="40"/>
        <v/>
      </c>
    </row>
    <row r="498" spans="1:18" ht="18.75" thickBot="1">
      <c r="A498" s="1085">
        <f>'Base-D'!A498</f>
        <v>497</v>
      </c>
      <c r="B498" s="1085">
        <f>'Base-D'!AX498</f>
        <v>0</v>
      </c>
      <c r="C498" s="1085" t="e">
        <f>LOOKUP(A498,'Base-D'!A:A,'Base-D'!BP:BP)</f>
        <v>#N/A</v>
      </c>
      <c r="D498" s="1085">
        <f>'Base-D'!S498</f>
        <v>0</v>
      </c>
      <c r="E498" s="1086"/>
      <c r="F498" s="1087"/>
      <c r="G498" s="1087" t="e">
        <f>LOOKUP(A498,'ETAT-PAY-PERM'!A:A,'ETAT-PAY-PERM'!J:J)</f>
        <v>#N/A</v>
      </c>
      <c r="H498" s="1094" t="e">
        <f t="shared" si="37"/>
        <v>#N/A</v>
      </c>
      <c r="I498" s="1094" t="e">
        <f t="shared" si="38"/>
        <v>#N/A</v>
      </c>
      <c r="P498" s="688">
        <f>LOOKUP(J498,'ETAT-PAY-PERM'!J:J,'ETAT-PAY-PERM'!S:S)</f>
        <v>0</v>
      </c>
      <c r="Q498" s="1095">
        <f t="shared" si="39"/>
        <v>0</v>
      </c>
      <c r="R498" s="1095" t="str">
        <f t="shared" si="40"/>
        <v/>
      </c>
    </row>
    <row r="499" spans="1:18" ht="18.75" thickBot="1">
      <c r="A499" s="1085">
        <f>'Base-D'!A499</f>
        <v>498</v>
      </c>
      <c r="B499" s="1085">
        <f>'Base-D'!AX499</f>
        <v>0</v>
      </c>
      <c r="C499" s="1085" t="e">
        <f>LOOKUP(A499,'Base-D'!A:A,'Base-D'!BP:BP)</f>
        <v>#N/A</v>
      </c>
      <c r="D499" s="1085">
        <f>'Base-D'!S499</f>
        <v>0</v>
      </c>
      <c r="E499" s="1086"/>
      <c r="F499" s="1087"/>
      <c r="G499" s="1087" t="e">
        <f>LOOKUP(A499,'ETAT-PAY-PERM'!A:A,'ETAT-PAY-PERM'!J:J)</f>
        <v>#N/A</v>
      </c>
      <c r="H499" s="1094" t="e">
        <f t="shared" si="37"/>
        <v>#N/A</v>
      </c>
      <c r="I499" s="1094" t="e">
        <f t="shared" si="38"/>
        <v>#N/A</v>
      </c>
      <c r="P499" s="688">
        <f>LOOKUP(J499,'ETAT-PAY-PERM'!J:J,'ETAT-PAY-PERM'!S:S)</f>
        <v>0</v>
      </c>
      <c r="Q499" s="1095">
        <f t="shared" si="39"/>
        <v>0</v>
      </c>
      <c r="R499" s="1095" t="str">
        <f t="shared" si="40"/>
        <v/>
      </c>
    </row>
  </sheetData>
  <autoFilter ref="A1:R499"/>
  <mergeCells count="3">
    <mergeCell ref="W2:W6"/>
    <mergeCell ref="W7:W9"/>
    <mergeCell ref="W10:W12"/>
  </mergeCells>
  <phoneticPr fontId="2" type="noConversion"/>
  <printOptions horizontalCentered="1"/>
  <pageMargins left="0.39370078740157483" right="0.39370078740157483" top="0.59055118110236227" bottom="0.98425196850393704" header="0" footer="0"/>
  <pageSetup paperSize="9" orientation="portrait" horizontalDpi="180" verticalDpi="180" r:id="rId1"/>
  <headerFooter alignWithMargins="0"/>
  <drawing r:id="rId2"/>
</worksheet>
</file>

<file path=xl/worksheets/sheet36.xml><?xml version="1.0" encoding="utf-8"?>
<worksheet xmlns="http://schemas.openxmlformats.org/spreadsheetml/2006/main" xmlns:r="http://schemas.openxmlformats.org/officeDocument/2006/relationships">
  <dimension ref="A3:J80"/>
  <sheetViews>
    <sheetView rightToLeft="1" view="pageBreakPreview" topLeftCell="A29" zoomScale="85" zoomScaleSheetLayoutView="85" workbookViewId="0">
      <selection activeCell="C54" sqref="C54"/>
    </sheetView>
  </sheetViews>
  <sheetFormatPr baseColWidth="10" defaultRowHeight="12.75"/>
  <cols>
    <col min="2" max="2" width="9.85546875" customWidth="1"/>
    <col min="3" max="5" width="7.7109375" customWidth="1"/>
    <col min="6" max="6" width="14" customWidth="1"/>
    <col min="7" max="7" width="18.28515625" customWidth="1"/>
    <col min="8" max="8" width="18.7109375" style="951" customWidth="1"/>
  </cols>
  <sheetData>
    <row r="3" spans="1:9" ht="30">
      <c r="B3" s="538"/>
      <c r="C3" s="538"/>
      <c r="D3" s="538"/>
      <c r="E3" s="538"/>
      <c r="F3" s="538"/>
      <c r="G3" s="538" t="s">
        <v>279</v>
      </c>
      <c r="H3" s="968"/>
      <c r="I3" s="538"/>
    </row>
    <row r="4" spans="1:9" ht="15">
      <c r="A4" s="473" t="s">
        <v>65</v>
      </c>
      <c r="B4" s="1354">
        <v>652525</v>
      </c>
      <c r="C4" s="473"/>
      <c r="D4" s="473"/>
      <c r="E4" s="473"/>
      <c r="F4" s="474" t="s">
        <v>280</v>
      </c>
      <c r="G4" s="431"/>
      <c r="H4" s="969"/>
      <c r="I4" s="475"/>
    </row>
    <row r="5" spans="1:9" ht="15">
      <c r="A5" s="1754" t="s">
        <v>94</v>
      </c>
      <c r="B5" s="1755"/>
      <c r="C5" s="476">
        <f ca="1">YEAR(TODAY())</f>
        <v>2019</v>
      </c>
      <c r="D5" s="473"/>
      <c r="E5" s="473"/>
      <c r="F5" s="477"/>
      <c r="G5" s="431"/>
      <c r="H5" s="1756" t="s">
        <v>1</v>
      </c>
      <c r="I5" s="1756"/>
    </row>
    <row r="6" spans="1:9" ht="15">
      <c r="A6" s="473"/>
      <c r="B6" s="1757" t="s">
        <v>281</v>
      </c>
      <c r="C6" s="1755"/>
      <c r="D6" s="1355" t="s">
        <v>766</v>
      </c>
      <c r="E6" s="473"/>
      <c r="F6" s="475"/>
      <c r="G6" s="475"/>
      <c r="H6" s="1758" t="s">
        <v>767</v>
      </c>
      <c r="I6" s="1758"/>
    </row>
    <row r="7" spans="1:9">
      <c r="A7" s="473"/>
      <c r="B7" s="478"/>
      <c r="C7" s="1754" t="s">
        <v>282</v>
      </c>
      <c r="D7" s="1755"/>
      <c r="E7" s="479"/>
      <c r="F7" s="475"/>
      <c r="G7" s="475"/>
      <c r="H7" s="1758" t="s">
        <v>768</v>
      </c>
      <c r="I7" s="1758"/>
    </row>
    <row r="8" spans="1:9">
      <c r="A8" s="473"/>
      <c r="B8" s="478"/>
      <c r="C8" s="473"/>
      <c r="D8" s="1754" t="s">
        <v>283</v>
      </c>
      <c r="E8" s="1755"/>
      <c r="F8" s="480"/>
      <c r="G8" s="475"/>
      <c r="H8" s="969"/>
      <c r="I8" s="475"/>
    </row>
    <row r="9" spans="1:9">
      <c r="A9" s="431"/>
      <c r="B9" s="431"/>
      <c r="C9" s="431"/>
      <c r="D9" s="431"/>
      <c r="E9" s="431"/>
      <c r="F9" s="431"/>
      <c r="G9" s="431"/>
      <c r="H9" s="970"/>
      <c r="I9" s="431"/>
    </row>
    <row r="10" spans="1:9" ht="15">
      <c r="A10" s="1752" t="s">
        <v>247</v>
      </c>
      <c r="B10" s="1752" t="s">
        <v>284</v>
      </c>
      <c r="C10" s="1752" t="s">
        <v>285</v>
      </c>
      <c r="D10" s="1752" t="s">
        <v>286</v>
      </c>
      <c r="E10" s="1752" t="s">
        <v>287</v>
      </c>
      <c r="F10" s="1749" t="s">
        <v>288</v>
      </c>
      <c r="G10" s="1750"/>
      <c r="H10" s="1751"/>
      <c r="I10" s="1752" t="s">
        <v>289</v>
      </c>
    </row>
    <row r="11" spans="1:9" ht="15">
      <c r="A11" s="1753"/>
      <c r="B11" s="1753"/>
      <c r="C11" s="1753"/>
      <c r="D11" s="1753"/>
      <c r="E11" s="1753"/>
      <c r="F11" s="481" t="s">
        <v>290</v>
      </c>
      <c r="G11" s="481" t="s">
        <v>291</v>
      </c>
      <c r="H11" s="971" t="s">
        <v>285</v>
      </c>
      <c r="I11" s="1753"/>
    </row>
    <row r="12" spans="1:9" ht="18">
      <c r="A12" s="482">
        <f>'ورقة العمل'!Y2</f>
        <v>69</v>
      </c>
      <c r="B12" s="483"/>
      <c r="C12" s="272"/>
      <c r="D12" s="484"/>
      <c r="E12" s="272"/>
      <c r="F12" s="484"/>
      <c r="G12" s="539">
        <f>SUM(H13:H15)</f>
        <v>1033593.5</v>
      </c>
      <c r="H12" s="972"/>
      <c r="I12" s="484"/>
    </row>
    <row r="13" spans="1:9" ht="18">
      <c r="A13" s="485"/>
      <c r="B13" s="486" t="s">
        <v>292</v>
      </c>
      <c r="C13" s="272"/>
      <c r="D13" s="484"/>
      <c r="E13" s="272"/>
      <c r="F13" s="967"/>
      <c r="G13" s="539"/>
      <c r="H13" s="974">
        <f>VLOOKUP(A12,TABMAND,T3+2)</f>
        <v>457830</v>
      </c>
      <c r="I13" s="484"/>
    </row>
    <row r="14" spans="1:9" ht="18">
      <c r="A14" s="485"/>
      <c r="B14" s="487" t="s">
        <v>293</v>
      </c>
      <c r="C14" s="272"/>
      <c r="D14" s="484"/>
      <c r="E14" s="272"/>
      <c r="F14" s="967"/>
      <c r="G14" s="539"/>
      <c r="H14" s="974">
        <f>VLOOKUP(A12,TABMAND,T3+3)</f>
        <v>558028.5</v>
      </c>
      <c r="I14" s="484"/>
    </row>
    <row r="15" spans="1:9" ht="18">
      <c r="A15" s="485"/>
      <c r="B15" s="487" t="s">
        <v>294</v>
      </c>
      <c r="C15" s="272"/>
      <c r="D15" s="484"/>
      <c r="E15" s="272"/>
      <c r="F15" s="967"/>
      <c r="G15" s="539"/>
      <c r="H15" s="974">
        <f>VLOOKUP(A12,TABMAND,T3+4)</f>
        <v>17735</v>
      </c>
      <c r="I15" s="484"/>
    </row>
    <row r="16" spans="1:9" ht="18">
      <c r="A16" s="482">
        <f>A12+1</f>
        <v>70</v>
      </c>
      <c r="B16" s="483"/>
      <c r="C16" s="272"/>
      <c r="D16" s="484"/>
      <c r="E16" s="272"/>
      <c r="F16" s="967"/>
      <c r="G16" s="539">
        <f>SUM(H17:H19)</f>
        <v>400768</v>
      </c>
      <c r="H16" s="974"/>
      <c r="I16" s="484"/>
    </row>
    <row r="17" spans="1:10" ht="18">
      <c r="A17" s="485"/>
      <c r="B17" s="486" t="s">
        <v>292</v>
      </c>
      <c r="C17" s="272"/>
      <c r="D17" s="484"/>
      <c r="E17" s="272"/>
      <c r="F17" s="967"/>
      <c r="G17" s="539"/>
      <c r="H17" s="974">
        <f>VLOOKUP(A16,TABMAND,T3+2)</f>
        <v>147520</v>
      </c>
      <c r="I17" s="484"/>
    </row>
    <row r="18" spans="1:10" ht="18">
      <c r="A18" s="485"/>
      <c r="B18" s="487" t="s">
        <v>293</v>
      </c>
      <c r="C18" s="272"/>
      <c r="D18" s="484"/>
      <c r="E18" s="272"/>
      <c r="F18" s="967"/>
      <c r="G18" s="539"/>
      <c r="H18" s="974">
        <f>VLOOKUP(A16,TABMAND,T3+3)</f>
        <v>249191.75</v>
      </c>
      <c r="I18" s="484"/>
    </row>
    <row r="19" spans="1:10" ht="18">
      <c r="A19" s="485"/>
      <c r="B19" s="487" t="s">
        <v>294</v>
      </c>
      <c r="C19" s="272"/>
      <c r="D19" s="484"/>
      <c r="E19" s="272"/>
      <c r="F19" s="967"/>
      <c r="G19" s="539"/>
      <c r="H19" s="974">
        <f>VLOOKUP(A16,TABMAND,T3+4)</f>
        <v>4056.25</v>
      </c>
      <c r="I19" s="484"/>
    </row>
    <row r="20" spans="1:10" ht="18">
      <c r="A20" s="482">
        <f>A16+1</f>
        <v>71</v>
      </c>
      <c r="B20" s="483"/>
      <c r="C20" s="272"/>
      <c r="D20" s="484"/>
      <c r="E20" s="272"/>
      <c r="F20" s="967"/>
      <c r="G20" s="539">
        <f>SUM(H21:H23)</f>
        <v>240370</v>
      </c>
      <c r="H20" s="974"/>
      <c r="I20" s="484"/>
    </row>
    <row r="21" spans="1:10" ht="18">
      <c r="A21" s="485"/>
      <c r="B21" s="486" t="s">
        <v>292</v>
      </c>
      <c r="C21" s="272"/>
      <c r="D21" s="484"/>
      <c r="E21" s="272"/>
      <c r="F21" s="967"/>
      <c r="G21" s="539"/>
      <c r="H21" s="974">
        <f>VLOOKUP(A20,TABMAND,T3+2)</f>
        <v>76000</v>
      </c>
      <c r="I21" s="484"/>
    </row>
    <row r="22" spans="1:10" ht="18">
      <c r="A22" s="485"/>
      <c r="B22" s="487" t="s">
        <v>293</v>
      </c>
      <c r="C22" s="272"/>
      <c r="D22" s="484"/>
      <c r="E22" s="272"/>
      <c r="F22" s="967"/>
      <c r="G22" s="539"/>
      <c r="H22" s="974">
        <f>VLOOKUP(A20,TABMAND,T3+3)</f>
        <v>164370</v>
      </c>
      <c r="I22" s="484"/>
    </row>
    <row r="23" spans="1:10" ht="18">
      <c r="A23" s="485"/>
      <c r="B23" s="487" t="s">
        <v>294</v>
      </c>
      <c r="C23" s="272"/>
      <c r="D23" s="484"/>
      <c r="E23" s="272"/>
      <c r="F23" s="967"/>
      <c r="G23" s="539"/>
      <c r="H23" s="974">
        <f>VLOOKUP(A20,TABMAND,T3+4)</f>
        <v>0</v>
      </c>
      <c r="I23" s="484"/>
    </row>
    <row r="24" spans="1:10" ht="18">
      <c r="A24" s="482">
        <f>A20+1</f>
        <v>72</v>
      </c>
      <c r="B24" s="483"/>
      <c r="C24" s="272"/>
      <c r="D24" s="484"/>
      <c r="E24" s="272"/>
      <c r="F24" s="967"/>
      <c r="G24" s="539">
        <f>SUM(H25:H27)</f>
        <v>316326</v>
      </c>
      <c r="H24" s="974"/>
      <c r="I24" s="484"/>
    </row>
    <row r="25" spans="1:10" ht="18">
      <c r="A25" s="485"/>
      <c r="B25" s="486" t="s">
        <v>292</v>
      </c>
      <c r="C25" s="272"/>
      <c r="D25" s="484"/>
      <c r="E25" s="272"/>
      <c r="F25" s="967"/>
      <c r="G25" s="539"/>
      <c r="H25" s="974">
        <f>VLOOKUP(A24,TABMAND,T3+2)</f>
        <v>142155</v>
      </c>
      <c r="I25" s="484"/>
    </row>
    <row r="26" spans="1:10" ht="18">
      <c r="A26" s="485"/>
      <c r="B26" s="487" t="s">
        <v>293</v>
      </c>
      <c r="C26" s="272"/>
      <c r="D26" s="484"/>
      <c r="E26" s="272"/>
      <c r="F26" s="967"/>
      <c r="G26" s="539"/>
      <c r="H26" s="974">
        <f>VLOOKUP(A24,TABMAND,T3+3)</f>
        <v>168303.5</v>
      </c>
      <c r="I26" s="484"/>
    </row>
    <row r="27" spans="1:10" ht="18">
      <c r="A27" s="485"/>
      <c r="B27" s="487" t="s">
        <v>294</v>
      </c>
      <c r="C27" s="272"/>
      <c r="D27" s="484"/>
      <c r="E27" s="272"/>
      <c r="F27" s="967"/>
      <c r="G27" s="539"/>
      <c r="H27" s="974">
        <f>VLOOKUP(A24,TABMAND,T3+4)</f>
        <v>5867.5</v>
      </c>
      <c r="I27" s="484"/>
    </row>
    <row r="28" spans="1:10" ht="18">
      <c r="A28" s="482">
        <f>A24+1</f>
        <v>73</v>
      </c>
      <c r="B28" s="483"/>
      <c r="C28" s="272"/>
      <c r="D28" s="484"/>
      <c r="E28" s="272"/>
      <c r="F28" s="967"/>
      <c r="G28" s="539">
        <f>SUM(H29:H31)</f>
        <v>1776849.25</v>
      </c>
      <c r="H28" s="974"/>
      <c r="I28" s="484"/>
    </row>
    <row r="29" spans="1:10" ht="18">
      <c r="A29" s="485"/>
      <c r="B29" s="486" t="s">
        <v>292</v>
      </c>
      <c r="C29" s="272"/>
      <c r="D29" s="484"/>
      <c r="E29" s="272"/>
      <c r="F29" s="967"/>
      <c r="G29" s="539"/>
      <c r="H29" s="974">
        <f>VLOOKUP(A28,TABMAND,T3+2)</f>
        <v>831825</v>
      </c>
      <c r="I29" s="484"/>
    </row>
    <row r="30" spans="1:10" ht="18">
      <c r="A30" s="485"/>
      <c r="B30" s="487" t="s">
        <v>293</v>
      </c>
      <c r="C30" s="272"/>
      <c r="D30" s="484"/>
      <c r="E30" s="272"/>
      <c r="F30" s="967"/>
      <c r="G30" s="539"/>
      <c r="H30" s="974">
        <f>VLOOKUP(A28,TABMAND,T3+3)</f>
        <v>940968</v>
      </c>
      <c r="I30" s="484"/>
      <c r="J30" s="3"/>
    </row>
    <row r="31" spans="1:10" ht="18">
      <c r="A31" s="485"/>
      <c r="B31" s="487" t="s">
        <v>294</v>
      </c>
      <c r="C31" s="272"/>
      <c r="D31" s="484"/>
      <c r="E31" s="272"/>
      <c r="F31" s="967"/>
      <c r="G31" s="539"/>
      <c r="H31" s="974">
        <f>VLOOKUP(A28,TABMAND,T3+4)</f>
        <v>4056.25</v>
      </c>
      <c r="I31" s="484"/>
      <c r="J31" s="3"/>
    </row>
    <row r="32" spans="1:10" ht="18">
      <c r="A32" s="485"/>
      <c r="B32" s="487"/>
      <c r="C32" s="272"/>
      <c r="D32" s="484"/>
      <c r="E32" s="272"/>
      <c r="F32" s="484"/>
      <c r="G32" s="539"/>
      <c r="H32" s="974"/>
      <c r="I32" s="484"/>
      <c r="J32" s="3"/>
    </row>
    <row r="33" spans="1:10" ht="18">
      <c r="A33" s="540">
        <f>A28+1</f>
        <v>74</v>
      </c>
      <c r="B33" s="541" t="s">
        <v>96</v>
      </c>
      <c r="C33" s="454"/>
      <c r="D33" s="542"/>
      <c r="E33" s="454"/>
      <c r="F33" s="542"/>
      <c r="G33" s="543">
        <f>'ETAT-SECSOC'!H20</f>
        <v>955997.19</v>
      </c>
      <c r="H33" s="974">
        <f>'MAND-SEC-SOC'!D29</f>
        <v>955997.19</v>
      </c>
      <c r="I33" s="484"/>
      <c r="J33" s="3"/>
    </row>
    <row r="34" spans="1:10">
      <c r="A34" s="545"/>
      <c r="B34" s="544"/>
      <c r="C34" s="545"/>
      <c r="D34" s="545"/>
      <c r="E34" s="545"/>
      <c r="F34" s="545"/>
      <c r="G34" s="4"/>
      <c r="H34" s="973"/>
      <c r="I34" s="545"/>
      <c r="J34" s="3"/>
    </row>
    <row r="35" spans="1:10">
      <c r="J35" s="3"/>
    </row>
    <row r="36" spans="1:10" ht="20.25">
      <c r="G36" s="1347">
        <f>الرئيسية!$N$10</f>
        <v>43617</v>
      </c>
    </row>
    <row r="54" spans="1:9" ht="30">
      <c r="B54" s="538"/>
      <c r="C54" s="538"/>
      <c r="D54" s="538"/>
      <c r="E54" s="538"/>
      <c r="F54" s="538"/>
      <c r="G54" s="538" t="s">
        <v>279</v>
      </c>
      <c r="H54" s="968"/>
      <c r="I54" s="538"/>
    </row>
    <row r="55" spans="1:9" ht="15">
      <c r="A55" s="473" t="s">
        <v>65</v>
      </c>
      <c r="B55" s="1354">
        <f>B4</f>
        <v>652525</v>
      </c>
      <c r="C55" s="473"/>
      <c r="D55" s="473"/>
      <c r="E55" s="473"/>
      <c r="F55" s="474" t="s">
        <v>280</v>
      </c>
      <c r="G55" s="431"/>
      <c r="H55" s="969"/>
      <c r="I55" s="475"/>
    </row>
    <row r="56" spans="1:9" ht="15">
      <c r="A56" s="1754" t="s">
        <v>94</v>
      </c>
      <c r="B56" s="1755"/>
      <c r="C56" s="476">
        <f ca="1">C5</f>
        <v>2019</v>
      </c>
      <c r="D56" s="473"/>
      <c r="E56" s="473"/>
      <c r="F56" s="477"/>
      <c r="G56" s="431"/>
      <c r="H56" s="1756" t="s">
        <v>1</v>
      </c>
      <c r="I56" s="1756"/>
    </row>
    <row r="57" spans="1:9" ht="15">
      <c r="A57" s="473"/>
      <c r="B57" s="1757" t="s">
        <v>281</v>
      </c>
      <c r="C57" s="1755"/>
      <c r="D57" s="1354" t="str">
        <f>D6</f>
        <v>12452</v>
      </c>
      <c r="E57" s="473"/>
      <c r="F57" s="475"/>
      <c r="G57" s="475"/>
      <c r="H57" s="1758" t="s">
        <v>767</v>
      </c>
      <c r="I57" s="1758"/>
    </row>
    <row r="58" spans="1:9">
      <c r="A58" s="473"/>
      <c r="B58" s="478"/>
      <c r="C58" s="1754" t="s">
        <v>282</v>
      </c>
      <c r="D58" s="1755"/>
      <c r="E58" s="479"/>
      <c r="F58" s="475"/>
      <c r="G58" s="475"/>
      <c r="H58" s="1758" t="s">
        <v>768</v>
      </c>
      <c r="I58" s="1758"/>
    </row>
    <row r="59" spans="1:9">
      <c r="A59" s="473"/>
      <c r="B59" s="478"/>
      <c r="C59" s="473"/>
      <c r="D59" s="1754" t="s">
        <v>283</v>
      </c>
      <c r="E59" s="1755"/>
      <c r="F59" s="480"/>
      <c r="G59" s="475"/>
      <c r="H59" s="969"/>
      <c r="I59" s="475"/>
    </row>
    <row r="60" spans="1:9">
      <c r="A60" s="431"/>
      <c r="B60" s="431"/>
      <c r="C60" s="431"/>
      <c r="D60" s="431"/>
      <c r="E60" s="431"/>
      <c r="F60" s="431"/>
      <c r="G60" s="431"/>
      <c r="H60" s="970"/>
      <c r="I60" s="431"/>
    </row>
    <row r="61" spans="1:9" ht="15">
      <c r="A61" s="1752" t="s">
        <v>247</v>
      </c>
      <c r="B61" s="1752" t="s">
        <v>284</v>
      </c>
      <c r="C61" s="1752" t="s">
        <v>285</v>
      </c>
      <c r="D61" s="1752" t="s">
        <v>286</v>
      </c>
      <c r="E61" s="1752" t="s">
        <v>287</v>
      </c>
      <c r="F61" s="1749" t="s">
        <v>288</v>
      </c>
      <c r="G61" s="1750"/>
      <c r="H61" s="1751"/>
      <c r="I61" s="1752" t="s">
        <v>289</v>
      </c>
    </row>
    <row r="62" spans="1:9" ht="15">
      <c r="A62" s="1753"/>
      <c r="B62" s="1753"/>
      <c r="C62" s="1753"/>
      <c r="D62" s="1753"/>
      <c r="E62" s="1753"/>
      <c r="F62" s="481" t="s">
        <v>290</v>
      </c>
      <c r="G62" s="481" t="s">
        <v>291</v>
      </c>
      <c r="H62" s="971" t="s">
        <v>285</v>
      </c>
      <c r="I62" s="1753"/>
    </row>
    <row r="63" spans="1:9" ht="18">
      <c r="A63" s="482">
        <f>A33+1</f>
        <v>75</v>
      </c>
      <c r="B63" s="483"/>
      <c r="C63" s="272"/>
      <c r="D63" s="484"/>
      <c r="E63" s="272"/>
      <c r="F63" s="484"/>
      <c r="G63" s="539">
        <f>SUM(H64:H64)</f>
        <v>239994.16</v>
      </c>
      <c r="H63" s="972"/>
      <c r="I63" s="484"/>
    </row>
    <row r="64" spans="1:9" ht="18">
      <c r="A64" s="485"/>
      <c r="B64" s="486" t="s">
        <v>660</v>
      </c>
      <c r="C64" s="272"/>
      <c r="D64" s="484"/>
      <c r="E64" s="272"/>
      <c r="F64" s="967"/>
      <c r="G64" s="539"/>
      <c r="H64" s="974">
        <f>VLOOKUP(A63,TABMAND,T54+13)</f>
        <v>239994.16</v>
      </c>
      <c r="I64" s="484"/>
    </row>
    <row r="65" spans="1:10" ht="18">
      <c r="A65" s="482">
        <f>A63+1</f>
        <v>76</v>
      </c>
      <c r="B65" s="483"/>
      <c r="C65" s="272"/>
      <c r="D65" s="484"/>
      <c r="E65" s="272"/>
      <c r="F65" s="967"/>
      <c r="G65" s="539">
        <f>SUM(H66:H66)</f>
        <v>144583.9</v>
      </c>
      <c r="H65" s="974"/>
      <c r="I65" s="484"/>
    </row>
    <row r="66" spans="1:10" ht="18">
      <c r="A66" s="485"/>
      <c r="B66" s="486" t="s">
        <v>660</v>
      </c>
      <c r="C66" s="272"/>
      <c r="D66" s="484"/>
      <c r="E66" s="272"/>
      <c r="F66" s="967"/>
      <c r="G66" s="539"/>
      <c r="H66" s="974">
        <f>VLOOKUP(A65,TABMAND,T54+13)</f>
        <v>144583.9</v>
      </c>
      <c r="I66" s="484"/>
    </row>
    <row r="67" spans="1:10" ht="18">
      <c r="A67" s="482">
        <f>A65+1</f>
        <v>77</v>
      </c>
      <c r="B67" s="483"/>
      <c r="C67" s="272"/>
      <c r="D67" s="484"/>
      <c r="E67" s="272"/>
      <c r="F67" s="967"/>
      <c r="G67" s="539">
        <f>SUM(H68:H68)</f>
        <v>348345.71</v>
      </c>
      <c r="H67" s="974"/>
      <c r="I67" s="484"/>
    </row>
    <row r="68" spans="1:10" ht="18">
      <c r="A68" s="485"/>
      <c r="B68" s="486" t="s">
        <v>660</v>
      </c>
      <c r="C68" s="272"/>
      <c r="D68" s="484"/>
      <c r="E68" s="272"/>
      <c r="F68" s="967"/>
      <c r="G68" s="539"/>
      <c r="H68" s="974">
        <f>VLOOKUP(A67,TABMAND,T54+13)</f>
        <v>348345.71</v>
      </c>
      <c r="I68" s="484"/>
    </row>
    <row r="69" spans="1:10" ht="18">
      <c r="A69" s="482">
        <f>A67+1</f>
        <v>78</v>
      </c>
      <c r="B69" s="483"/>
      <c r="C69" s="272"/>
      <c r="D69" s="484"/>
      <c r="E69" s="272"/>
      <c r="F69" s="967"/>
      <c r="G69" s="539">
        <f>SUM(H70:H70)</f>
        <v>20194.52</v>
      </c>
      <c r="H69" s="974"/>
      <c r="I69" s="484"/>
    </row>
    <row r="70" spans="1:10" ht="18">
      <c r="A70" s="485"/>
      <c r="B70" s="486" t="s">
        <v>660</v>
      </c>
      <c r="C70" s="272"/>
      <c r="D70" s="484"/>
      <c r="E70" s="272"/>
      <c r="F70" s="967"/>
      <c r="G70" s="539"/>
      <c r="H70" s="974">
        <f>VLOOKUP(A69,TABMAND,T54+13)</f>
        <v>20194.52</v>
      </c>
      <c r="I70" s="484"/>
    </row>
    <row r="71" spans="1:10" ht="18">
      <c r="A71" s="482">
        <f>A69+1</f>
        <v>79</v>
      </c>
      <c r="B71" s="483"/>
      <c r="C71" s="272"/>
      <c r="D71" s="484"/>
      <c r="E71" s="272"/>
      <c r="F71" s="967"/>
      <c r="G71" s="539">
        <f>SUM(H72:H74)</f>
        <v>143923.54</v>
      </c>
      <c r="H71" s="974"/>
      <c r="I71" s="484"/>
    </row>
    <row r="72" spans="1:10" ht="18">
      <c r="A72" s="485"/>
      <c r="B72" s="486" t="s">
        <v>660</v>
      </c>
      <c r="C72" s="272"/>
      <c r="D72" s="484"/>
      <c r="E72" s="272"/>
      <c r="F72" s="967"/>
      <c r="G72" s="539"/>
      <c r="H72" s="974">
        <f>VLOOKUP(A71,TABMAND,T54+13)</f>
        <v>76282.12</v>
      </c>
      <c r="I72" s="484"/>
      <c r="J72" s="3"/>
    </row>
    <row r="73" spans="1:10" ht="18">
      <c r="A73" s="540">
        <f>A71+1</f>
        <v>80</v>
      </c>
      <c r="B73" s="486"/>
      <c r="C73" s="272"/>
      <c r="D73" s="484"/>
      <c r="E73" s="272"/>
      <c r="F73" s="967"/>
      <c r="G73" s="539"/>
      <c r="H73" s="974"/>
      <c r="I73" s="484"/>
      <c r="J73" s="3"/>
    </row>
    <row r="74" spans="1:10" ht="18">
      <c r="A74" s="485"/>
      <c r="B74" s="486" t="s">
        <v>660</v>
      </c>
      <c r="C74" s="272"/>
      <c r="D74" s="484"/>
      <c r="E74" s="272"/>
      <c r="F74" s="967"/>
      <c r="G74" s="539"/>
      <c r="H74" s="974">
        <f>VLOOKUP(A73,TABMAND,T54+13)</f>
        <v>67641.42</v>
      </c>
      <c r="I74" s="484"/>
      <c r="J74" s="3"/>
    </row>
    <row r="75" spans="1:10" ht="18">
      <c r="A75" s="485"/>
      <c r="B75" s="487"/>
      <c r="C75" s="272"/>
      <c r="D75" s="484"/>
      <c r="E75" s="272"/>
      <c r="F75" s="484"/>
      <c r="G75" s="539"/>
      <c r="H75" s="974"/>
      <c r="I75" s="484"/>
      <c r="J75" s="3"/>
    </row>
    <row r="76" spans="1:10">
      <c r="A76" s="545"/>
      <c r="B76" s="544"/>
      <c r="C76" s="545"/>
      <c r="D76" s="545"/>
      <c r="E76" s="545"/>
      <c r="F76" s="545"/>
      <c r="G76" s="4"/>
      <c r="H76" s="973"/>
      <c r="I76" s="545"/>
      <c r="J76" s="3"/>
    </row>
    <row r="77" spans="1:10">
      <c r="J77" s="3"/>
    </row>
    <row r="78" spans="1:10" ht="20.25">
      <c r="G78" s="1347">
        <f>الرئيسية!$N$10</f>
        <v>43617</v>
      </c>
      <c r="J78" s="3"/>
    </row>
    <row r="79" spans="1:10">
      <c r="J79" s="3"/>
    </row>
    <row r="80" spans="1:10">
      <c r="J80" s="3"/>
    </row>
  </sheetData>
  <mergeCells count="28">
    <mergeCell ref="B10:B11"/>
    <mergeCell ref="A10:A11"/>
    <mergeCell ref="D8:E8"/>
    <mergeCell ref="A5:B5"/>
    <mergeCell ref="H5:I5"/>
    <mergeCell ref="F10:H10"/>
    <mergeCell ref="I10:I11"/>
    <mergeCell ref="B6:C6"/>
    <mergeCell ref="H6:I6"/>
    <mergeCell ref="C7:D7"/>
    <mergeCell ref="H7:I7"/>
    <mergeCell ref="E10:E11"/>
    <mergeCell ref="D10:D11"/>
    <mergeCell ref="C10:C11"/>
    <mergeCell ref="A56:B56"/>
    <mergeCell ref="H56:I56"/>
    <mergeCell ref="B57:C57"/>
    <mergeCell ref="H57:I57"/>
    <mergeCell ref="C58:D58"/>
    <mergeCell ref="H58:I58"/>
    <mergeCell ref="F61:H61"/>
    <mergeCell ref="I61:I62"/>
    <mergeCell ref="D59:E59"/>
    <mergeCell ref="A61:A62"/>
    <mergeCell ref="B61:B62"/>
    <mergeCell ref="C61:C62"/>
    <mergeCell ref="D61:D62"/>
    <mergeCell ref="E61:E62"/>
  </mergeCells>
  <phoneticPr fontId="2" type="noConversion"/>
  <printOptions horizontalCentered="1"/>
  <pageMargins left="0.23622047244094491" right="0.23622047244094491" top="0.74803149606299213" bottom="0.74803149606299213" header="0.31496062992125984" footer="0.31496062992125984"/>
  <pageSetup paperSize="134" scale="90" orientation="portrait" horizontalDpi="180" verticalDpi="180" r:id="rId1"/>
  <headerFooter alignWithMargins="0"/>
  <drawing r:id="rId2"/>
</worksheet>
</file>

<file path=xl/worksheets/sheet37.xml><?xml version="1.0" encoding="utf-8"?>
<worksheet xmlns="http://schemas.openxmlformats.org/spreadsheetml/2006/main" xmlns:r="http://schemas.openxmlformats.org/officeDocument/2006/relationships">
  <dimension ref="A1:BV69"/>
  <sheetViews>
    <sheetView rightToLeft="1" topLeftCell="A37" workbookViewId="0">
      <selection activeCell="B50" sqref="B50"/>
    </sheetView>
  </sheetViews>
  <sheetFormatPr baseColWidth="10" defaultRowHeight="18"/>
  <cols>
    <col min="1" max="1" width="36.85546875" style="627" customWidth="1"/>
    <col min="2" max="2" width="36.85546875" style="580" customWidth="1"/>
    <col min="3" max="3" width="14.85546875" style="581" customWidth="1"/>
    <col min="4" max="8" width="14.85546875" style="582" customWidth="1"/>
    <col min="9" max="10" width="14.85546875" style="614" customWidth="1"/>
    <col min="11" max="11" width="14.85546875" style="584" customWidth="1"/>
    <col min="12" max="13" width="14.85546875" style="582" customWidth="1"/>
    <col min="14" max="14" width="14.85546875" style="584" customWidth="1"/>
    <col min="15" max="29" width="14.85546875" style="586" customWidth="1"/>
    <col min="30" max="31" width="16.140625" style="586" customWidth="1"/>
    <col min="32" max="44" width="9.140625" style="586" customWidth="1"/>
    <col min="45" max="45" width="25.28515625" style="586" customWidth="1"/>
    <col min="46" max="58" width="13.7109375" style="586" customWidth="1"/>
    <col min="59" max="59" width="11.42578125" style="627"/>
    <col min="60" max="60" width="35.85546875" style="580" customWidth="1"/>
    <col min="61" max="61" width="10.85546875" style="581" customWidth="1"/>
    <col min="62" max="64" width="11.7109375" style="582" customWidth="1"/>
    <col min="65" max="65" width="9.7109375" style="582" customWidth="1"/>
    <col min="66" max="66" width="10.140625" style="582" customWidth="1"/>
    <col min="67" max="69" width="14" style="614" customWidth="1"/>
    <col min="70" max="74" width="11.42578125" style="762"/>
    <col min="75" max="77" width="13.7109375" style="586" customWidth="1"/>
    <col min="78" max="83" width="36.85546875" style="586" customWidth="1"/>
    <col min="84" max="16384" width="11.42578125" style="586"/>
  </cols>
  <sheetData>
    <row r="1" spans="1:74" s="577" customFormat="1" ht="79.5" thickBot="1">
      <c r="A1" s="576" t="s">
        <v>19</v>
      </c>
      <c r="B1" s="576" t="s">
        <v>334</v>
      </c>
      <c r="C1" s="577" t="s">
        <v>335</v>
      </c>
      <c r="D1" s="577" t="s">
        <v>336</v>
      </c>
      <c r="E1" s="577" t="s">
        <v>337</v>
      </c>
      <c r="F1" s="577" t="s">
        <v>338</v>
      </c>
      <c r="G1" s="577" t="s">
        <v>339</v>
      </c>
      <c r="H1" s="577" t="s">
        <v>340</v>
      </c>
      <c r="I1" s="578"/>
      <c r="J1" s="578"/>
      <c r="K1" s="577" t="s">
        <v>341</v>
      </c>
      <c r="L1" s="577" t="s">
        <v>342</v>
      </c>
      <c r="M1" s="577" t="s">
        <v>343</v>
      </c>
      <c r="N1" s="577" t="s">
        <v>344</v>
      </c>
      <c r="O1" s="577" t="s">
        <v>345</v>
      </c>
      <c r="P1" s="577" t="s">
        <v>346</v>
      </c>
      <c r="Q1" s="577" t="s">
        <v>6</v>
      </c>
      <c r="R1" s="577" t="s">
        <v>8</v>
      </c>
      <c r="S1" s="577" t="s">
        <v>9</v>
      </c>
      <c r="T1" s="577" t="s">
        <v>10</v>
      </c>
      <c r="U1" s="577" t="s">
        <v>11</v>
      </c>
      <c r="V1" s="577" t="s">
        <v>12</v>
      </c>
      <c r="W1" s="577" t="s">
        <v>13</v>
      </c>
      <c r="X1" s="577" t="s">
        <v>14</v>
      </c>
      <c r="Y1" s="577" t="s">
        <v>15</v>
      </c>
      <c r="Z1" s="577" t="s">
        <v>347</v>
      </c>
      <c r="AA1" s="577" t="s">
        <v>348</v>
      </c>
      <c r="AB1" s="577" t="s">
        <v>349</v>
      </c>
      <c r="AC1" s="577" t="s">
        <v>339</v>
      </c>
      <c r="BG1" s="784" t="s">
        <v>19</v>
      </c>
      <c r="BH1" s="785" t="s">
        <v>334</v>
      </c>
      <c r="BI1" s="786" t="s">
        <v>335</v>
      </c>
      <c r="BJ1" s="786" t="s">
        <v>336</v>
      </c>
      <c r="BK1" s="786" t="s">
        <v>337</v>
      </c>
      <c r="BL1" s="786" t="s">
        <v>338</v>
      </c>
      <c r="BM1" s="786" t="s">
        <v>339</v>
      </c>
      <c r="BN1" s="786" t="s">
        <v>340</v>
      </c>
      <c r="BO1" s="787"/>
      <c r="BP1" s="787" t="s">
        <v>584</v>
      </c>
      <c r="BQ1" s="787" t="s">
        <v>585</v>
      </c>
      <c r="BR1" s="786" t="s">
        <v>10</v>
      </c>
      <c r="BS1" s="786" t="s">
        <v>11</v>
      </c>
      <c r="BT1" s="786" t="s">
        <v>13</v>
      </c>
      <c r="BU1" s="786" t="s">
        <v>14</v>
      </c>
      <c r="BV1" s="788" t="s">
        <v>15</v>
      </c>
    </row>
    <row r="2" spans="1:74" ht="24" thickBot="1">
      <c r="A2" s="579">
        <v>1</v>
      </c>
      <c r="B2" s="580" t="s">
        <v>351</v>
      </c>
      <c r="C2" s="581" t="s">
        <v>352</v>
      </c>
      <c r="E2" s="582">
        <v>16</v>
      </c>
      <c r="F2" s="582" t="str">
        <f>CONCATENATE(D2," ",E2)</f>
        <v xml:space="preserve"> 16</v>
      </c>
      <c r="G2" s="582">
        <v>713</v>
      </c>
      <c r="H2" s="582" t="s">
        <v>354</v>
      </c>
      <c r="I2" s="583">
        <f t="shared" ref="I2:I11" si="0">J2*35%</f>
        <v>2555</v>
      </c>
      <c r="J2" s="583">
        <v>7300</v>
      </c>
      <c r="K2" s="584" t="s">
        <v>355</v>
      </c>
      <c r="L2" s="582">
        <v>195</v>
      </c>
      <c r="M2" s="582" t="s">
        <v>356</v>
      </c>
      <c r="N2" s="584">
        <v>4000</v>
      </c>
      <c r="O2" s="585">
        <v>0.8</v>
      </c>
      <c r="P2" s="585">
        <v>0.9</v>
      </c>
      <c r="Q2" s="586">
        <f>IF(E2=1,7700,IF(E2=2,7400,IF(E2=3,6900,IF(E2=4,6400,IF(E2=5,5700,IF(E2=6,5000,IF(OR(E2=7,E2=8),3800,IF(E2&gt;=11,1500,3100))))))))</f>
        <v>1500</v>
      </c>
      <c r="R2" s="585">
        <f>IF(C2="CG",0.4,IF(OR(C2="CM",C2="CI"),0.25,0))</f>
        <v>0.4</v>
      </c>
      <c r="S2" s="585">
        <f>IF(C2="CTG",(0.4),IF(OR(C2="CTM",C2="CTI"),(0.25),0))</f>
        <v>0</v>
      </c>
      <c r="T2" s="585">
        <f>IF(OR(B2="عامل مهني من الصنف الثالث",B2="عامل مهني من الصنف الثاني",B2="عامل مهني من الصنف الأول",B2="عامل مهني خارج الصنف"),(0.25),0)</f>
        <v>0</v>
      </c>
      <c r="U2" s="585">
        <f>IF(OR(B2="سائق سيارة من الصنف الثاني",B2="سائق سيارة من الصنف الأول",B2="حاجب",B2="حاجب رئيسي"),(0.25),0)</f>
        <v>0</v>
      </c>
      <c r="V2" s="585">
        <f>IF(C2="TG",(0.4),IF(OR(C2="TI",C2="TM",C2="TS"),(0.3),0))</f>
        <v>0</v>
      </c>
      <c r="W2" s="585">
        <f>IF(OR(C2="TG",C2="TI",C2="TM",C2="TS"),(0.25),0)</f>
        <v>0</v>
      </c>
      <c r="X2" s="587">
        <f t="shared" ref="X2:X48" si="1">IF(OR(C2="CG",C2="CTG",C2="CS",C2="CTS",C2="CM",C2="CTM",C2="CI",C2="CTI",C2="CH",C2="OP",C2="V"),(0.1),0)</f>
        <v>0.1</v>
      </c>
      <c r="Y2" s="585">
        <f>IF(C2="D",0, 20%)</f>
        <v>0.2</v>
      </c>
      <c r="Z2" s="586">
        <v>0</v>
      </c>
      <c r="AA2" s="584" t="s">
        <v>357</v>
      </c>
      <c r="AB2" s="584" t="s">
        <v>358</v>
      </c>
      <c r="AC2" s="584">
        <v>3200</v>
      </c>
      <c r="AD2" s="667" t="s">
        <v>537</v>
      </c>
      <c r="AE2" s="588"/>
      <c r="AF2" s="589"/>
      <c r="AH2" s="589"/>
      <c r="AI2" s="589"/>
      <c r="AJ2" s="589"/>
      <c r="AK2" s="589"/>
      <c r="AL2" s="589"/>
      <c r="AM2" s="589"/>
      <c r="AN2" s="589"/>
      <c r="AO2" s="589"/>
      <c r="AP2" s="589"/>
      <c r="AQ2" s="589"/>
      <c r="AR2" s="590"/>
      <c r="AS2" s="665" t="s">
        <v>536</v>
      </c>
      <c r="AT2" s="664" t="s">
        <v>524</v>
      </c>
      <c r="AU2" s="664" t="s">
        <v>525</v>
      </c>
      <c r="AV2" s="664" t="s">
        <v>526</v>
      </c>
      <c r="AW2" s="664" t="s">
        <v>527</v>
      </c>
      <c r="AX2" s="664" t="s">
        <v>528</v>
      </c>
      <c r="AY2" s="664" t="s">
        <v>529</v>
      </c>
      <c r="AZ2" s="664" t="s">
        <v>530</v>
      </c>
      <c r="BA2" s="664" t="s">
        <v>531</v>
      </c>
      <c r="BB2" s="664" t="s">
        <v>532</v>
      </c>
      <c r="BC2" s="664" t="s">
        <v>533</v>
      </c>
      <c r="BD2" s="664" t="s">
        <v>534</v>
      </c>
      <c r="BE2" s="664" t="s">
        <v>535</v>
      </c>
      <c r="BG2" s="789">
        <v>1</v>
      </c>
      <c r="BH2" s="790" t="s">
        <v>586</v>
      </c>
      <c r="BI2" s="791" t="s">
        <v>587</v>
      </c>
      <c r="BJ2" s="626" t="s">
        <v>440</v>
      </c>
      <c r="BK2" s="626">
        <v>7</v>
      </c>
      <c r="BL2" s="626" t="str">
        <f>CONCATENATE(BJ2," ",BK2)</f>
        <v>د 7</v>
      </c>
      <c r="BM2" s="626">
        <v>348</v>
      </c>
      <c r="BN2" s="614" t="s">
        <v>588</v>
      </c>
      <c r="BO2" s="583">
        <v>3640</v>
      </c>
      <c r="BP2" s="583">
        <f t="shared" ref="BP2:BP14" si="2">BO2*35%</f>
        <v>1274</v>
      </c>
      <c r="BQ2" s="583">
        <f>IF(BK2=1,7700,IF(BK2=2,7400,IF(BK2=3,6900,IF(BK2=4,6400,IF(BK2=5,5700,IF(BK2=6,5000,IF(OR(BK2=7,BK2=8),3800,IF(BK2&gt;=11,1500,3100))))))))</f>
        <v>3800</v>
      </c>
      <c r="BR2" s="792">
        <v>0</v>
      </c>
      <c r="BS2" s="792">
        <v>0</v>
      </c>
      <c r="BT2" s="792">
        <v>0.25</v>
      </c>
      <c r="BU2" s="792">
        <f>(0.1)</f>
        <v>0.1</v>
      </c>
      <c r="BV2" s="793">
        <v>0.2</v>
      </c>
    </row>
    <row r="3" spans="1:74" ht="19.5" thickBot="1">
      <c r="A3" s="579">
        <f>A2+1</f>
        <v>2</v>
      </c>
      <c r="B3" s="580" t="s">
        <v>359</v>
      </c>
      <c r="C3" s="581" t="s">
        <v>360</v>
      </c>
      <c r="D3" s="582" t="s">
        <v>353</v>
      </c>
      <c r="E3" s="582">
        <v>16</v>
      </c>
      <c r="F3" s="582" t="str">
        <f t="shared" ref="F3:F49" si="3">CONCATENATE(D3," ",E3)</f>
        <v>أ 16</v>
      </c>
      <c r="G3" s="582">
        <v>713</v>
      </c>
      <c r="H3" s="582" t="s">
        <v>354</v>
      </c>
      <c r="I3" s="583">
        <f t="shared" si="0"/>
        <v>2555</v>
      </c>
      <c r="J3" s="583">
        <v>7300</v>
      </c>
      <c r="K3" s="584" t="s">
        <v>361</v>
      </c>
      <c r="L3" s="582">
        <v>195</v>
      </c>
      <c r="M3" s="582" t="s">
        <v>356</v>
      </c>
      <c r="O3" s="585">
        <v>0.8</v>
      </c>
      <c r="P3" s="585">
        <v>0.9</v>
      </c>
      <c r="Q3" s="586">
        <f t="shared" ref="Q3:Q49" si="4">IF(E3=1,7700,IF(E3=2,7400,IF(E3=3,6900,IF(E3=4,6400,IF(E3=5,5700,IF(E3=6,5000,IF(OR(E3=7,E3=8),3800,IF(E3&gt;=11,1500,3100))))))))</f>
        <v>1500</v>
      </c>
      <c r="R3" s="585">
        <f t="shared" ref="R3:R64" si="5">IF(C3="CG",0.4,IF(OR(C3="CM",C3="CI"),0.25,0))</f>
        <v>0</v>
      </c>
      <c r="S3" s="585">
        <f t="shared" ref="S3:S64" si="6">IF(C3="CTG",(0.4),IF(OR(C3="CTM",C3="CTI"),(0.25),0))</f>
        <v>0</v>
      </c>
      <c r="T3" s="585">
        <f t="shared" ref="T3:T64" si="7">IF(OR(B3="عامل مهني من الصنف الثالث",B3="عامل مهني من الصنف الثاني",B3="عامل مهني من الصنف الأول",B3="عامل مهني خارج الصنف"),(0.25),0)</f>
        <v>0</v>
      </c>
      <c r="U3" s="585">
        <f t="shared" ref="U3:U64" si="8">IF(OR(B3="سائق سيارة من الصنف الثاني",B3="سائق سيارة من الصنف الأول",B3="حاجب",B3="حاجب رئيسي"),(0.25),0)</f>
        <v>0</v>
      </c>
      <c r="V3" s="585">
        <f t="shared" ref="V3:V64" si="9">IF(C3="TG",(0.4),IF(OR(C3="TI",C3="TM",C3="TS"),(0.3),0))</f>
        <v>0.4</v>
      </c>
      <c r="W3" s="585">
        <f t="shared" ref="W3:W64" si="10">IF(OR(C3="TG",C3="TI",C3="TM",C3="TS"),(0.25),0)</f>
        <v>0.25</v>
      </c>
      <c r="X3" s="587">
        <f t="shared" si="1"/>
        <v>0</v>
      </c>
      <c r="Y3" s="585">
        <f t="shared" ref="Y3:Y64" si="11">IF(C3="D",0, 20%)</f>
        <v>0.2</v>
      </c>
      <c r="AA3" s="584"/>
      <c r="AB3" s="584"/>
      <c r="AC3" s="584"/>
      <c r="AD3" s="663" t="s">
        <v>349</v>
      </c>
      <c r="AE3" s="662" t="s">
        <v>523</v>
      </c>
      <c r="AF3" s="592">
        <v>0</v>
      </c>
      <c r="AG3" s="592" t="s">
        <v>362</v>
      </c>
      <c r="AH3" s="593" t="s">
        <v>363</v>
      </c>
      <c r="AI3" s="594" t="s">
        <v>364</v>
      </c>
      <c r="AJ3" s="595" t="s">
        <v>365</v>
      </c>
      <c r="AK3" s="596" t="s">
        <v>366</v>
      </c>
      <c r="AL3" s="596" t="s">
        <v>367</v>
      </c>
      <c r="AM3" s="596" t="s">
        <v>368</v>
      </c>
      <c r="AN3" s="596" t="s">
        <v>369</v>
      </c>
      <c r="AO3" s="596" t="s">
        <v>370</v>
      </c>
      <c r="AP3" s="596" t="s">
        <v>371</v>
      </c>
      <c r="AQ3" s="597" t="s">
        <v>372</v>
      </c>
      <c r="AR3" s="598" t="s">
        <v>373</v>
      </c>
      <c r="AS3" s="665" t="s">
        <v>483</v>
      </c>
      <c r="AT3" s="666">
        <v>1</v>
      </c>
      <c r="AU3" s="666">
        <v>2</v>
      </c>
      <c r="AV3" s="666">
        <v>3</v>
      </c>
      <c r="AW3" s="666">
        <v>4</v>
      </c>
      <c r="AX3" s="666">
        <v>5</v>
      </c>
      <c r="AY3" s="666">
        <v>6</v>
      </c>
      <c r="AZ3" s="666">
        <v>7</v>
      </c>
      <c r="BA3" s="666">
        <v>8</v>
      </c>
      <c r="BB3" s="666">
        <v>9</v>
      </c>
      <c r="BC3" s="666">
        <v>10</v>
      </c>
      <c r="BD3" s="666">
        <v>11</v>
      </c>
      <c r="BE3" s="666">
        <v>12</v>
      </c>
      <c r="BG3" s="789">
        <f>BG2+1</f>
        <v>2</v>
      </c>
      <c r="BH3" s="790" t="s">
        <v>589</v>
      </c>
      <c r="BI3" s="791" t="s">
        <v>590</v>
      </c>
      <c r="BJ3" s="626" t="s">
        <v>440</v>
      </c>
      <c r="BK3" s="626">
        <v>6</v>
      </c>
      <c r="BL3" s="626" t="str">
        <f t="shared" ref="BL3:BL14" si="12">CONCATENATE(BJ3," ",BK3)</f>
        <v>د 6</v>
      </c>
      <c r="BM3" s="626">
        <v>315</v>
      </c>
      <c r="BN3" s="614" t="s">
        <v>591</v>
      </c>
      <c r="BO3" s="583">
        <v>3070</v>
      </c>
      <c r="BP3" s="583">
        <f t="shared" si="2"/>
        <v>1074.5</v>
      </c>
      <c r="BQ3" s="583">
        <f t="shared" ref="BQ3:BQ14" si="13">IF(BK3=1,7700,IF(BK3=2,7400,IF(BK3=3,6900,IF(BK3=4,6400,IF(BK3=5,5700,IF(BK3=6,5000,IF(OR(BK3=7,BK3=8),3800,IF(BK3&gt;=11,1500,3100))))))))</f>
        <v>5000</v>
      </c>
      <c r="BR3" s="792">
        <v>0.25</v>
      </c>
      <c r="BS3" s="792">
        <v>0</v>
      </c>
      <c r="BT3" s="792">
        <v>0</v>
      </c>
      <c r="BU3" s="792">
        <f>(0.1)</f>
        <v>0.1</v>
      </c>
      <c r="BV3" s="793">
        <v>0.2</v>
      </c>
    </row>
    <row r="4" spans="1:74" ht="19.5" thickBot="1">
      <c r="A4" s="579">
        <f t="shared" ref="A4:A64" si="14">A3+1</f>
        <v>3</v>
      </c>
      <c r="B4" s="580" t="s">
        <v>374</v>
      </c>
      <c r="C4" s="581" t="s">
        <v>375</v>
      </c>
      <c r="D4" s="582" t="s">
        <v>353</v>
      </c>
      <c r="E4" s="582">
        <v>16</v>
      </c>
      <c r="F4" s="582" t="str">
        <f t="shared" si="3"/>
        <v>أ 16</v>
      </c>
      <c r="G4" s="582">
        <v>713</v>
      </c>
      <c r="H4" s="582" t="s">
        <v>376</v>
      </c>
      <c r="I4" s="583">
        <f t="shared" si="0"/>
        <v>2212</v>
      </c>
      <c r="J4" s="583">
        <v>6320</v>
      </c>
      <c r="K4" s="584" t="s">
        <v>377</v>
      </c>
      <c r="L4" s="582">
        <v>195</v>
      </c>
      <c r="M4" s="582" t="s">
        <v>356</v>
      </c>
      <c r="O4" s="585">
        <v>0.8</v>
      </c>
      <c r="P4" s="585">
        <v>0.9</v>
      </c>
      <c r="Q4" s="586">
        <f t="shared" si="4"/>
        <v>1500</v>
      </c>
      <c r="R4" s="585">
        <f t="shared" si="5"/>
        <v>0</v>
      </c>
      <c r="S4" s="585">
        <f t="shared" si="6"/>
        <v>0.4</v>
      </c>
      <c r="T4" s="585">
        <f t="shared" si="7"/>
        <v>0</v>
      </c>
      <c r="U4" s="585">
        <f t="shared" si="8"/>
        <v>0</v>
      </c>
      <c r="V4" s="585">
        <f t="shared" si="9"/>
        <v>0</v>
      </c>
      <c r="W4" s="585">
        <f t="shared" si="10"/>
        <v>0</v>
      </c>
      <c r="X4" s="587">
        <f t="shared" si="1"/>
        <v>0.1</v>
      </c>
      <c r="Y4" s="585">
        <f t="shared" si="11"/>
        <v>0.2</v>
      </c>
      <c r="AA4" s="584"/>
      <c r="AB4" s="584"/>
      <c r="AC4" s="584"/>
      <c r="AD4" s="660">
        <v>1</v>
      </c>
      <c r="AE4" s="656">
        <v>200</v>
      </c>
      <c r="AF4" s="599">
        <v>0</v>
      </c>
      <c r="AG4" s="599">
        <v>10</v>
      </c>
      <c r="AH4" s="600">
        <v>20</v>
      </c>
      <c r="AI4" s="600">
        <v>30</v>
      </c>
      <c r="AJ4" s="600">
        <v>40</v>
      </c>
      <c r="AK4" s="600">
        <v>50</v>
      </c>
      <c r="AL4" s="600">
        <v>60</v>
      </c>
      <c r="AM4" s="600">
        <v>70</v>
      </c>
      <c r="AN4" s="600">
        <v>80</v>
      </c>
      <c r="AO4" s="600">
        <v>90</v>
      </c>
      <c r="AP4" s="600">
        <v>100</v>
      </c>
      <c r="AQ4" s="600">
        <v>110</v>
      </c>
      <c r="AR4" s="601">
        <v>120</v>
      </c>
      <c r="AS4" s="665" t="s">
        <v>350</v>
      </c>
      <c r="AT4" s="666">
        <v>3360</v>
      </c>
      <c r="AU4" s="666">
        <v>3520</v>
      </c>
      <c r="AV4" s="666">
        <v>3680</v>
      </c>
      <c r="AW4" s="666">
        <v>3840</v>
      </c>
      <c r="AX4" s="666">
        <v>4000</v>
      </c>
      <c r="AY4" s="666">
        <v>4160</v>
      </c>
      <c r="AZ4" s="666">
        <v>4320</v>
      </c>
      <c r="BA4" s="666">
        <v>4480</v>
      </c>
      <c r="BB4" s="666">
        <v>4640</v>
      </c>
      <c r="BC4" s="666">
        <v>4800</v>
      </c>
      <c r="BD4" s="666">
        <v>4960</v>
      </c>
      <c r="BE4" s="666">
        <v>5120</v>
      </c>
      <c r="BG4" s="789">
        <f t="shared" ref="BG4:BG14" si="15">BG3+1</f>
        <v>3</v>
      </c>
      <c r="BH4" s="790" t="s">
        <v>592</v>
      </c>
      <c r="BI4" s="791" t="s">
        <v>593</v>
      </c>
      <c r="BJ4" s="626" t="s">
        <v>440</v>
      </c>
      <c r="BK4" s="626">
        <v>5</v>
      </c>
      <c r="BL4" s="626" t="str">
        <f t="shared" si="12"/>
        <v>د 5</v>
      </c>
      <c r="BM4" s="626">
        <v>288</v>
      </c>
      <c r="BN4" s="614" t="s">
        <v>444</v>
      </c>
      <c r="BO4" s="583">
        <v>2380</v>
      </c>
      <c r="BP4" s="583">
        <f t="shared" si="2"/>
        <v>833</v>
      </c>
      <c r="BQ4" s="583">
        <f t="shared" si="13"/>
        <v>5700</v>
      </c>
      <c r="BR4" s="792">
        <v>0</v>
      </c>
      <c r="BS4" s="792">
        <v>0</v>
      </c>
      <c r="BT4" s="792">
        <v>0.25</v>
      </c>
      <c r="BU4" s="792">
        <f t="shared" ref="BU4:BU14" si="16">(0.1)</f>
        <v>0.1</v>
      </c>
      <c r="BV4" s="793">
        <v>0.2</v>
      </c>
    </row>
    <row r="5" spans="1:74" ht="24" thickBot="1">
      <c r="A5" s="579">
        <f t="shared" si="14"/>
        <v>4</v>
      </c>
      <c r="B5" s="580" t="s">
        <v>378</v>
      </c>
      <c r="C5" s="581" t="s">
        <v>352</v>
      </c>
      <c r="D5" s="582" t="s">
        <v>353</v>
      </c>
      <c r="E5" s="582">
        <v>16</v>
      </c>
      <c r="F5" s="582" t="str">
        <f t="shared" si="3"/>
        <v>أ 16</v>
      </c>
      <c r="G5" s="582">
        <v>713</v>
      </c>
      <c r="H5" s="582" t="s">
        <v>376</v>
      </c>
      <c r="I5" s="583">
        <f t="shared" si="0"/>
        <v>2212</v>
      </c>
      <c r="J5" s="583">
        <v>6320</v>
      </c>
      <c r="K5" s="584" t="s">
        <v>379</v>
      </c>
      <c r="L5" s="582">
        <v>145</v>
      </c>
      <c r="M5" s="582" t="s">
        <v>380</v>
      </c>
      <c r="O5" s="585">
        <v>0.8</v>
      </c>
      <c r="P5" s="585">
        <v>0.9</v>
      </c>
      <c r="Q5" s="586">
        <f t="shared" si="4"/>
        <v>1500</v>
      </c>
      <c r="R5" s="585">
        <f t="shared" si="5"/>
        <v>0.4</v>
      </c>
      <c r="S5" s="585">
        <f t="shared" si="6"/>
        <v>0</v>
      </c>
      <c r="T5" s="585">
        <f t="shared" si="7"/>
        <v>0</v>
      </c>
      <c r="U5" s="585">
        <f t="shared" si="8"/>
        <v>0</v>
      </c>
      <c r="V5" s="585">
        <f t="shared" si="9"/>
        <v>0</v>
      </c>
      <c r="W5" s="585">
        <f t="shared" si="10"/>
        <v>0</v>
      </c>
      <c r="X5" s="587">
        <f t="shared" si="1"/>
        <v>0.1</v>
      </c>
      <c r="Y5" s="585">
        <f t="shared" si="11"/>
        <v>0.2</v>
      </c>
      <c r="AA5" s="584"/>
      <c r="AB5" s="584"/>
      <c r="AC5" s="584"/>
      <c r="AD5" s="660">
        <v>2</v>
      </c>
      <c r="AE5" s="657">
        <v>219</v>
      </c>
      <c r="AF5" s="599">
        <v>0</v>
      </c>
      <c r="AG5" s="599">
        <v>11</v>
      </c>
      <c r="AH5" s="599">
        <v>22</v>
      </c>
      <c r="AI5" s="602">
        <v>33</v>
      </c>
      <c r="AJ5" s="602">
        <v>44</v>
      </c>
      <c r="AK5" s="602">
        <v>55</v>
      </c>
      <c r="AL5" s="602">
        <v>66</v>
      </c>
      <c r="AM5" s="602">
        <v>77</v>
      </c>
      <c r="AN5" s="602">
        <v>88</v>
      </c>
      <c r="AO5" s="602">
        <v>99</v>
      </c>
      <c r="AP5" s="602">
        <v>110</v>
      </c>
      <c r="AQ5" s="602">
        <v>120</v>
      </c>
      <c r="AR5" s="602">
        <v>131</v>
      </c>
      <c r="AT5" s="668" t="s">
        <v>538</v>
      </c>
      <c r="BA5" s="584"/>
      <c r="BG5" s="789">
        <f t="shared" si="15"/>
        <v>4</v>
      </c>
      <c r="BH5" s="790" t="s">
        <v>594</v>
      </c>
      <c r="BI5" s="791" t="s">
        <v>595</v>
      </c>
      <c r="BJ5" s="626" t="s">
        <v>440</v>
      </c>
      <c r="BK5" s="626">
        <v>5</v>
      </c>
      <c r="BL5" s="626" t="str">
        <f t="shared" si="12"/>
        <v>د 5</v>
      </c>
      <c r="BM5" s="626">
        <v>288</v>
      </c>
      <c r="BN5" s="614" t="s">
        <v>454</v>
      </c>
      <c r="BO5" s="583">
        <v>2460</v>
      </c>
      <c r="BP5" s="583">
        <f t="shared" si="2"/>
        <v>861</v>
      </c>
      <c r="BQ5" s="583">
        <f t="shared" si="13"/>
        <v>5700</v>
      </c>
      <c r="BR5" s="792">
        <v>0</v>
      </c>
      <c r="BS5" s="792">
        <v>0.25</v>
      </c>
      <c r="BT5" s="792">
        <v>0</v>
      </c>
      <c r="BU5" s="792">
        <f t="shared" si="16"/>
        <v>0.1</v>
      </c>
      <c r="BV5" s="793">
        <v>0.2</v>
      </c>
    </row>
    <row r="6" spans="1:74" ht="19.5" thickBot="1">
      <c r="A6" s="579">
        <f t="shared" si="14"/>
        <v>5</v>
      </c>
      <c r="B6" s="580" t="s">
        <v>381</v>
      </c>
      <c r="C6" s="581" t="s">
        <v>352</v>
      </c>
      <c r="D6" s="582" t="s">
        <v>353</v>
      </c>
      <c r="E6" s="582">
        <v>14</v>
      </c>
      <c r="F6" s="582" t="str">
        <f t="shared" si="3"/>
        <v>أ 14</v>
      </c>
      <c r="G6" s="582">
        <v>621</v>
      </c>
      <c r="H6" s="582" t="s">
        <v>382</v>
      </c>
      <c r="I6" s="583">
        <f t="shared" si="0"/>
        <v>1869</v>
      </c>
      <c r="J6" s="583">
        <v>5340</v>
      </c>
      <c r="K6" s="584" t="s">
        <v>383</v>
      </c>
      <c r="L6" s="582">
        <v>75</v>
      </c>
      <c r="M6" s="582" t="s">
        <v>384</v>
      </c>
      <c r="O6" s="585">
        <v>0.8</v>
      </c>
      <c r="P6" s="585">
        <v>0.9</v>
      </c>
      <c r="Q6" s="586">
        <f t="shared" si="4"/>
        <v>1500</v>
      </c>
      <c r="R6" s="585">
        <f t="shared" si="5"/>
        <v>0.4</v>
      </c>
      <c r="S6" s="585">
        <f t="shared" si="6"/>
        <v>0</v>
      </c>
      <c r="T6" s="585">
        <f t="shared" si="7"/>
        <v>0</v>
      </c>
      <c r="U6" s="585">
        <f t="shared" si="8"/>
        <v>0</v>
      </c>
      <c r="V6" s="585">
        <f t="shared" si="9"/>
        <v>0</v>
      </c>
      <c r="W6" s="585">
        <f t="shared" si="10"/>
        <v>0</v>
      </c>
      <c r="X6" s="587">
        <f t="shared" si="1"/>
        <v>0.1</v>
      </c>
      <c r="Y6" s="585">
        <f t="shared" si="11"/>
        <v>0.2</v>
      </c>
      <c r="AA6" s="584"/>
      <c r="AB6" s="584"/>
      <c r="AC6" s="584"/>
      <c r="AD6" s="660">
        <v>3</v>
      </c>
      <c r="AE6" s="658">
        <v>240</v>
      </c>
      <c r="AF6" s="603">
        <v>0</v>
      </c>
      <c r="AG6" s="603">
        <v>12</v>
      </c>
      <c r="AH6" s="604">
        <v>24</v>
      </c>
      <c r="AI6" s="604">
        <v>36</v>
      </c>
      <c r="AJ6" s="604">
        <v>48</v>
      </c>
      <c r="AK6" s="604">
        <v>60</v>
      </c>
      <c r="AL6" s="604">
        <v>72</v>
      </c>
      <c r="AM6" s="604">
        <v>84</v>
      </c>
      <c r="AN6" s="604">
        <v>96</v>
      </c>
      <c r="AO6" s="604">
        <v>108</v>
      </c>
      <c r="AP6" s="604">
        <v>120</v>
      </c>
      <c r="AQ6" s="604">
        <v>132</v>
      </c>
      <c r="AR6" s="604">
        <v>144</v>
      </c>
      <c r="BG6" s="789">
        <f t="shared" si="15"/>
        <v>5</v>
      </c>
      <c r="BH6" s="790" t="s">
        <v>596</v>
      </c>
      <c r="BI6" s="791" t="s">
        <v>597</v>
      </c>
      <c r="BJ6" s="626" t="s">
        <v>440</v>
      </c>
      <c r="BK6" s="626">
        <v>5</v>
      </c>
      <c r="BL6" s="626" t="str">
        <f t="shared" si="12"/>
        <v>د 5</v>
      </c>
      <c r="BM6" s="626">
        <v>288</v>
      </c>
      <c r="BN6" s="614" t="s">
        <v>436</v>
      </c>
      <c r="BO6" s="583">
        <v>2850</v>
      </c>
      <c r="BP6" s="583">
        <f t="shared" si="2"/>
        <v>997.5</v>
      </c>
      <c r="BQ6" s="583">
        <f t="shared" si="13"/>
        <v>5700</v>
      </c>
      <c r="BR6" s="792">
        <v>0.25</v>
      </c>
      <c r="BS6" s="792">
        <v>0</v>
      </c>
      <c r="BT6" s="792">
        <v>0</v>
      </c>
      <c r="BU6" s="792">
        <f t="shared" si="16"/>
        <v>0.1</v>
      </c>
      <c r="BV6" s="793">
        <v>0.2</v>
      </c>
    </row>
    <row r="7" spans="1:74" ht="19.5" thickBot="1">
      <c r="A7" s="579">
        <f t="shared" si="14"/>
        <v>6</v>
      </c>
      <c r="B7" s="580" t="s">
        <v>385</v>
      </c>
      <c r="C7" s="581" t="s">
        <v>360</v>
      </c>
      <c r="D7" s="582" t="s">
        <v>353</v>
      </c>
      <c r="E7" s="582">
        <v>14</v>
      </c>
      <c r="F7" s="582" t="str">
        <f t="shared" si="3"/>
        <v>أ 14</v>
      </c>
      <c r="G7" s="582">
        <v>621</v>
      </c>
      <c r="H7" s="582" t="s">
        <v>382</v>
      </c>
      <c r="I7" s="583">
        <f t="shared" si="0"/>
        <v>1869</v>
      </c>
      <c r="J7" s="583">
        <v>5340</v>
      </c>
      <c r="K7" s="584" t="s">
        <v>386</v>
      </c>
      <c r="L7" s="582">
        <v>45</v>
      </c>
      <c r="M7" s="582" t="s">
        <v>387</v>
      </c>
      <c r="O7" s="585">
        <v>0.8</v>
      </c>
      <c r="P7" s="585">
        <v>0.9</v>
      </c>
      <c r="Q7" s="586">
        <f t="shared" si="4"/>
        <v>1500</v>
      </c>
      <c r="R7" s="585">
        <f t="shared" si="5"/>
        <v>0</v>
      </c>
      <c r="S7" s="585">
        <f t="shared" si="6"/>
        <v>0</v>
      </c>
      <c r="T7" s="585">
        <f t="shared" si="7"/>
        <v>0</v>
      </c>
      <c r="U7" s="585">
        <f t="shared" si="8"/>
        <v>0</v>
      </c>
      <c r="V7" s="585">
        <f t="shared" si="9"/>
        <v>0.4</v>
      </c>
      <c r="W7" s="585">
        <f t="shared" si="10"/>
        <v>0.25</v>
      </c>
      <c r="X7" s="587">
        <f t="shared" si="1"/>
        <v>0</v>
      </c>
      <c r="Y7" s="585">
        <f t="shared" si="11"/>
        <v>0.2</v>
      </c>
      <c r="AA7" s="584"/>
      <c r="AB7" s="584"/>
      <c r="AC7" s="584"/>
      <c r="AD7" s="660">
        <v>4</v>
      </c>
      <c r="AE7" s="658">
        <v>263</v>
      </c>
      <c r="AF7" s="599">
        <v>0</v>
      </c>
      <c r="AG7" s="599">
        <v>13</v>
      </c>
      <c r="AH7" s="602">
        <v>26</v>
      </c>
      <c r="AI7" s="602">
        <v>39</v>
      </c>
      <c r="AJ7" s="602">
        <v>53</v>
      </c>
      <c r="AK7" s="602">
        <v>66</v>
      </c>
      <c r="AL7" s="602">
        <v>79</v>
      </c>
      <c r="AM7" s="602">
        <v>92</v>
      </c>
      <c r="AN7" s="602">
        <v>105</v>
      </c>
      <c r="AO7" s="599">
        <v>118</v>
      </c>
      <c r="AP7" s="602">
        <v>132</v>
      </c>
      <c r="AQ7" s="602">
        <v>145</v>
      </c>
      <c r="AR7" s="602">
        <v>158</v>
      </c>
      <c r="BA7" s="584"/>
      <c r="BG7" s="789">
        <f t="shared" si="15"/>
        <v>6</v>
      </c>
      <c r="BH7" s="790" t="s">
        <v>598</v>
      </c>
      <c r="BI7" s="791" t="s">
        <v>599</v>
      </c>
      <c r="BJ7" s="626" t="s">
        <v>440</v>
      </c>
      <c r="BK7" s="626">
        <v>4</v>
      </c>
      <c r="BL7" s="626" t="str">
        <f t="shared" si="12"/>
        <v>د 4</v>
      </c>
      <c r="BM7" s="626">
        <v>263</v>
      </c>
      <c r="BN7" s="614" t="s">
        <v>591</v>
      </c>
      <c r="BO7" s="583">
        <v>3070</v>
      </c>
      <c r="BP7" s="583">
        <f t="shared" si="2"/>
        <v>1074.5</v>
      </c>
      <c r="BQ7" s="583">
        <f t="shared" si="13"/>
        <v>6400</v>
      </c>
      <c r="BR7" s="792">
        <v>0</v>
      </c>
      <c r="BS7" s="792">
        <v>0.25</v>
      </c>
      <c r="BT7" s="792">
        <v>0</v>
      </c>
      <c r="BU7" s="792">
        <f t="shared" si="16"/>
        <v>0.1</v>
      </c>
      <c r="BV7" s="793">
        <v>0.2</v>
      </c>
    </row>
    <row r="8" spans="1:74" ht="19.5" thickBot="1">
      <c r="A8" s="579">
        <f t="shared" si="14"/>
        <v>7</v>
      </c>
      <c r="B8" s="580" t="s">
        <v>388</v>
      </c>
      <c r="C8" s="581" t="s">
        <v>375</v>
      </c>
      <c r="D8" s="582" t="s">
        <v>353</v>
      </c>
      <c r="E8" s="582">
        <v>14</v>
      </c>
      <c r="F8" s="582" t="str">
        <f t="shared" si="3"/>
        <v>أ 14</v>
      </c>
      <c r="G8" s="582">
        <v>621</v>
      </c>
      <c r="H8" s="582" t="s">
        <v>382</v>
      </c>
      <c r="I8" s="583">
        <f t="shared" si="0"/>
        <v>1869</v>
      </c>
      <c r="J8" s="583">
        <v>5340</v>
      </c>
      <c r="K8" s="584" t="s">
        <v>357</v>
      </c>
      <c r="M8" s="582" t="s">
        <v>389</v>
      </c>
      <c r="N8" s="584" t="s">
        <v>390</v>
      </c>
      <c r="O8" s="585">
        <v>0.8</v>
      </c>
      <c r="P8" s="585">
        <v>0.9</v>
      </c>
      <c r="Q8" s="586">
        <f t="shared" si="4"/>
        <v>1500</v>
      </c>
      <c r="R8" s="585">
        <f t="shared" si="5"/>
        <v>0</v>
      </c>
      <c r="S8" s="585">
        <f t="shared" si="6"/>
        <v>0.4</v>
      </c>
      <c r="T8" s="585">
        <f t="shared" si="7"/>
        <v>0</v>
      </c>
      <c r="U8" s="585">
        <f t="shared" si="8"/>
        <v>0</v>
      </c>
      <c r="V8" s="585">
        <f t="shared" si="9"/>
        <v>0</v>
      </c>
      <c r="W8" s="585">
        <f t="shared" si="10"/>
        <v>0</v>
      </c>
      <c r="X8" s="587">
        <f t="shared" si="1"/>
        <v>0.1</v>
      </c>
      <c r="Y8" s="585">
        <f t="shared" si="11"/>
        <v>0.2</v>
      </c>
      <c r="AA8" s="584"/>
      <c r="AB8" s="584"/>
      <c r="AC8" s="584"/>
      <c r="AD8" s="660">
        <v>5</v>
      </c>
      <c r="AE8" s="658">
        <v>288</v>
      </c>
      <c r="AF8" s="599">
        <v>0</v>
      </c>
      <c r="AG8" s="599">
        <v>14</v>
      </c>
      <c r="AH8" s="605">
        <v>29</v>
      </c>
      <c r="AI8" s="599">
        <v>43</v>
      </c>
      <c r="AJ8" s="602">
        <v>58</v>
      </c>
      <c r="AK8" s="602">
        <v>72</v>
      </c>
      <c r="AL8" s="602">
        <v>86</v>
      </c>
      <c r="AM8" s="602">
        <v>101</v>
      </c>
      <c r="AN8" s="602">
        <v>115</v>
      </c>
      <c r="AO8" s="606">
        <v>130</v>
      </c>
      <c r="AP8" s="607">
        <v>144</v>
      </c>
      <c r="AQ8" s="607">
        <v>158</v>
      </c>
      <c r="AR8" s="607">
        <v>173</v>
      </c>
      <c r="BG8" s="789">
        <f t="shared" si="15"/>
        <v>7</v>
      </c>
      <c r="BH8" s="790" t="s">
        <v>600</v>
      </c>
      <c r="BI8" s="791" t="s">
        <v>601</v>
      </c>
      <c r="BJ8" s="626" t="s">
        <v>440</v>
      </c>
      <c r="BK8" s="626">
        <v>3</v>
      </c>
      <c r="BL8" s="626" t="str">
        <f t="shared" si="12"/>
        <v>د 3</v>
      </c>
      <c r="BM8" s="626">
        <v>240</v>
      </c>
      <c r="BN8" s="614" t="s">
        <v>454</v>
      </c>
      <c r="BO8" s="583">
        <v>2460</v>
      </c>
      <c r="BP8" s="583">
        <f t="shared" si="2"/>
        <v>861</v>
      </c>
      <c r="BQ8" s="583">
        <f t="shared" si="13"/>
        <v>6900</v>
      </c>
      <c r="BR8" s="792">
        <v>0</v>
      </c>
      <c r="BS8" s="792">
        <v>0.25</v>
      </c>
      <c r="BT8" s="792">
        <v>0</v>
      </c>
      <c r="BU8" s="792">
        <f t="shared" si="16"/>
        <v>0.1</v>
      </c>
      <c r="BV8" s="793">
        <v>0.2</v>
      </c>
    </row>
    <row r="9" spans="1:74" ht="19.5" thickBot="1">
      <c r="A9" s="579">
        <f t="shared" si="14"/>
        <v>8</v>
      </c>
      <c r="B9" s="580" t="s">
        <v>391</v>
      </c>
      <c r="C9" s="581" t="s">
        <v>352</v>
      </c>
      <c r="D9" s="582" t="s">
        <v>353</v>
      </c>
      <c r="E9" s="582">
        <v>14</v>
      </c>
      <c r="F9" s="582" t="str">
        <f t="shared" si="3"/>
        <v>أ 14</v>
      </c>
      <c r="G9" s="582">
        <v>621</v>
      </c>
      <c r="H9" s="582" t="s">
        <v>382</v>
      </c>
      <c r="I9" s="583">
        <f t="shared" si="0"/>
        <v>1869</v>
      </c>
      <c r="J9" s="583">
        <v>5340</v>
      </c>
      <c r="O9" s="585">
        <v>0.8</v>
      </c>
      <c r="P9" s="585">
        <v>0.9</v>
      </c>
      <c r="Q9" s="586">
        <f t="shared" si="4"/>
        <v>1500</v>
      </c>
      <c r="R9" s="585">
        <f t="shared" si="5"/>
        <v>0.4</v>
      </c>
      <c r="S9" s="585">
        <f t="shared" si="6"/>
        <v>0</v>
      </c>
      <c r="T9" s="585">
        <f t="shared" si="7"/>
        <v>0</v>
      </c>
      <c r="U9" s="585">
        <f t="shared" si="8"/>
        <v>0</v>
      </c>
      <c r="V9" s="585">
        <f t="shared" si="9"/>
        <v>0</v>
      </c>
      <c r="W9" s="585">
        <f t="shared" si="10"/>
        <v>0</v>
      </c>
      <c r="X9" s="587">
        <f t="shared" si="1"/>
        <v>0.1</v>
      </c>
      <c r="Y9" s="585">
        <f t="shared" si="11"/>
        <v>0.2</v>
      </c>
      <c r="AA9" s="584"/>
      <c r="AB9" s="584"/>
      <c r="AC9" s="584"/>
      <c r="AD9" s="660">
        <v>6</v>
      </c>
      <c r="AE9" s="658">
        <v>315</v>
      </c>
      <c r="AF9" s="603">
        <v>0</v>
      </c>
      <c r="AG9" s="603">
        <v>16</v>
      </c>
      <c r="AH9" s="608">
        <v>32</v>
      </c>
      <c r="AI9" s="603">
        <v>47</v>
      </c>
      <c r="AJ9" s="604">
        <v>63</v>
      </c>
      <c r="AK9" s="604">
        <v>79</v>
      </c>
      <c r="AL9" s="604">
        <v>95</v>
      </c>
      <c r="AM9" s="604">
        <v>110</v>
      </c>
      <c r="AN9" s="604">
        <v>126</v>
      </c>
      <c r="AO9" s="604">
        <v>142</v>
      </c>
      <c r="AP9" s="604">
        <v>158</v>
      </c>
      <c r="AQ9" s="604">
        <v>173</v>
      </c>
      <c r="AR9" s="604">
        <v>189</v>
      </c>
      <c r="BA9" s="584"/>
      <c r="BG9" s="789">
        <f t="shared" si="15"/>
        <v>8</v>
      </c>
      <c r="BH9" s="790" t="s">
        <v>602</v>
      </c>
      <c r="BI9" s="791" t="s">
        <v>603</v>
      </c>
      <c r="BJ9" s="626" t="s">
        <v>440</v>
      </c>
      <c r="BK9" s="626">
        <v>3</v>
      </c>
      <c r="BL9" s="626" t="str">
        <f t="shared" si="12"/>
        <v>د 3</v>
      </c>
      <c r="BM9" s="626">
        <v>240</v>
      </c>
      <c r="BN9" s="614" t="s">
        <v>436</v>
      </c>
      <c r="BO9" s="583">
        <v>2850</v>
      </c>
      <c r="BP9" s="583">
        <f t="shared" si="2"/>
        <v>997.5</v>
      </c>
      <c r="BQ9" s="583">
        <f t="shared" si="13"/>
        <v>6900</v>
      </c>
      <c r="BR9" s="792">
        <v>0</v>
      </c>
      <c r="BS9" s="792">
        <v>0.25</v>
      </c>
      <c r="BT9" s="792">
        <v>0</v>
      </c>
      <c r="BU9" s="792">
        <f t="shared" si="16"/>
        <v>0.1</v>
      </c>
      <c r="BV9" s="793">
        <v>0.2</v>
      </c>
    </row>
    <row r="10" spans="1:74" ht="19.5" thickBot="1">
      <c r="A10" s="579">
        <f t="shared" si="14"/>
        <v>9</v>
      </c>
      <c r="B10" s="580" t="s">
        <v>392</v>
      </c>
      <c r="C10" s="581" t="s">
        <v>352</v>
      </c>
      <c r="D10" s="582" t="s">
        <v>353</v>
      </c>
      <c r="E10" s="582">
        <v>13</v>
      </c>
      <c r="F10" s="582" t="str">
        <f t="shared" si="3"/>
        <v>أ 13</v>
      </c>
      <c r="G10" s="582">
        <v>578</v>
      </c>
      <c r="H10" s="582" t="s">
        <v>393</v>
      </c>
      <c r="I10" s="583">
        <f t="shared" si="0"/>
        <v>1687</v>
      </c>
      <c r="J10" s="583">
        <v>4820</v>
      </c>
      <c r="O10" s="585">
        <v>0.8</v>
      </c>
      <c r="P10" s="585">
        <v>0.9</v>
      </c>
      <c r="Q10" s="586">
        <f t="shared" si="4"/>
        <v>1500</v>
      </c>
      <c r="R10" s="585">
        <f t="shared" si="5"/>
        <v>0.4</v>
      </c>
      <c r="S10" s="585">
        <f t="shared" si="6"/>
        <v>0</v>
      </c>
      <c r="T10" s="585">
        <f t="shared" si="7"/>
        <v>0</v>
      </c>
      <c r="U10" s="585">
        <f t="shared" si="8"/>
        <v>0</v>
      </c>
      <c r="V10" s="585">
        <f t="shared" si="9"/>
        <v>0</v>
      </c>
      <c r="W10" s="585">
        <f t="shared" si="10"/>
        <v>0</v>
      </c>
      <c r="X10" s="587">
        <f t="shared" si="1"/>
        <v>0.1</v>
      </c>
      <c r="Y10" s="585">
        <f t="shared" si="11"/>
        <v>0.2</v>
      </c>
      <c r="AA10" s="584"/>
      <c r="AB10" s="584"/>
      <c r="AC10" s="584"/>
      <c r="AD10" s="660">
        <v>7</v>
      </c>
      <c r="AE10" s="656">
        <v>348</v>
      </c>
      <c r="AF10" s="599">
        <v>0</v>
      </c>
      <c r="AG10" s="599">
        <v>17</v>
      </c>
      <c r="AH10" s="605">
        <v>35</v>
      </c>
      <c r="AI10" s="599">
        <v>52</v>
      </c>
      <c r="AJ10" s="599">
        <v>70</v>
      </c>
      <c r="AK10" s="602">
        <v>87</v>
      </c>
      <c r="AL10" s="602">
        <v>104</v>
      </c>
      <c r="AM10" s="599">
        <v>122</v>
      </c>
      <c r="AN10" s="602">
        <v>139</v>
      </c>
      <c r="AO10" s="602">
        <v>157</v>
      </c>
      <c r="AP10" s="602">
        <v>174</v>
      </c>
      <c r="AQ10" s="609">
        <v>191</v>
      </c>
      <c r="AR10" s="599">
        <v>209</v>
      </c>
      <c r="BG10" s="789">
        <f t="shared" si="15"/>
        <v>9</v>
      </c>
      <c r="BH10" s="790" t="s">
        <v>604</v>
      </c>
      <c r="BI10" s="791" t="s">
        <v>605</v>
      </c>
      <c r="BJ10" s="626" t="s">
        <v>440</v>
      </c>
      <c r="BK10" s="626">
        <v>3</v>
      </c>
      <c r="BL10" s="626" t="str">
        <f t="shared" si="12"/>
        <v>د 3</v>
      </c>
      <c r="BM10" s="626">
        <v>240</v>
      </c>
      <c r="BN10" s="614" t="s">
        <v>454</v>
      </c>
      <c r="BO10" s="583">
        <v>2460</v>
      </c>
      <c r="BP10" s="583">
        <f t="shared" si="2"/>
        <v>861</v>
      </c>
      <c r="BQ10" s="583">
        <f t="shared" si="13"/>
        <v>6900</v>
      </c>
      <c r="BR10" s="792">
        <v>0.25</v>
      </c>
      <c r="BS10" s="792">
        <v>0</v>
      </c>
      <c r="BT10" s="792">
        <v>0</v>
      </c>
      <c r="BU10" s="792">
        <f t="shared" si="16"/>
        <v>0.1</v>
      </c>
      <c r="BV10" s="793">
        <v>0.2</v>
      </c>
    </row>
    <row r="11" spans="1:74" ht="19.5" thickBot="1">
      <c r="A11" s="579">
        <f t="shared" si="14"/>
        <v>10</v>
      </c>
      <c r="B11" s="580" t="s">
        <v>394</v>
      </c>
      <c r="C11" s="581" t="s">
        <v>360</v>
      </c>
      <c r="D11" s="582" t="s">
        <v>353</v>
      </c>
      <c r="E11" s="582">
        <v>13</v>
      </c>
      <c r="F11" s="582" t="str">
        <f t="shared" si="3"/>
        <v>أ 13</v>
      </c>
      <c r="G11" s="582">
        <v>578</v>
      </c>
      <c r="H11" s="582" t="s">
        <v>395</v>
      </c>
      <c r="I11" s="583">
        <f t="shared" si="0"/>
        <v>1617</v>
      </c>
      <c r="J11" s="583">
        <v>4620</v>
      </c>
      <c r="O11" s="585">
        <v>0.8</v>
      </c>
      <c r="P11" s="585">
        <v>0.9</v>
      </c>
      <c r="Q11" s="586">
        <f t="shared" si="4"/>
        <v>1500</v>
      </c>
      <c r="R11" s="585">
        <f t="shared" si="5"/>
        <v>0</v>
      </c>
      <c r="S11" s="585">
        <f t="shared" si="6"/>
        <v>0</v>
      </c>
      <c r="T11" s="585">
        <f t="shared" si="7"/>
        <v>0</v>
      </c>
      <c r="U11" s="585">
        <f t="shared" si="8"/>
        <v>0</v>
      </c>
      <c r="V11" s="585">
        <f t="shared" si="9"/>
        <v>0.4</v>
      </c>
      <c r="W11" s="585">
        <f t="shared" si="10"/>
        <v>0.25</v>
      </c>
      <c r="X11" s="587">
        <f t="shared" si="1"/>
        <v>0</v>
      </c>
      <c r="Y11" s="585">
        <f t="shared" si="11"/>
        <v>0.2</v>
      </c>
      <c r="AA11" s="584"/>
      <c r="AB11" s="584"/>
      <c r="AC11" s="584"/>
      <c r="AD11" s="660">
        <v>8</v>
      </c>
      <c r="AE11" s="657">
        <v>379</v>
      </c>
      <c r="AF11" s="606">
        <v>0</v>
      </c>
      <c r="AG11" s="606">
        <v>19</v>
      </c>
      <c r="AH11" s="610">
        <v>38</v>
      </c>
      <c r="AI11" s="606">
        <v>57</v>
      </c>
      <c r="AJ11" s="607">
        <v>76</v>
      </c>
      <c r="AK11" s="607">
        <v>95</v>
      </c>
      <c r="AL11" s="607">
        <v>114</v>
      </c>
      <c r="AM11" s="606">
        <v>133</v>
      </c>
      <c r="AN11" s="607">
        <v>152</v>
      </c>
      <c r="AO11" s="607">
        <v>171</v>
      </c>
      <c r="AP11" s="607">
        <v>190</v>
      </c>
      <c r="AQ11" s="599">
        <v>208</v>
      </c>
      <c r="AR11" s="599">
        <v>225</v>
      </c>
      <c r="BA11" s="584"/>
      <c r="BG11" s="789">
        <f t="shared" si="15"/>
        <v>10</v>
      </c>
      <c r="BH11" s="790" t="s">
        <v>606</v>
      </c>
      <c r="BI11" s="791" t="s">
        <v>607</v>
      </c>
      <c r="BJ11" s="626" t="s">
        <v>440</v>
      </c>
      <c r="BK11" s="626">
        <v>2</v>
      </c>
      <c r="BL11" s="626" t="str">
        <f t="shared" si="12"/>
        <v>د 2</v>
      </c>
      <c r="BM11" s="626">
        <v>219</v>
      </c>
      <c r="BN11" s="614" t="s">
        <v>459</v>
      </c>
      <c r="BO11" s="583">
        <v>2610</v>
      </c>
      <c r="BP11" s="583">
        <f t="shared" si="2"/>
        <v>913.5</v>
      </c>
      <c r="BQ11" s="583">
        <f t="shared" si="13"/>
        <v>7400</v>
      </c>
      <c r="BR11" s="792">
        <v>0</v>
      </c>
      <c r="BS11" s="792">
        <v>0.25</v>
      </c>
      <c r="BT11" s="792">
        <v>0</v>
      </c>
      <c r="BU11" s="792">
        <f t="shared" si="16"/>
        <v>0.1</v>
      </c>
      <c r="BV11" s="793">
        <v>0.2</v>
      </c>
    </row>
    <row r="12" spans="1:74" ht="19.5" thickBot="1">
      <c r="A12" s="579">
        <f t="shared" si="14"/>
        <v>11</v>
      </c>
      <c r="B12" s="580" t="s">
        <v>396</v>
      </c>
      <c r="C12" s="581" t="s">
        <v>375</v>
      </c>
      <c r="D12" s="582" t="s">
        <v>353</v>
      </c>
      <c r="E12" s="582">
        <v>13</v>
      </c>
      <c r="F12" s="582" t="str">
        <f t="shared" si="3"/>
        <v>أ 13</v>
      </c>
      <c r="G12" s="582">
        <v>578</v>
      </c>
      <c r="H12" s="582" t="s">
        <v>393</v>
      </c>
      <c r="I12" s="583">
        <f>J12*35%</f>
        <v>1687</v>
      </c>
      <c r="J12" s="583">
        <v>4820</v>
      </c>
      <c r="O12" s="585">
        <v>0.8</v>
      </c>
      <c r="P12" s="585">
        <v>0.9</v>
      </c>
      <c r="Q12" s="586">
        <f t="shared" si="4"/>
        <v>1500</v>
      </c>
      <c r="R12" s="585">
        <f t="shared" si="5"/>
        <v>0</v>
      </c>
      <c r="S12" s="585">
        <f t="shared" si="6"/>
        <v>0.4</v>
      </c>
      <c r="T12" s="585">
        <f t="shared" si="7"/>
        <v>0</v>
      </c>
      <c r="U12" s="585">
        <f t="shared" si="8"/>
        <v>0</v>
      </c>
      <c r="V12" s="585">
        <f t="shared" si="9"/>
        <v>0</v>
      </c>
      <c r="W12" s="585">
        <f t="shared" si="10"/>
        <v>0</v>
      </c>
      <c r="X12" s="587">
        <f t="shared" si="1"/>
        <v>0.1</v>
      </c>
      <c r="Y12" s="585">
        <f t="shared" si="11"/>
        <v>0.2</v>
      </c>
      <c r="AA12" s="584"/>
      <c r="AB12" s="584"/>
      <c r="AC12" s="584"/>
      <c r="AD12" s="660">
        <v>9</v>
      </c>
      <c r="AE12" s="658">
        <v>418</v>
      </c>
      <c r="AF12" s="599">
        <v>0</v>
      </c>
      <c r="AG12" s="599">
        <v>21</v>
      </c>
      <c r="AH12" s="605">
        <v>42</v>
      </c>
      <c r="AI12" s="599">
        <v>63</v>
      </c>
      <c r="AJ12" s="604">
        <v>84</v>
      </c>
      <c r="AK12" s="604">
        <v>105</v>
      </c>
      <c r="AL12" s="604">
        <v>125</v>
      </c>
      <c r="AM12" s="604">
        <v>146</v>
      </c>
      <c r="AN12" s="604">
        <v>167</v>
      </c>
      <c r="AO12" s="604">
        <v>188</v>
      </c>
      <c r="AP12" s="604">
        <v>209</v>
      </c>
      <c r="AQ12" s="599">
        <v>230</v>
      </c>
      <c r="AR12" s="604">
        <v>251</v>
      </c>
      <c r="BA12" s="584"/>
      <c r="BG12" s="789">
        <f t="shared" si="15"/>
        <v>11</v>
      </c>
      <c r="BH12" s="790" t="s">
        <v>608</v>
      </c>
      <c r="BI12" s="791" t="s">
        <v>609</v>
      </c>
      <c r="BJ12" s="626" t="s">
        <v>440</v>
      </c>
      <c r="BK12" s="626">
        <v>1</v>
      </c>
      <c r="BL12" s="626" t="str">
        <f t="shared" si="12"/>
        <v>د 1</v>
      </c>
      <c r="BM12" s="626">
        <v>200</v>
      </c>
      <c r="BN12" s="614" t="s">
        <v>463</v>
      </c>
      <c r="BO12" s="583">
        <v>2040</v>
      </c>
      <c r="BP12" s="583">
        <f t="shared" si="2"/>
        <v>714</v>
      </c>
      <c r="BQ12" s="583">
        <f t="shared" si="13"/>
        <v>7700</v>
      </c>
      <c r="BR12" s="792">
        <v>0</v>
      </c>
      <c r="BS12" s="792">
        <v>0.25</v>
      </c>
      <c r="BT12" s="792">
        <v>0</v>
      </c>
      <c r="BU12" s="792">
        <f t="shared" si="16"/>
        <v>0.1</v>
      </c>
      <c r="BV12" s="793">
        <v>0.2</v>
      </c>
    </row>
    <row r="13" spans="1:74" ht="19.5" thickBot="1">
      <c r="A13" s="579">
        <f t="shared" si="14"/>
        <v>12</v>
      </c>
      <c r="B13" s="580" t="s">
        <v>397</v>
      </c>
      <c r="C13" s="581" t="s">
        <v>352</v>
      </c>
      <c r="D13" s="582" t="s">
        <v>353</v>
      </c>
      <c r="E13" s="582">
        <v>13</v>
      </c>
      <c r="F13" s="582" t="str">
        <f t="shared" si="3"/>
        <v>أ 13</v>
      </c>
      <c r="G13" s="582">
        <v>578</v>
      </c>
      <c r="H13" s="582" t="s">
        <v>393</v>
      </c>
      <c r="I13" s="583">
        <f>J13*35%</f>
        <v>1687</v>
      </c>
      <c r="J13" s="583">
        <v>4820</v>
      </c>
      <c r="O13" s="585">
        <v>0.8</v>
      </c>
      <c r="P13" s="585">
        <v>0.9</v>
      </c>
      <c r="Q13" s="586">
        <f t="shared" si="4"/>
        <v>1500</v>
      </c>
      <c r="R13" s="585">
        <f t="shared" si="5"/>
        <v>0.4</v>
      </c>
      <c r="S13" s="585">
        <f t="shared" si="6"/>
        <v>0</v>
      </c>
      <c r="T13" s="585">
        <f t="shared" si="7"/>
        <v>0</v>
      </c>
      <c r="U13" s="585">
        <f t="shared" si="8"/>
        <v>0</v>
      </c>
      <c r="V13" s="585">
        <f t="shared" si="9"/>
        <v>0</v>
      </c>
      <c r="W13" s="585">
        <f t="shared" si="10"/>
        <v>0</v>
      </c>
      <c r="X13" s="587">
        <f t="shared" si="1"/>
        <v>0.1</v>
      </c>
      <c r="Y13" s="585">
        <f t="shared" si="11"/>
        <v>0.2</v>
      </c>
      <c r="AA13" s="584"/>
      <c r="AB13" s="584"/>
      <c r="AC13" s="584"/>
      <c r="AD13" s="660">
        <v>10</v>
      </c>
      <c r="AE13" s="658">
        <v>453</v>
      </c>
      <c r="AF13" s="606">
        <v>0</v>
      </c>
      <c r="AG13" s="606">
        <v>23</v>
      </c>
      <c r="AH13" s="607">
        <v>45</v>
      </c>
      <c r="AI13" s="603">
        <v>68</v>
      </c>
      <c r="AJ13" s="602">
        <v>91</v>
      </c>
      <c r="AK13" s="602">
        <v>113</v>
      </c>
      <c r="AL13" s="602">
        <v>136</v>
      </c>
      <c r="AM13" s="602">
        <v>159</v>
      </c>
      <c r="AN13" s="602">
        <v>181</v>
      </c>
      <c r="AO13" s="602">
        <v>204</v>
      </c>
      <c r="AP13" s="602">
        <v>227</v>
      </c>
      <c r="AQ13" s="604">
        <v>249</v>
      </c>
      <c r="AR13" s="599">
        <v>272</v>
      </c>
      <c r="BG13" s="789">
        <f t="shared" si="15"/>
        <v>12</v>
      </c>
      <c r="BH13" s="790" t="s">
        <v>610</v>
      </c>
      <c r="BI13" s="791" t="s">
        <v>611</v>
      </c>
      <c r="BJ13" s="626" t="s">
        <v>440</v>
      </c>
      <c r="BK13" s="626">
        <v>1</v>
      </c>
      <c r="BL13" s="626" t="str">
        <f t="shared" si="12"/>
        <v>د 1</v>
      </c>
      <c r="BM13" s="626">
        <v>200</v>
      </c>
      <c r="BN13" s="614" t="s">
        <v>461</v>
      </c>
      <c r="BO13" s="583">
        <v>1745</v>
      </c>
      <c r="BP13" s="583">
        <f t="shared" si="2"/>
        <v>610.75</v>
      </c>
      <c r="BQ13" s="583">
        <f t="shared" si="13"/>
        <v>7700</v>
      </c>
      <c r="BR13" s="792">
        <v>0</v>
      </c>
      <c r="BS13" s="792">
        <v>0.25</v>
      </c>
      <c r="BT13" s="792">
        <v>0</v>
      </c>
      <c r="BU13" s="792">
        <f t="shared" si="16"/>
        <v>0.1</v>
      </c>
      <c r="BV13" s="793">
        <v>0.2</v>
      </c>
    </row>
    <row r="14" spans="1:74" ht="19.5" thickBot="1">
      <c r="A14" s="579">
        <f t="shared" si="14"/>
        <v>13</v>
      </c>
      <c r="B14" s="580" t="s">
        <v>398</v>
      </c>
      <c r="C14" s="581" t="s">
        <v>352</v>
      </c>
      <c r="D14" s="582" t="s">
        <v>353</v>
      </c>
      <c r="E14" s="582">
        <v>12</v>
      </c>
      <c r="F14" s="582" t="str">
        <f t="shared" si="3"/>
        <v>أ 12</v>
      </c>
      <c r="G14" s="582">
        <v>537</v>
      </c>
      <c r="H14" s="582" t="s">
        <v>399</v>
      </c>
      <c r="I14" s="583">
        <f>J14*35%</f>
        <v>1519</v>
      </c>
      <c r="J14" s="583">
        <v>4340</v>
      </c>
      <c r="O14" s="585">
        <v>0.8</v>
      </c>
      <c r="P14" s="585">
        <v>0.9</v>
      </c>
      <c r="Q14" s="586">
        <f t="shared" si="4"/>
        <v>1500</v>
      </c>
      <c r="R14" s="585">
        <f t="shared" si="5"/>
        <v>0.4</v>
      </c>
      <c r="S14" s="585">
        <f t="shared" si="6"/>
        <v>0</v>
      </c>
      <c r="T14" s="585">
        <f t="shared" si="7"/>
        <v>0</v>
      </c>
      <c r="U14" s="585">
        <f t="shared" si="8"/>
        <v>0</v>
      </c>
      <c r="V14" s="585">
        <f t="shared" si="9"/>
        <v>0</v>
      </c>
      <c r="W14" s="585">
        <f t="shared" si="10"/>
        <v>0</v>
      </c>
      <c r="X14" s="587">
        <f t="shared" si="1"/>
        <v>0.1</v>
      </c>
      <c r="Y14" s="585">
        <f t="shared" si="11"/>
        <v>0.2</v>
      </c>
      <c r="AD14" s="660">
        <v>11</v>
      </c>
      <c r="AE14" s="656">
        <v>498</v>
      </c>
      <c r="AF14" s="599">
        <v>0</v>
      </c>
      <c r="AG14" s="599">
        <v>25</v>
      </c>
      <c r="AH14" s="602">
        <v>50</v>
      </c>
      <c r="AI14" s="599">
        <v>75</v>
      </c>
      <c r="AJ14" s="604">
        <v>100</v>
      </c>
      <c r="AK14" s="604">
        <v>125</v>
      </c>
      <c r="AL14" s="604">
        <v>149</v>
      </c>
      <c r="AM14" s="604">
        <v>174</v>
      </c>
      <c r="AN14" s="604">
        <v>199</v>
      </c>
      <c r="AO14" s="604">
        <v>224</v>
      </c>
      <c r="AP14" s="599">
        <v>249</v>
      </c>
      <c r="AQ14" s="599">
        <v>274</v>
      </c>
      <c r="AR14" s="604">
        <v>299</v>
      </c>
      <c r="BG14" s="794">
        <f t="shared" si="15"/>
        <v>13</v>
      </c>
      <c r="BH14" s="795" t="s">
        <v>612</v>
      </c>
      <c r="BI14" s="796" t="s">
        <v>613</v>
      </c>
      <c r="BJ14" s="797" t="s">
        <v>440</v>
      </c>
      <c r="BK14" s="797">
        <v>1</v>
      </c>
      <c r="BL14" s="797" t="str">
        <f t="shared" si="12"/>
        <v>د 1</v>
      </c>
      <c r="BM14" s="797">
        <v>200</v>
      </c>
      <c r="BN14" s="798" t="s">
        <v>461</v>
      </c>
      <c r="BO14" s="799">
        <v>1745</v>
      </c>
      <c r="BP14" s="799">
        <f t="shared" si="2"/>
        <v>610.75</v>
      </c>
      <c r="BQ14" s="799">
        <f t="shared" si="13"/>
        <v>7700</v>
      </c>
      <c r="BR14" s="800">
        <v>0.25</v>
      </c>
      <c r="BS14" s="800">
        <v>0</v>
      </c>
      <c r="BT14" s="800">
        <v>0</v>
      </c>
      <c r="BU14" s="800">
        <f t="shared" si="16"/>
        <v>0.1</v>
      </c>
      <c r="BV14" s="801">
        <v>0.2</v>
      </c>
    </row>
    <row r="15" spans="1:74" ht="19.5" thickBot="1">
      <c r="A15" s="579">
        <f t="shared" si="14"/>
        <v>14</v>
      </c>
      <c r="B15" s="580" t="s">
        <v>400</v>
      </c>
      <c r="C15" s="581" t="s">
        <v>360</v>
      </c>
      <c r="D15" s="582" t="s">
        <v>353</v>
      </c>
      <c r="E15" s="582">
        <v>12</v>
      </c>
      <c r="F15" s="582" t="str">
        <f t="shared" si="3"/>
        <v>أ 12</v>
      </c>
      <c r="G15" s="582">
        <v>537</v>
      </c>
      <c r="H15" s="582" t="s">
        <v>395</v>
      </c>
      <c r="I15" s="583">
        <f>J15*35%</f>
        <v>1617</v>
      </c>
      <c r="J15" s="583">
        <v>4620</v>
      </c>
      <c r="O15" s="585">
        <v>0.8</v>
      </c>
      <c r="P15" s="585">
        <v>0.9</v>
      </c>
      <c r="Q15" s="586">
        <f t="shared" si="4"/>
        <v>1500</v>
      </c>
      <c r="R15" s="585">
        <f>IF(C15="CG",0.4,IF(OR(C15="CM",C15="CI"),0.25,0))</f>
        <v>0</v>
      </c>
      <c r="S15" s="585">
        <f t="shared" si="6"/>
        <v>0</v>
      </c>
      <c r="T15" s="585">
        <f t="shared" si="7"/>
        <v>0</v>
      </c>
      <c r="U15" s="585">
        <f t="shared" si="8"/>
        <v>0</v>
      </c>
      <c r="V15" s="585">
        <f t="shared" si="9"/>
        <v>0.4</v>
      </c>
      <c r="W15" s="585">
        <f t="shared" si="10"/>
        <v>0.25</v>
      </c>
      <c r="X15" s="587">
        <f t="shared" si="1"/>
        <v>0</v>
      </c>
      <c r="Y15" s="585">
        <f t="shared" si="11"/>
        <v>0.2</v>
      </c>
      <c r="AD15" s="660">
        <v>12</v>
      </c>
      <c r="AE15" s="657">
        <v>537</v>
      </c>
      <c r="AF15" s="606">
        <v>0</v>
      </c>
      <c r="AG15" s="606">
        <v>27</v>
      </c>
      <c r="AH15" s="607">
        <v>54</v>
      </c>
      <c r="AI15" s="609">
        <v>81</v>
      </c>
      <c r="AJ15" s="609">
        <v>107</v>
      </c>
      <c r="AK15" s="609">
        <v>134</v>
      </c>
      <c r="AL15" s="609">
        <v>161</v>
      </c>
      <c r="AM15" s="609">
        <v>188</v>
      </c>
      <c r="AN15" s="599">
        <v>215</v>
      </c>
      <c r="AO15" s="599">
        <v>242</v>
      </c>
      <c r="AP15" s="604">
        <v>269</v>
      </c>
      <c r="AQ15" s="606">
        <v>295</v>
      </c>
      <c r="AR15" s="599">
        <v>322</v>
      </c>
    </row>
    <row r="16" spans="1:74" ht="19.5" thickBot="1">
      <c r="A16" s="579">
        <f t="shared" si="14"/>
        <v>15</v>
      </c>
      <c r="B16" s="580" t="s">
        <v>401</v>
      </c>
      <c r="C16" s="581" t="s">
        <v>375</v>
      </c>
      <c r="D16" s="582" t="s">
        <v>353</v>
      </c>
      <c r="E16" s="582">
        <v>12</v>
      </c>
      <c r="F16" s="582" t="str">
        <f t="shared" si="3"/>
        <v>أ 12</v>
      </c>
      <c r="G16" s="582">
        <v>537</v>
      </c>
      <c r="H16" s="582" t="s">
        <v>399</v>
      </c>
      <c r="I16" s="583">
        <f t="shared" ref="I16:I23" si="17">J16*35%</f>
        <v>1519</v>
      </c>
      <c r="J16" s="583">
        <v>4340</v>
      </c>
      <c r="O16" s="585">
        <v>0.8</v>
      </c>
      <c r="P16" s="585">
        <v>0.9</v>
      </c>
      <c r="Q16" s="586">
        <f t="shared" si="4"/>
        <v>1500</v>
      </c>
      <c r="R16" s="585">
        <f t="shared" si="5"/>
        <v>0</v>
      </c>
      <c r="S16" s="585">
        <f t="shared" si="6"/>
        <v>0.4</v>
      </c>
      <c r="T16" s="585">
        <f t="shared" si="7"/>
        <v>0</v>
      </c>
      <c r="U16" s="585">
        <f t="shared" si="8"/>
        <v>0</v>
      </c>
      <c r="V16" s="585">
        <f>IF(C16="TG",(0.4),IF(OR(C16="TI",C16="TM",C16="TS"),(0.3),0))</f>
        <v>0</v>
      </c>
      <c r="W16" s="585">
        <f t="shared" si="10"/>
        <v>0</v>
      </c>
      <c r="X16" s="587">
        <f t="shared" si="1"/>
        <v>0.1</v>
      </c>
      <c r="Y16" s="585">
        <f t="shared" si="11"/>
        <v>0.2</v>
      </c>
      <c r="AD16" s="660">
        <v>13</v>
      </c>
      <c r="AE16" s="658">
        <v>578</v>
      </c>
      <c r="AF16" s="599">
        <v>0</v>
      </c>
      <c r="AG16" s="599">
        <v>29</v>
      </c>
      <c r="AH16" s="602">
        <v>58</v>
      </c>
      <c r="AI16" s="602">
        <v>87</v>
      </c>
      <c r="AJ16" s="602">
        <v>116</v>
      </c>
      <c r="AK16" s="602">
        <v>145</v>
      </c>
      <c r="AL16" s="602">
        <v>173</v>
      </c>
      <c r="AM16" s="602">
        <v>202</v>
      </c>
      <c r="AN16" s="607">
        <v>231</v>
      </c>
      <c r="AO16" s="607">
        <v>260</v>
      </c>
      <c r="AP16" s="599">
        <v>289</v>
      </c>
      <c r="AQ16" s="604">
        <v>318</v>
      </c>
      <c r="AR16" s="599">
        <v>347</v>
      </c>
      <c r="BH16" s="580" t="s">
        <v>614</v>
      </c>
    </row>
    <row r="17" spans="1:44" ht="19.5" thickBot="1">
      <c r="A17" s="579">
        <f t="shared" si="14"/>
        <v>16</v>
      </c>
      <c r="B17" s="580" t="s">
        <v>402</v>
      </c>
      <c r="C17" s="581" t="s">
        <v>352</v>
      </c>
      <c r="D17" s="582" t="s">
        <v>353</v>
      </c>
      <c r="E17" s="582">
        <v>12</v>
      </c>
      <c r="F17" s="582" t="str">
        <f t="shared" si="3"/>
        <v>أ 12</v>
      </c>
      <c r="G17" s="582">
        <v>537</v>
      </c>
      <c r="H17" s="582" t="s">
        <v>399</v>
      </c>
      <c r="I17" s="583">
        <f t="shared" si="17"/>
        <v>1519</v>
      </c>
      <c r="J17" s="583">
        <v>4340</v>
      </c>
      <c r="O17" s="585">
        <v>0.8</v>
      </c>
      <c r="P17" s="585">
        <v>0.9</v>
      </c>
      <c r="Q17" s="586">
        <f t="shared" si="4"/>
        <v>1500</v>
      </c>
      <c r="R17" s="585">
        <f t="shared" si="5"/>
        <v>0.4</v>
      </c>
      <c r="S17" s="585">
        <f t="shared" si="6"/>
        <v>0</v>
      </c>
      <c r="T17" s="585">
        <f t="shared" si="7"/>
        <v>0</v>
      </c>
      <c r="U17" s="585">
        <f t="shared" si="8"/>
        <v>0</v>
      </c>
      <c r="V17" s="585">
        <f t="shared" si="9"/>
        <v>0</v>
      </c>
      <c r="W17" s="585">
        <f t="shared" si="10"/>
        <v>0</v>
      </c>
      <c r="X17" s="587">
        <f t="shared" si="1"/>
        <v>0.1</v>
      </c>
      <c r="Y17" s="585">
        <f t="shared" si="11"/>
        <v>0.2</v>
      </c>
      <c r="AD17" s="660">
        <v>14</v>
      </c>
      <c r="AE17" s="656">
        <v>621</v>
      </c>
      <c r="AF17" s="606">
        <v>0</v>
      </c>
      <c r="AG17" s="606">
        <v>31</v>
      </c>
      <c r="AH17" s="607">
        <v>62</v>
      </c>
      <c r="AI17" s="607">
        <v>93</v>
      </c>
      <c r="AJ17" s="607">
        <v>124</v>
      </c>
      <c r="AK17" s="607">
        <v>155</v>
      </c>
      <c r="AL17" s="607">
        <v>186</v>
      </c>
      <c r="AM17" s="607">
        <v>217</v>
      </c>
      <c r="AN17" s="607">
        <v>248</v>
      </c>
      <c r="AO17" s="607">
        <v>279</v>
      </c>
      <c r="AP17" s="606">
        <v>311</v>
      </c>
      <c r="AQ17" s="599">
        <v>342</v>
      </c>
      <c r="AR17" s="604">
        <v>373</v>
      </c>
    </row>
    <row r="18" spans="1:44" ht="19.5" thickBot="1">
      <c r="A18" s="579">
        <f t="shared" si="14"/>
        <v>17</v>
      </c>
      <c r="B18" s="580" t="s">
        <v>403</v>
      </c>
      <c r="C18" s="581" t="s">
        <v>352</v>
      </c>
      <c r="D18" s="582" t="s">
        <v>353</v>
      </c>
      <c r="E18" s="582">
        <v>11</v>
      </c>
      <c r="F18" s="582" t="str">
        <f t="shared" si="3"/>
        <v>أ 11</v>
      </c>
      <c r="G18" s="582">
        <v>498</v>
      </c>
      <c r="H18" s="582" t="s">
        <v>399</v>
      </c>
      <c r="I18" s="583">
        <f t="shared" si="17"/>
        <v>1519</v>
      </c>
      <c r="J18" s="583">
        <v>4340</v>
      </c>
      <c r="O18" s="585">
        <v>0.8</v>
      </c>
      <c r="P18" s="585">
        <v>0.9</v>
      </c>
      <c r="Q18" s="586">
        <f t="shared" si="4"/>
        <v>1500</v>
      </c>
      <c r="R18" s="585">
        <f t="shared" si="5"/>
        <v>0.4</v>
      </c>
      <c r="S18" s="585">
        <f t="shared" si="6"/>
        <v>0</v>
      </c>
      <c r="T18" s="585">
        <f t="shared" si="7"/>
        <v>0</v>
      </c>
      <c r="U18" s="585">
        <f t="shared" si="8"/>
        <v>0</v>
      </c>
      <c r="V18" s="585">
        <f t="shared" si="9"/>
        <v>0</v>
      </c>
      <c r="W18" s="585">
        <f t="shared" si="10"/>
        <v>0</v>
      </c>
      <c r="X18" s="587">
        <f t="shared" si="1"/>
        <v>0.1</v>
      </c>
      <c r="Y18" s="585">
        <f t="shared" si="11"/>
        <v>0.2</v>
      </c>
      <c r="AD18" s="660">
        <v>15</v>
      </c>
      <c r="AE18" s="657">
        <v>666</v>
      </c>
      <c r="AF18" s="603">
        <v>0</v>
      </c>
      <c r="AG18" s="603">
        <v>33</v>
      </c>
      <c r="AH18" s="604">
        <v>67</v>
      </c>
      <c r="AI18" s="604">
        <v>100</v>
      </c>
      <c r="AJ18" s="611">
        <v>133</v>
      </c>
      <c r="AK18" s="609">
        <v>167</v>
      </c>
      <c r="AL18" s="602">
        <v>200</v>
      </c>
      <c r="AM18" s="602">
        <v>233</v>
      </c>
      <c r="AN18" s="602">
        <v>266</v>
      </c>
      <c r="AO18" s="602">
        <v>300</v>
      </c>
      <c r="AP18" s="602">
        <v>333</v>
      </c>
      <c r="AQ18" s="604">
        <v>366</v>
      </c>
      <c r="AR18" s="599">
        <v>400</v>
      </c>
    </row>
    <row r="19" spans="1:44" ht="19.5" thickBot="1">
      <c r="A19" s="579">
        <f t="shared" si="14"/>
        <v>18</v>
      </c>
      <c r="B19" s="580" t="s">
        <v>404</v>
      </c>
      <c r="C19" s="581" t="s">
        <v>375</v>
      </c>
      <c r="D19" s="582" t="s">
        <v>353</v>
      </c>
      <c r="E19" s="582">
        <v>11</v>
      </c>
      <c r="F19" s="582" t="str">
        <f t="shared" si="3"/>
        <v>أ 11</v>
      </c>
      <c r="G19" s="582">
        <v>498</v>
      </c>
      <c r="H19" s="582" t="s">
        <v>399</v>
      </c>
      <c r="I19" s="583">
        <f t="shared" si="17"/>
        <v>1519</v>
      </c>
      <c r="J19" s="583">
        <v>4340</v>
      </c>
      <c r="O19" s="585">
        <v>0.8</v>
      </c>
      <c r="P19" s="585">
        <v>0.9</v>
      </c>
      <c r="Q19" s="586">
        <f t="shared" si="4"/>
        <v>1500</v>
      </c>
      <c r="R19" s="585">
        <f t="shared" si="5"/>
        <v>0</v>
      </c>
      <c r="S19" s="585">
        <f t="shared" si="6"/>
        <v>0.4</v>
      </c>
      <c r="T19" s="585">
        <f t="shared" si="7"/>
        <v>0</v>
      </c>
      <c r="U19" s="585">
        <f t="shared" si="8"/>
        <v>0</v>
      </c>
      <c r="V19" s="585">
        <f t="shared" si="9"/>
        <v>0</v>
      </c>
      <c r="W19" s="585">
        <f t="shared" si="10"/>
        <v>0</v>
      </c>
      <c r="X19" s="587">
        <f t="shared" si="1"/>
        <v>0.1</v>
      </c>
      <c r="Y19" s="585">
        <f t="shared" si="11"/>
        <v>0.2</v>
      </c>
      <c r="AD19" s="660">
        <v>16</v>
      </c>
      <c r="AE19" s="656">
        <v>713</v>
      </c>
      <c r="AF19" s="602">
        <v>0</v>
      </c>
      <c r="AG19" s="602">
        <v>36</v>
      </c>
      <c r="AH19" s="602">
        <v>71</v>
      </c>
      <c r="AI19" s="602">
        <v>107</v>
      </c>
      <c r="AJ19" s="599">
        <v>143</v>
      </c>
      <c r="AK19" s="602">
        <v>178</v>
      </c>
      <c r="AL19" s="607">
        <v>214</v>
      </c>
      <c r="AM19" s="607">
        <v>250</v>
      </c>
      <c r="AN19" s="607">
        <v>285</v>
      </c>
      <c r="AO19" s="607">
        <v>321</v>
      </c>
      <c r="AP19" s="607">
        <v>357</v>
      </c>
      <c r="AQ19" s="599">
        <v>392</v>
      </c>
      <c r="AR19" s="602">
        <v>428</v>
      </c>
    </row>
    <row r="20" spans="1:44" ht="19.5" thickBot="1">
      <c r="A20" s="579">
        <f t="shared" si="14"/>
        <v>19</v>
      </c>
      <c r="B20" s="580" t="s">
        <v>405</v>
      </c>
      <c r="C20" s="581" t="s">
        <v>352</v>
      </c>
      <c r="D20" s="582" t="s">
        <v>353</v>
      </c>
      <c r="E20" s="582">
        <v>11</v>
      </c>
      <c r="F20" s="582" t="str">
        <f t="shared" si="3"/>
        <v>أ 11</v>
      </c>
      <c r="G20" s="582">
        <v>498</v>
      </c>
      <c r="H20" s="582" t="s">
        <v>399</v>
      </c>
      <c r="I20" s="583">
        <f t="shared" si="17"/>
        <v>1519</v>
      </c>
      <c r="J20" s="583">
        <v>4340</v>
      </c>
      <c r="O20" s="585">
        <v>0.8</v>
      </c>
      <c r="P20" s="585">
        <v>0.9</v>
      </c>
      <c r="Q20" s="586">
        <f t="shared" si="4"/>
        <v>1500</v>
      </c>
      <c r="R20" s="585">
        <f t="shared" si="5"/>
        <v>0.4</v>
      </c>
      <c r="S20" s="585">
        <f t="shared" si="6"/>
        <v>0</v>
      </c>
      <c r="T20" s="585">
        <f t="shared" si="7"/>
        <v>0</v>
      </c>
      <c r="U20" s="585">
        <f t="shared" si="8"/>
        <v>0</v>
      </c>
      <c r="V20" s="585">
        <f t="shared" si="9"/>
        <v>0</v>
      </c>
      <c r="W20" s="585">
        <f t="shared" si="10"/>
        <v>0</v>
      </c>
      <c r="X20" s="587">
        <f t="shared" si="1"/>
        <v>0.1</v>
      </c>
      <c r="Y20" s="585">
        <f t="shared" si="11"/>
        <v>0.2</v>
      </c>
      <c r="AD20" s="661">
        <v>17</v>
      </c>
      <c r="AE20" s="659">
        <v>762</v>
      </c>
      <c r="AF20" s="607">
        <v>0</v>
      </c>
      <c r="AG20" s="607">
        <v>38</v>
      </c>
      <c r="AH20" s="607">
        <v>76</v>
      </c>
      <c r="AI20" s="607">
        <v>114</v>
      </c>
      <c r="AJ20" s="606">
        <v>152</v>
      </c>
      <c r="AK20" s="607">
        <v>191</v>
      </c>
      <c r="AL20" s="607">
        <v>229</v>
      </c>
      <c r="AM20" s="607">
        <v>267</v>
      </c>
      <c r="AN20" s="607">
        <v>305</v>
      </c>
      <c r="AO20" s="607">
        <v>343</v>
      </c>
      <c r="AP20" s="607">
        <v>381</v>
      </c>
      <c r="AQ20" s="599">
        <v>419</v>
      </c>
      <c r="AR20" s="602">
        <v>457</v>
      </c>
    </row>
    <row r="21" spans="1:44" ht="18.75">
      <c r="A21" s="579">
        <f t="shared" si="14"/>
        <v>20</v>
      </c>
      <c r="B21" s="580" t="s">
        <v>406</v>
      </c>
      <c r="C21" s="581" t="s">
        <v>407</v>
      </c>
      <c r="D21" s="582" t="s">
        <v>408</v>
      </c>
      <c r="E21" s="582">
        <v>10</v>
      </c>
      <c r="F21" s="582" t="str">
        <f t="shared" si="3"/>
        <v>ب 10</v>
      </c>
      <c r="G21" s="582">
        <v>453</v>
      </c>
      <c r="H21" s="582" t="s">
        <v>409</v>
      </c>
      <c r="I21" s="583">
        <f t="shared" si="17"/>
        <v>1372</v>
      </c>
      <c r="J21" s="583">
        <v>3920</v>
      </c>
      <c r="O21" s="585">
        <v>0.35</v>
      </c>
      <c r="P21" s="585">
        <v>0.45</v>
      </c>
      <c r="Q21" s="586">
        <f t="shared" si="4"/>
        <v>3100</v>
      </c>
      <c r="R21" s="585">
        <f t="shared" si="5"/>
        <v>0.25</v>
      </c>
      <c r="S21" s="585">
        <f t="shared" si="6"/>
        <v>0</v>
      </c>
      <c r="T21" s="585">
        <f t="shared" si="7"/>
        <v>0</v>
      </c>
      <c r="U21" s="585">
        <f t="shared" si="8"/>
        <v>0</v>
      </c>
      <c r="V21" s="585">
        <f t="shared" si="9"/>
        <v>0</v>
      </c>
      <c r="W21" s="585">
        <f t="shared" si="10"/>
        <v>0</v>
      </c>
      <c r="X21" s="587">
        <f t="shared" si="1"/>
        <v>0.1</v>
      </c>
      <c r="Y21" s="585">
        <f t="shared" si="11"/>
        <v>0.2</v>
      </c>
    </row>
    <row r="22" spans="1:44" ht="18.75">
      <c r="A22" s="579">
        <f t="shared" si="14"/>
        <v>21</v>
      </c>
      <c r="B22" s="580" t="s">
        <v>410</v>
      </c>
      <c r="C22" s="581" t="s">
        <v>411</v>
      </c>
      <c r="D22" s="582" t="s">
        <v>408</v>
      </c>
      <c r="E22" s="582">
        <v>10</v>
      </c>
      <c r="F22" s="582" t="str">
        <f t="shared" si="3"/>
        <v>ب 10</v>
      </c>
      <c r="G22" s="582">
        <v>453</v>
      </c>
      <c r="H22" s="582" t="s">
        <v>409</v>
      </c>
      <c r="I22" s="583">
        <f t="shared" si="17"/>
        <v>1372</v>
      </c>
      <c r="J22" s="583">
        <v>3920</v>
      </c>
      <c r="O22" s="585">
        <v>0.35</v>
      </c>
      <c r="P22" s="585">
        <v>0.45</v>
      </c>
      <c r="Q22" s="586">
        <f t="shared" si="4"/>
        <v>3100</v>
      </c>
      <c r="R22" s="585">
        <f t="shared" si="5"/>
        <v>0</v>
      </c>
      <c r="S22" s="585">
        <f t="shared" si="6"/>
        <v>0</v>
      </c>
      <c r="T22" s="585">
        <f t="shared" si="7"/>
        <v>0</v>
      </c>
      <c r="U22" s="585">
        <f t="shared" si="8"/>
        <v>0</v>
      </c>
      <c r="V22" s="585">
        <f t="shared" si="9"/>
        <v>0.3</v>
      </c>
      <c r="W22" s="585">
        <f t="shared" si="10"/>
        <v>0.25</v>
      </c>
      <c r="X22" s="587">
        <f t="shared" si="1"/>
        <v>0</v>
      </c>
      <c r="Y22" s="585">
        <f t="shared" si="11"/>
        <v>0.2</v>
      </c>
    </row>
    <row r="23" spans="1:44" ht="18.75">
      <c r="A23" s="579">
        <f t="shared" si="14"/>
        <v>22</v>
      </c>
      <c r="B23" s="580" t="s">
        <v>412</v>
      </c>
      <c r="C23" s="581" t="s">
        <v>407</v>
      </c>
      <c r="D23" s="582" t="s">
        <v>413</v>
      </c>
      <c r="E23" s="582">
        <v>10</v>
      </c>
      <c r="F23" s="582" t="str">
        <f t="shared" si="3"/>
        <v>ب  10</v>
      </c>
      <c r="G23" s="582">
        <v>453</v>
      </c>
      <c r="H23" s="582" t="s">
        <v>414</v>
      </c>
      <c r="I23" s="583">
        <f t="shared" si="17"/>
        <v>1305.5</v>
      </c>
      <c r="J23" s="583">
        <v>3730</v>
      </c>
      <c r="O23" s="585">
        <v>0.35</v>
      </c>
      <c r="P23" s="585">
        <v>0.45</v>
      </c>
      <c r="Q23" s="586">
        <f t="shared" si="4"/>
        <v>3100</v>
      </c>
      <c r="R23" s="585">
        <f t="shared" si="5"/>
        <v>0.25</v>
      </c>
      <c r="S23" s="585">
        <f t="shared" si="6"/>
        <v>0</v>
      </c>
      <c r="T23" s="585">
        <f t="shared" si="7"/>
        <v>0</v>
      </c>
      <c r="U23" s="585">
        <f t="shared" si="8"/>
        <v>0</v>
      </c>
      <c r="V23" s="585">
        <f t="shared" si="9"/>
        <v>0</v>
      </c>
      <c r="W23" s="585">
        <f t="shared" si="10"/>
        <v>0</v>
      </c>
      <c r="X23" s="587">
        <f t="shared" si="1"/>
        <v>0.1</v>
      </c>
      <c r="Y23" s="585">
        <f t="shared" si="11"/>
        <v>0.2</v>
      </c>
    </row>
    <row r="24" spans="1:44" ht="18.75">
      <c r="A24" s="579">
        <f t="shared" si="14"/>
        <v>23</v>
      </c>
      <c r="B24" s="580" t="s">
        <v>415</v>
      </c>
      <c r="C24" s="581" t="s">
        <v>407</v>
      </c>
      <c r="D24" s="582" t="s">
        <v>408</v>
      </c>
      <c r="E24" s="582">
        <v>10</v>
      </c>
      <c r="F24" s="582" t="str">
        <f t="shared" si="3"/>
        <v>ب 10</v>
      </c>
      <c r="G24" s="582">
        <v>453</v>
      </c>
      <c r="H24" s="582" t="s">
        <v>416</v>
      </c>
      <c r="I24" s="583">
        <f>J24*35%</f>
        <v>1239</v>
      </c>
      <c r="J24" s="583">
        <v>3540</v>
      </c>
      <c r="O24" s="585">
        <v>0.35</v>
      </c>
      <c r="P24" s="585">
        <v>0.45</v>
      </c>
      <c r="Q24" s="586">
        <f t="shared" si="4"/>
        <v>3100</v>
      </c>
      <c r="R24" s="585">
        <f t="shared" si="5"/>
        <v>0.25</v>
      </c>
      <c r="S24" s="585">
        <f t="shared" si="6"/>
        <v>0</v>
      </c>
      <c r="T24" s="585">
        <f t="shared" si="7"/>
        <v>0</v>
      </c>
      <c r="U24" s="585">
        <f t="shared" si="8"/>
        <v>0</v>
      </c>
      <c r="V24" s="585">
        <f t="shared" si="9"/>
        <v>0</v>
      </c>
      <c r="W24" s="585">
        <f t="shared" si="10"/>
        <v>0</v>
      </c>
      <c r="X24" s="587">
        <f t="shared" si="1"/>
        <v>0.1</v>
      </c>
      <c r="Y24" s="585">
        <f t="shared" si="11"/>
        <v>0.2</v>
      </c>
    </row>
    <row r="25" spans="1:44" ht="18.75">
      <c r="A25" s="579">
        <f t="shared" si="14"/>
        <v>24</v>
      </c>
      <c r="B25" s="580" t="s">
        <v>417</v>
      </c>
      <c r="C25" s="581" t="s">
        <v>418</v>
      </c>
      <c r="D25" s="582" t="s">
        <v>408</v>
      </c>
      <c r="E25" s="582">
        <v>10</v>
      </c>
      <c r="F25" s="582" t="str">
        <f t="shared" si="3"/>
        <v>ب 10</v>
      </c>
      <c r="G25" s="582">
        <v>453</v>
      </c>
      <c r="H25" s="582" t="s">
        <v>409</v>
      </c>
      <c r="I25" s="583">
        <f t="shared" ref="I25:I37" si="18">J25*35%</f>
        <v>1372</v>
      </c>
      <c r="J25" s="583">
        <v>3920</v>
      </c>
      <c r="O25" s="585">
        <v>0.35</v>
      </c>
      <c r="P25" s="585">
        <v>0.45</v>
      </c>
      <c r="Q25" s="586">
        <f t="shared" si="4"/>
        <v>3100</v>
      </c>
      <c r="R25" s="585">
        <f t="shared" si="5"/>
        <v>0</v>
      </c>
      <c r="S25" s="585">
        <f t="shared" si="6"/>
        <v>0.25</v>
      </c>
      <c r="T25" s="585">
        <f t="shared" si="7"/>
        <v>0</v>
      </c>
      <c r="U25" s="585">
        <f t="shared" si="8"/>
        <v>0</v>
      </c>
      <c r="V25" s="585">
        <f t="shared" si="9"/>
        <v>0</v>
      </c>
      <c r="W25" s="585">
        <f t="shared" si="10"/>
        <v>0</v>
      </c>
      <c r="X25" s="587">
        <f t="shared" si="1"/>
        <v>0.1</v>
      </c>
      <c r="Y25" s="585">
        <f t="shared" si="11"/>
        <v>0.2</v>
      </c>
    </row>
    <row r="26" spans="1:44" ht="18.75">
      <c r="A26" s="579">
        <f t="shared" si="14"/>
        <v>25</v>
      </c>
      <c r="B26" s="580" t="s">
        <v>419</v>
      </c>
      <c r="C26" s="581" t="s">
        <v>407</v>
      </c>
      <c r="D26" s="582" t="s">
        <v>408</v>
      </c>
      <c r="E26" s="582">
        <v>10</v>
      </c>
      <c r="F26" s="582" t="str">
        <f t="shared" si="3"/>
        <v>ب 10</v>
      </c>
      <c r="G26" s="582">
        <v>453</v>
      </c>
      <c r="H26" s="582" t="s">
        <v>409</v>
      </c>
      <c r="I26" s="583">
        <f t="shared" si="18"/>
        <v>1372</v>
      </c>
      <c r="J26" s="583">
        <v>3920</v>
      </c>
      <c r="O26" s="585">
        <v>0.35</v>
      </c>
      <c r="P26" s="585">
        <v>0.45</v>
      </c>
      <c r="Q26" s="586">
        <f t="shared" si="4"/>
        <v>3100</v>
      </c>
      <c r="R26" s="585">
        <f>IF(C26="CG",0.4,IF(OR(C26="CM",C26="CI"),0.25,0))</f>
        <v>0.25</v>
      </c>
      <c r="S26" s="585">
        <f t="shared" si="6"/>
        <v>0</v>
      </c>
      <c r="T26" s="585">
        <f t="shared" si="7"/>
        <v>0</v>
      </c>
      <c r="U26" s="585">
        <f t="shared" si="8"/>
        <v>0</v>
      </c>
      <c r="V26" s="585">
        <f t="shared" si="9"/>
        <v>0</v>
      </c>
      <c r="W26" s="585">
        <f t="shared" si="10"/>
        <v>0</v>
      </c>
      <c r="X26" s="587">
        <f t="shared" si="1"/>
        <v>0.1</v>
      </c>
      <c r="Y26" s="585">
        <f t="shared" si="11"/>
        <v>0.2</v>
      </c>
    </row>
    <row r="27" spans="1:44" ht="18.75">
      <c r="A27" s="579">
        <f t="shared" si="14"/>
        <v>26</v>
      </c>
      <c r="B27" s="580" t="s">
        <v>420</v>
      </c>
      <c r="C27" s="581" t="s">
        <v>421</v>
      </c>
      <c r="D27" s="582" t="s">
        <v>408</v>
      </c>
      <c r="E27" s="582">
        <v>9</v>
      </c>
      <c r="F27" s="582" t="str">
        <f t="shared" si="3"/>
        <v>ب 9</v>
      </c>
      <c r="G27" s="582">
        <v>418</v>
      </c>
      <c r="H27" s="582" t="s">
        <v>416</v>
      </c>
      <c r="I27" s="583">
        <f t="shared" si="18"/>
        <v>1239</v>
      </c>
      <c r="J27" s="583">
        <v>3540</v>
      </c>
      <c r="O27" s="585">
        <v>0.35</v>
      </c>
      <c r="P27" s="585">
        <v>0.45</v>
      </c>
      <c r="Q27" s="586">
        <f t="shared" si="4"/>
        <v>3100</v>
      </c>
      <c r="R27" s="585">
        <f t="shared" si="5"/>
        <v>0.25</v>
      </c>
      <c r="S27" s="585">
        <f t="shared" si="6"/>
        <v>0</v>
      </c>
      <c r="T27" s="585">
        <f t="shared" si="7"/>
        <v>0</v>
      </c>
      <c r="U27" s="585">
        <f t="shared" si="8"/>
        <v>0</v>
      </c>
      <c r="V27" s="585">
        <f t="shared" si="9"/>
        <v>0</v>
      </c>
      <c r="W27" s="585">
        <f t="shared" si="10"/>
        <v>0</v>
      </c>
      <c r="X27" s="587">
        <f t="shared" si="1"/>
        <v>0.1</v>
      </c>
      <c r="Y27" s="585">
        <f t="shared" si="11"/>
        <v>0.2</v>
      </c>
    </row>
    <row r="28" spans="1:44" ht="18.75">
      <c r="A28" s="579">
        <f t="shared" si="14"/>
        <v>27</v>
      </c>
      <c r="B28" s="580" t="s">
        <v>422</v>
      </c>
      <c r="C28" s="581" t="s">
        <v>411</v>
      </c>
      <c r="D28" s="582" t="s">
        <v>408</v>
      </c>
      <c r="E28" s="582">
        <v>9</v>
      </c>
      <c r="F28" s="582" t="str">
        <f t="shared" si="3"/>
        <v>ب 9</v>
      </c>
      <c r="G28" s="582">
        <v>418</v>
      </c>
      <c r="H28" s="582" t="s">
        <v>423</v>
      </c>
      <c r="I28" s="583">
        <f t="shared" si="18"/>
        <v>1207.5</v>
      </c>
      <c r="J28" s="583">
        <v>3450</v>
      </c>
      <c r="O28" s="585">
        <v>0.35</v>
      </c>
      <c r="P28" s="585">
        <v>0.45</v>
      </c>
      <c r="Q28" s="586">
        <f t="shared" si="4"/>
        <v>3100</v>
      </c>
      <c r="R28" s="585">
        <f t="shared" si="5"/>
        <v>0</v>
      </c>
      <c r="S28" s="585">
        <f t="shared" si="6"/>
        <v>0</v>
      </c>
      <c r="T28" s="585">
        <f t="shared" si="7"/>
        <v>0</v>
      </c>
      <c r="U28" s="585">
        <f t="shared" si="8"/>
        <v>0</v>
      </c>
      <c r="V28" s="585">
        <f>IF(C28="TG",(0.4),IF(OR(C28="TI",C28="TM",C28="TS"),(0.3),0))</f>
        <v>0.3</v>
      </c>
      <c r="W28" s="585">
        <f t="shared" si="10"/>
        <v>0.25</v>
      </c>
      <c r="X28" s="587">
        <f t="shared" si="1"/>
        <v>0</v>
      </c>
      <c r="Y28" s="585">
        <f t="shared" si="11"/>
        <v>0.2</v>
      </c>
    </row>
    <row r="29" spans="1:44" ht="18.75">
      <c r="A29" s="579">
        <f t="shared" si="14"/>
        <v>28</v>
      </c>
      <c r="B29" s="580" t="s">
        <v>424</v>
      </c>
      <c r="C29" s="581" t="s">
        <v>421</v>
      </c>
      <c r="D29" s="582" t="s">
        <v>425</v>
      </c>
      <c r="E29" s="582">
        <v>8</v>
      </c>
      <c r="F29" s="582" t="str">
        <f t="shared" si="3"/>
        <v>ج 8</v>
      </c>
      <c r="G29" s="582">
        <v>379</v>
      </c>
      <c r="H29" s="582" t="s">
        <v>426</v>
      </c>
      <c r="I29" s="583">
        <f t="shared" si="18"/>
        <v>1116.5</v>
      </c>
      <c r="J29" s="583">
        <v>3190</v>
      </c>
      <c r="O29" s="585">
        <v>0.35</v>
      </c>
      <c r="P29" s="585">
        <v>0.45</v>
      </c>
      <c r="Q29" s="586">
        <f t="shared" si="4"/>
        <v>3800</v>
      </c>
      <c r="R29" s="585">
        <f t="shared" si="5"/>
        <v>0.25</v>
      </c>
      <c r="S29" s="585">
        <f t="shared" si="6"/>
        <v>0</v>
      </c>
      <c r="T29" s="585">
        <f t="shared" si="7"/>
        <v>0</v>
      </c>
      <c r="U29" s="585">
        <f t="shared" si="8"/>
        <v>0</v>
      </c>
      <c r="V29" s="585">
        <f t="shared" si="9"/>
        <v>0</v>
      </c>
      <c r="W29" s="585">
        <f t="shared" si="10"/>
        <v>0</v>
      </c>
      <c r="X29" s="587">
        <f t="shared" si="1"/>
        <v>0.1</v>
      </c>
      <c r="Y29" s="585">
        <f t="shared" si="11"/>
        <v>0.2</v>
      </c>
    </row>
    <row r="30" spans="1:44" ht="18.75">
      <c r="A30" s="579">
        <f t="shared" si="14"/>
        <v>29</v>
      </c>
      <c r="B30" s="580" t="s">
        <v>427</v>
      </c>
      <c r="C30" s="581" t="s">
        <v>421</v>
      </c>
      <c r="D30" s="582" t="s">
        <v>425</v>
      </c>
      <c r="E30" s="582">
        <v>8</v>
      </c>
      <c r="F30" s="582" t="str">
        <f t="shared" si="3"/>
        <v>ج 8</v>
      </c>
      <c r="G30" s="582">
        <v>379</v>
      </c>
      <c r="H30" s="582" t="s">
        <v>428</v>
      </c>
      <c r="I30" s="583">
        <f t="shared" si="18"/>
        <v>1137.5</v>
      </c>
      <c r="J30" s="583">
        <v>3250</v>
      </c>
      <c r="O30" s="585">
        <v>0.35</v>
      </c>
      <c r="P30" s="585">
        <v>0.45</v>
      </c>
      <c r="Q30" s="586">
        <f t="shared" si="4"/>
        <v>3800</v>
      </c>
      <c r="R30" s="585">
        <f t="shared" si="5"/>
        <v>0.25</v>
      </c>
      <c r="S30" s="585">
        <f t="shared" si="6"/>
        <v>0</v>
      </c>
      <c r="T30" s="585">
        <f t="shared" si="7"/>
        <v>0</v>
      </c>
      <c r="U30" s="585">
        <f t="shared" si="8"/>
        <v>0</v>
      </c>
      <c r="V30" s="585">
        <f t="shared" si="9"/>
        <v>0</v>
      </c>
      <c r="W30" s="585">
        <f t="shared" si="10"/>
        <v>0</v>
      </c>
      <c r="X30" s="587">
        <f t="shared" si="1"/>
        <v>0.1</v>
      </c>
      <c r="Y30" s="585">
        <f t="shared" si="11"/>
        <v>0.2</v>
      </c>
    </row>
    <row r="31" spans="1:44" ht="18.75">
      <c r="A31" s="579">
        <f t="shared" si="14"/>
        <v>30</v>
      </c>
      <c r="B31" s="580" t="s">
        <v>429</v>
      </c>
      <c r="C31" s="581" t="s">
        <v>421</v>
      </c>
      <c r="D31" s="582" t="s">
        <v>425</v>
      </c>
      <c r="E31" s="582">
        <v>8</v>
      </c>
      <c r="F31" s="582" t="str">
        <f t="shared" si="3"/>
        <v>ج 8</v>
      </c>
      <c r="G31" s="582">
        <v>379</v>
      </c>
      <c r="H31" s="582" t="s">
        <v>426</v>
      </c>
      <c r="I31" s="583">
        <f t="shared" si="18"/>
        <v>1116.5</v>
      </c>
      <c r="J31" s="583">
        <v>3190</v>
      </c>
      <c r="O31" s="585">
        <v>0.35</v>
      </c>
      <c r="P31" s="585">
        <v>0.45</v>
      </c>
      <c r="Q31" s="586">
        <f t="shared" si="4"/>
        <v>3800</v>
      </c>
      <c r="R31" s="585">
        <f t="shared" si="5"/>
        <v>0.25</v>
      </c>
      <c r="S31" s="585">
        <f t="shared" si="6"/>
        <v>0</v>
      </c>
      <c r="T31" s="585">
        <f t="shared" si="7"/>
        <v>0</v>
      </c>
      <c r="U31" s="585">
        <f t="shared" si="8"/>
        <v>0</v>
      </c>
      <c r="V31" s="585">
        <f t="shared" si="9"/>
        <v>0</v>
      </c>
      <c r="W31" s="585">
        <f t="shared" si="10"/>
        <v>0</v>
      </c>
      <c r="X31" s="587">
        <f t="shared" si="1"/>
        <v>0.1</v>
      </c>
      <c r="Y31" s="585">
        <f t="shared" si="11"/>
        <v>0.2</v>
      </c>
    </row>
    <row r="32" spans="1:44" ht="18.75">
      <c r="A32" s="579">
        <f t="shared" si="14"/>
        <v>31</v>
      </c>
      <c r="B32" s="580" t="s">
        <v>430</v>
      </c>
      <c r="C32" s="581" t="s">
        <v>431</v>
      </c>
      <c r="D32" s="582" t="s">
        <v>425</v>
      </c>
      <c r="E32" s="582">
        <v>8</v>
      </c>
      <c r="F32" s="582" t="str">
        <f t="shared" si="3"/>
        <v>ج 8</v>
      </c>
      <c r="G32" s="582">
        <v>379</v>
      </c>
      <c r="H32" s="582" t="s">
        <v>416</v>
      </c>
      <c r="I32" s="583">
        <f t="shared" si="18"/>
        <v>1239</v>
      </c>
      <c r="J32" s="583">
        <v>3540</v>
      </c>
      <c r="O32" s="585">
        <v>0.35</v>
      </c>
      <c r="P32" s="585">
        <v>0.45</v>
      </c>
      <c r="Q32" s="586">
        <f t="shared" si="4"/>
        <v>3800</v>
      </c>
      <c r="R32" s="585">
        <f t="shared" si="5"/>
        <v>0</v>
      </c>
      <c r="S32" s="585">
        <f t="shared" si="6"/>
        <v>0.25</v>
      </c>
      <c r="T32" s="585">
        <f t="shared" si="7"/>
        <v>0</v>
      </c>
      <c r="U32" s="585">
        <f t="shared" si="8"/>
        <v>0</v>
      </c>
      <c r="V32" s="585">
        <f t="shared" si="9"/>
        <v>0</v>
      </c>
      <c r="W32" s="585">
        <f t="shared" si="10"/>
        <v>0</v>
      </c>
      <c r="X32" s="587">
        <f t="shared" si="1"/>
        <v>0.1</v>
      </c>
      <c r="Y32" s="585">
        <f t="shared" si="11"/>
        <v>0.2</v>
      </c>
    </row>
    <row r="33" spans="1:25" ht="18.75">
      <c r="A33" s="579">
        <f t="shared" si="14"/>
        <v>32</v>
      </c>
      <c r="B33" s="580" t="s">
        <v>432</v>
      </c>
      <c r="C33" s="581" t="s">
        <v>433</v>
      </c>
      <c r="D33" s="582" t="s">
        <v>425</v>
      </c>
      <c r="E33" s="582">
        <v>7</v>
      </c>
      <c r="F33" s="582" t="str">
        <f t="shared" si="3"/>
        <v>ج 7</v>
      </c>
      <c r="G33" s="582">
        <v>348</v>
      </c>
      <c r="H33" s="582" t="s">
        <v>434</v>
      </c>
      <c r="I33" s="583">
        <f t="shared" si="18"/>
        <v>1022</v>
      </c>
      <c r="J33" s="583">
        <v>2920</v>
      </c>
      <c r="O33" s="585">
        <v>0.35</v>
      </c>
      <c r="P33" s="585">
        <v>0.45</v>
      </c>
      <c r="Q33" s="586">
        <f t="shared" si="4"/>
        <v>3800</v>
      </c>
      <c r="R33" s="585">
        <f t="shared" si="5"/>
        <v>0</v>
      </c>
      <c r="S33" s="585">
        <f t="shared" si="6"/>
        <v>0</v>
      </c>
      <c r="T33" s="585">
        <f t="shared" si="7"/>
        <v>0</v>
      </c>
      <c r="U33" s="585">
        <f t="shared" si="8"/>
        <v>0</v>
      </c>
      <c r="V33" s="585">
        <f t="shared" si="9"/>
        <v>0.3</v>
      </c>
      <c r="W33" s="585">
        <f t="shared" si="10"/>
        <v>0.25</v>
      </c>
      <c r="X33" s="587">
        <f t="shared" si="1"/>
        <v>0</v>
      </c>
      <c r="Y33" s="585">
        <f t="shared" si="11"/>
        <v>0.2</v>
      </c>
    </row>
    <row r="34" spans="1:25" ht="18.75">
      <c r="A34" s="579">
        <f t="shared" si="14"/>
        <v>33</v>
      </c>
      <c r="B34" s="580" t="s">
        <v>435</v>
      </c>
      <c r="C34" s="581" t="s">
        <v>421</v>
      </c>
      <c r="D34" s="582" t="s">
        <v>425</v>
      </c>
      <c r="E34" s="582">
        <v>7</v>
      </c>
      <c r="F34" s="582" t="str">
        <f t="shared" si="3"/>
        <v>ج 7</v>
      </c>
      <c r="G34" s="582">
        <v>348</v>
      </c>
      <c r="H34" s="582" t="s">
        <v>436</v>
      </c>
      <c r="I34" s="583">
        <f t="shared" si="18"/>
        <v>997.5</v>
      </c>
      <c r="J34" s="583">
        <v>2850</v>
      </c>
      <c r="O34" s="585">
        <v>0.35</v>
      </c>
      <c r="P34" s="585">
        <v>0.45</v>
      </c>
      <c r="Q34" s="586">
        <f t="shared" si="4"/>
        <v>3800</v>
      </c>
      <c r="R34" s="585">
        <f t="shared" si="5"/>
        <v>0.25</v>
      </c>
      <c r="S34" s="585">
        <f t="shared" si="6"/>
        <v>0</v>
      </c>
      <c r="T34" s="585">
        <f t="shared" si="7"/>
        <v>0</v>
      </c>
      <c r="U34" s="585">
        <f t="shared" si="8"/>
        <v>0</v>
      </c>
      <c r="V34" s="585">
        <f t="shared" si="9"/>
        <v>0</v>
      </c>
      <c r="W34" s="585">
        <f t="shared" si="10"/>
        <v>0</v>
      </c>
      <c r="X34" s="587">
        <f t="shared" si="1"/>
        <v>0.1</v>
      </c>
      <c r="Y34" s="585">
        <f t="shared" si="11"/>
        <v>0.2</v>
      </c>
    </row>
    <row r="35" spans="1:25" ht="18.75">
      <c r="A35" s="579">
        <f t="shared" si="14"/>
        <v>34</v>
      </c>
      <c r="B35" s="580" t="s">
        <v>437</v>
      </c>
      <c r="C35" s="581" t="s">
        <v>431</v>
      </c>
      <c r="D35" s="582" t="s">
        <v>425</v>
      </c>
      <c r="E35" s="582">
        <v>7</v>
      </c>
      <c r="F35" s="582" t="str">
        <f t="shared" si="3"/>
        <v>ج 7</v>
      </c>
      <c r="G35" s="582">
        <v>348</v>
      </c>
      <c r="H35" s="582" t="s">
        <v>426</v>
      </c>
      <c r="I35" s="583">
        <f t="shared" si="18"/>
        <v>1116.5</v>
      </c>
      <c r="J35" s="583">
        <v>3190</v>
      </c>
      <c r="O35" s="585">
        <v>0.35</v>
      </c>
      <c r="P35" s="585">
        <v>0.45</v>
      </c>
      <c r="Q35" s="586">
        <f t="shared" si="4"/>
        <v>3800</v>
      </c>
      <c r="R35" s="585">
        <f t="shared" si="5"/>
        <v>0</v>
      </c>
      <c r="S35" s="585">
        <f t="shared" si="6"/>
        <v>0.25</v>
      </c>
      <c r="T35" s="585">
        <f t="shared" si="7"/>
        <v>0</v>
      </c>
      <c r="U35" s="585">
        <f t="shared" si="8"/>
        <v>0</v>
      </c>
      <c r="V35" s="585">
        <f t="shared" si="9"/>
        <v>0</v>
      </c>
      <c r="W35" s="585">
        <f t="shared" si="10"/>
        <v>0</v>
      </c>
      <c r="X35" s="587">
        <f t="shared" si="1"/>
        <v>0.1</v>
      </c>
      <c r="Y35" s="585">
        <f t="shared" si="11"/>
        <v>0.2</v>
      </c>
    </row>
    <row r="36" spans="1:25" ht="18.75">
      <c r="A36" s="579">
        <f t="shared" si="14"/>
        <v>35</v>
      </c>
      <c r="B36" s="580" t="s">
        <v>438</v>
      </c>
      <c r="C36" s="581" t="s">
        <v>421</v>
      </c>
      <c r="D36" s="582" t="s">
        <v>425</v>
      </c>
      <c r="E36" s="582">
        <v>7</v>
      </c>
      <c r="F36" s="582" t="str">
        <f t="shared" si="3"/>
        <v>ج 7</v>
      </c>
      <c r="G36" s="582">
        <v>348</v>
      </c>
      <c r="H36" s="582" t="s">
        <v>426</v>
      </c>
      <c r="I36" s="583">
        <f t="shared" si="18"/>
        <v>1116.5</v>
      </c>
      <c r="J36" s="583">
        <v>3190</v>
      </c>
      <c r="O36" s="585">
        <v>0.35</v>
      </c>
      <c r="P36" s="585">
        <v>0.45</v>
      </c>
      <c r="Q36" s="586">
        <f t="shared" si="4"/>
        <v>3800</v>
      </c>
      <c r="R36" s="585">
        <f>IF(C36="CG",0.4,IF(OR(C36="CM",C36="CI"),0.25,0))</f>
        <v>0.25</v>
      </c>
      <c r="S36" s="585">
        <f t="shared" si="6"/>
        <v>0</v>
      </c>
      <c r="T36" s="585">
        <f t="shared" si="7"/>
        <v>0</v>
      </c>
      <c r="U36" s="585">
        <f t="shared" si="8"/>
        <v>0</v>
      </c>
      <c r="V36" s="585">
        <f t="shared" si="9"/>
        <v>0</v>
      </c>
      <c r="W36" s="585">
        <f t="shared" si="10"/>
        <v>0</v>
      </c>
      <c r="X36" s="587">
        <f t="shared" si="1"/>
        <v>0.1</v>
      </c>
      <c r="Y36" s="585">
        <f t="shared" si="11"/>
        <v>0.2</v>
      </c>
    </row>
    <row r="37" spans="1:25" ht="18.75">
      <c r="A37" s="579">
        <f t="shared" si="14"/>
        <v>36</v>
      </c>
      <c r="B37" s="580" t="s">
        <v>439</v>
      </c>
      <c r="C37" s="581" t="s">
        <v>421</v>
      </c>
      <c r="D37" s="582" t="s">
        <v>440</v>
      </c>
      <c r="E37" s="582">
        <v>6</v>
      </c>
      <c r="F37" s="582" t="str">
        <f t="shared" si="3"/>
        <v>د 6</v>
      </c>
      <c r="G37" s="582">
        <v>315</v>
      </c>
      <c r="H37" s="582" t="s">
        <v>441</v>
      </c>
      <c r="I37" s="583">
        <f t="shared" si="18"/>
        <v>945</v>
      </c>
      <c r="J37" s="583">
        <v>2700</v>
      </c>
      <c r="O37" s="585">
        <v>0.35</v>
      </c>
      <c r="P37" s="585">
        <v>0.45</v>
      </c>
      <c r="Q37" s="586">
        <f t="shared" si="4"/>
        <v>5000</v>
      </c>
      <c r="R37" s="585">
        <f t="shared" si="5"/>
        <v>0.25</v>
      </c>
      <c r="S37" s="585">
        <f t="shared" si="6"/>
        <v>0</v>
      </c>
      <c r="T37" s="585">
        <f t="shared" si="7"/>
        <v>0</v>
      </c>
      <c r="U37" s="585">
        <f t="shared" si="8"/>
        <v>0</v>
      </c>
      <c r="V37" s="585">
        <f t="shared" si="9"/>
        <v>0</v>
      </c>
      <c r="W37" s="585">
        <f t="shared" si="10"/>
        <v>0</v>
      </c>
      <c r="X37" s="587">
        <f t="shared" si="1"/>
        <v>0.1</v>
      </c>
      <c r="Y37" s="585">
        <f t="shared" si="11"/>
        <v>0.2</v>
      </c>
    </row>
    <row r="38" spans="1:25">
      <c r="A38" s="579">
        <f t="shared" si="14"/>
        <v>37</v>
      </c>
      <c r="B38" s="580" t="s">
        <v>442</v>
      </c>
      <c r="C38" s="581" t="s">
        <v>421</v>
      </c>
      <c r="D38" s="582" t="s">
        <v>440</v>
      </c>
      <c r="E38" s="582">
        <v>6</v>
      </c>
      <c r="F38" s="582" t="str">
        <f t="shared" si="3"/>
        <v>د 6</v>
      </c>
      <c r="G38" s="582">
        <v>315</v>
      </c>
      <c r="H38" s="612"/>
      <c r="I38" s="613"/>
      <c r="O38" s="585">
        <v>0.35</v>
      </c>
      <c r="P38" s="585">
        <v>0.45</v>
      </c>
      <c r="Q38" s="586">
        <f t="shared" si="4"/>
        <v>5000</v>
      </c>
      <c r="R38" s="585">
        <f t="shared" si="5"/>
        <v>0.25</v>
      </c>
      <c r="S38" s="585">
        <f t="shared" si="6"/>
        <v>0</v>
      </c>
      <c r="T38" s="585">
        <f t="shared" si="7"/>
        <v>0.25</v>
      </c>
      <c r="U38" s="585">
        <f t="shared" si="8"/>
        <v>0</v>
      </c>
      <c r="V38" s="585">
        <f>IF(C38="TG",(0.4),IF(OR(C38="TI",C38="TM",C38="TS"),(0.3),0))</f>
        <v>0</v>
      </c>
      <c r="W38" s="585">
        <f t="shared" si="10"/>
        <v>0</v>
      </c>
      <c r="X38" s="587">
        <f t="shared" si="1"/>
        <v>0.1</v>
      </c>
      <c r="Y38" s="585">
        <f t="shared" si="11"/>
        <v>0.2</v>
      </c>
    </row>
    <row r="39" spans="1:25" ht="18.75">
      <c r="A39" s="579">
        <f t="shared" si="14"/>
        <v>38</v>
      </c>
      <c r="B39" s="580" t="s">
        <v>443</v>
      </c>
      <c r="C39" s="581" t="s">
        <v>421</v>
      </c>
      <c r="D39" s="582" t="s">
        <v>440</v>
      </c>
      <c r="E39" s="582">
        <v>5</v>
      </c>
      <c r="F39" s="582" t="str">
        <f t="shared" si="3"/>
        <v>د 5</v>
      </c>
      <c r="G39" s="582">
        <v>288</v>
      </c>
      <c r="H39" s="582" t="s">
        <v>444</v>
      </c>
      <c r="I39" s="583">
        <f>J39*35%</f>
        <v>833</v>
      </c>
      <c r="J39" s="583">
        <v>2380</v>
      </c>
      <c r="O39" s="585">
        <v>0.35</v>
      </c>
      <c r="P39" s="585">
        <v>0.45</v>
      </c>
      <c r="Q39" s="586">
        <f t="shared" si="4"/>
        <v>5700</v>
      </c>
      <c r="R39" s="585">
        <f t="shared" si="5"/>
        <v>0.25</v>
      </c>
      <c r="S39" s="585">
        <f t="shared" si="6"/>
        <v>0</v>
      </c>
      <c r="T39" s="585">
        <f t="shared" si="7"/>
        <v>0</v>
      </c>
      <c r="U39" s="585">
        <f t="shared" si="8"/>
        <v>0</v>
      </c>
      <c r="V39" s="585">
        <f t="shared" si="9"/>
        <v>0</v>
      </c>
      <c r="W39" s="585">
        <f t="shared" si="10"/>
        <v>0</v>
      </c>
      <c r="X39" s="587">
        <f t="shared" si="1"/>
        <v>0.1</v>
      </c>
      <c r="Y39" s="585">
        <f t="shared" si="11"/>
        <v>0.2</v>
      </c>
    </row>
    <row r="40" spans="1:25" ht="18.75">
      <c r="A40" s="579">
        <f t="shared" si="14"/>
        <v>39</v>
      </c>
      <c r="B40" s="580" t="s">
        <v>445</v>
      </c>
      <c r="C40" s="581" t="s">
        <v>421</v>
      </c>
      <c r="D40" s="582" t="s">
        <v>440</v>
      </c>
      <c r="E40" s="582">
        <v>5</v>
      </c>
      <c r="F40" s="582" t="str">
        <f t="shared" si="3"/>
        <v>د 5</v>
      </c>
      <c r="G40" s="582">
        <v>288</v>
      </c>
      <c r="H40" s="582" t="s">
        <v>446</v>
      </c>
      <c r="I40" s="583">
        <f t="shared" ref="I40:I46" si="19">J40*35%</f>
        <v>885.5</v>
      </c>
      <c r="J40" s="583">
        <v>2530</v>
      </c>
      <c r="O40" s="585">
        <v>0.35</v>
      </c>
      <c r="P40" s="585">
        <v>0.45</v>
      </c>
      <c r="Q40" s="586">
        <f t="shared" si="4"/>
        <v>5700</v>
      </c>
      <c r="R40" s="585">
        <f t="shared" si="5"/>
        <v>0.25</v>
      </c>
      <c r="S40" s="585">
        <f t="shared" si="6"/>
        <v>0</v>
      </c>
      <c r="T40" s="585">
        <f t="shared" si="7"/>
        <v>0</v>
      </c>
      <c r="U40" s="585">
        <f t="shared" si="8"/>
        <v>0</v>
      </c>
      <c r="V40" s="585">
        <f t="shared" si="9"/>
        <v>0</v>
      </c>
      <c r="W40" s="585">
        <f t="shared" si="10"/>
        <v>0</v>
      </c>
      <c r="X40" s="587">
        <f t="shared" si="1"/>
        <v>0.1</v>
      </c>
      <c r="Y40" s="585">
        <f t="shared" si="11"/>
        <v>0.2</v>
      </c>
    </row>
    <row r="41" spans="1:25" ht="18.75">
      <c r="A41" s="579">
        <f t="shared" si="14"/>
        <v>40</v>
      </c>
      <c r="B41" s="580" t="s">
        <v>447</v>
      </c>
      <c r="C41" s="581" t="s">
        <v>421</v>
      </c>
      <c r="D41" s="582" t="s">
        <v>440</v>
      </c>
      <c r="E41" s="582">
        <v>5</v>
      </c>
      <c r="F41" s="582" t="str">
        <f t="shared" si="3"/>
        <v>د 5</v>
      </c>
      <c r="G41" s="582">
        <v>288</v>
      </c>
      <c r="H41" s="582" t="s">
        <v>436</v>
      </c>
      <c r="I41" s="583">
        <f t="shared" si="19"/>
        <v>997.5</v>
      </c>
      <c r="J41" s="583">
        <v>2850</v>
      </c>
      <c r="O41" s="585">
        <v>0.35</v>
      </c>
      <c r="P41" s="585">
        <v>0.45</v>
      </c>
      <c r="Q41" s="586">
        <f t="shared" si="4"/>
        <v>5700</v>
      </c>
      <c r="R41" s="585">
        <f t="shared" si="5"/>
        <v>0.25</v>
      </c>
      <c r="S41" s="585">
        <f t="shared" si="6"/>
        <v>0</v>
      </c>
      <c r="T41" s="585">
        <f t="shared" si="7"/>
        <v>0</v>
      </c>
      <c r="U41" s="585">
        <f t="shared" si="8"/>
        <v>0</v>
      </c>
      <c r="V41" s="585">
        <f t="shared" si="9"/>
        <v>0</v>
      </c>
      <c r="W41" s="585">
        <f t="shared" si="10"/>
        <v>0</v>
      </c>
      <c r="X41" s="587">
        <f t="shared" si="1"/>
        <v>0.1</v>
      </c>
      <c r="Y41" s="585">
        <f t="shared" si="11"/>
        <v>0.2</v>
      </c>
    </row>
    <row r="42" spans="1:25" ht="18.75">
      <c r="A42" s="579">
        <f t="shared" si="14"/>
        <v>41</v>
      </c>
      <c r="B42" s="580" t="s">
        <v>448</v>
      </c>
      <c r="C42" s="581" t="s">
        <v>431</v>
      </c>
      <c r="D42" s="582" t="s">
        <v>440</v>
      </c>
      <c r="E42" s="582">
        <v>5</v>
      </c>
      <c r="F42" s="582" t="str">
        <f t="shared" si="3"/>
        <v>د 5</v>
      </c>
      <c r="G42" s="582">
        <v>288</v>
      </c>
      <c r="H42" s="582" t="s">
        <v>436</v>
      </c>
      <c r="I42" s="583">
        <f t="shared" si="19"/>
        <v>997.5</v>
      </c>
      <c r="J42" s="583">
        <v>2850</v>
      </c>
      <c r="O42" s="585">
        <v>0.35</v>
      </c>
      <c r="P42" s="585">
        <v>0.45</v>
      </c>
      <c r="Q42" s="586">
        <f t="shared" si="4"/>
        <v>5700</v>
      </c>
      <c r="R42" s="585">
        <f t="shared" si="5"/>
        <v>0</v>
      </c>
      <c r="S42" s="585">
        <f t="shared" si="6"/>
        <v>0.25</v>
      </c>
      <c r="T42" s="585">
        <f t="shared" si="7"/>
        <v>0</v>
      </c>
      <c r="U42" s="585">
        <f t="shared" si="8"/>
        <v>0</v>
      </c>
      <c r="V42" s="585">
        <f t="shared" si="9"/>
        <v>0</v>
      </c>
      <c r="W42" s="585">
        <f t="shared" si="10"/>
        <v>0</v>
      </c>
      <c r="X42" s="587">
        <f t="shared" si="1"/>
        <v>0.1</v>
      </c>
      <c r="Y42" s="585">
        <f t="shared" si="11"/>
        <v>0.2</v>
      </c>
    </row>
    <row r="43" spans="1:25" ht="18.75">
      <c r="A43" s="579">
        <f t="shared" si="14"/>
        <v>42</v>
      </c>
      <c r="B43" s="580" t="s">
        <v>449</v>
      </c>
      <c r="C43" s="581" t="s">
        <v>450</v>
      </c>
      <c r="D43" s="582" t="s">
        <v>440</v>
      </c>
      <c r="E43" s="582">
        <v>5</v>
      </c>
      <c r="F43" s="582" t="str">
        <f t="shared" si="3"/>
        <v>د 5</v>
      </c>
      <c r="G43" s="582">
        <v>288</v>
      </c>
      <c r="H43" s="582" t="s">
        <v>436</v>
      </c>
      <c r="I43" s="583">
        <f t="shared" si="19"/>
        <v>997.5</v>
      </c>
      <c r="J43" s="583">
        <v>2850</v>
      </c>
      <c r="O43" s="585">
        <v>0.35</v>
      </c>
      <c r="P43" s="585">
        <v>0.45</v>
      </c>
      <c r="Q43" s="586">
        <f t="shared" si="4"/>
        <v>5700</v>
      </c>
      <c r="R43" s="585">
        <f t="shared" si="5"/>
        <v>0</v>
      </c>
      <c r="S43" s="585">
        <f t="shared" si="6"/>
        <v>0</v>
      </c>
      <c r="T43" s="585">
        <f t="shared" si="7"/>
        <v>0.25</v>
      </c>
      <c r="U43" s="585">
        <f t="shared" si="8"/>
        <v>0</v>
      </c>
      <c r="V43" s="585">
        <f t="shared" si="9"/>
        <v>0</v>
      </c>
      <c r="W43" s="585">
        <f t="shared" si="10"/>
        <v>0</v>
      </c>
      <c r="X43" s="587">
        <f t="shared" si="1"/>
        <v>0.1</v>
      </c>
      <c r="Y43" s="585">
        <f t="shared" si="11"/>
        <v>0.2</v>
      </c>
    </row>
    <row r="44" spans="1:25" ht="18.75">
      <c r="A44" s="579">
        <f t="shared" si="14"/>
        <v>43</v>
      </c>
      <c r="B44" s="580" t="s">
        <v>451</v>
      </c>
      <c r="C44" s="581" t="s">
        <v>452</v>
      </c>
      <c r="D44" s="582" t="s">
        <v>440</v>
      </c>
      <c r="E44" s="582">
        <v>3</v>
      </c>
      <c r="F44" s="582" t="str">
        <f t="shared" si="3"/>
        <v>د 3</v>
      </c>
      <c r="G44" s="582">
        <v>240</v>
      </c>
      <c r="H44" s="582" t="s">
        <v>436</v>
      </c>
      <c r="I44" s="583">
        <f t="shared" si="19"/>
        <v>997.5</v>
      </c>
      <c r="J44" s="583">
        <v>2850</v>
      </c>
      <c r="O44" s="585">
        <v>0.35</v>
      </c>
      <c r="P44" s="585">
        <v>0.45</v>
      </c>
      <c r="Q44" s="586">
        <f t="shared" si="4"/>
        <v>6900</v>
      </c>
      <c r="R44" s="585">
        <f t="shared" si="5"/>
        <v>0</v>
      </c>
      <c r="S44" s="585">
        <f t="shared" si="6"/>
        <v>0</v>
      </c>
      <c r="T44" s="585">
        <f t="shared" si="7"/>
        <v>0</v>
      </c>
      <c r="U44" s="585">
        <f t="shared" si="8"/>
        <v>0.25</v>
      </c>
      <c r="V44" s="585">
        <f t="shared" si="9"/>
        <v>0</v>
      </c>
      <c r="W44" s="585">
        <f t="shared" si="10"/>
        <v>0</v>
      </c>
      <c r="X44" s="587">
        <f t="shared" si="1"/>
        <v>0.1</v>
      </c>
      <c r="Y44" s="585">
        <f t="shared" si="11"/>
        <v>0.2</v>
      </c>
    </row>
    <row r="45" spans="1:25" ht="18.75">
      <c r="A45" s="579">
        <f t="shared" si="14"/>
        <v>44</v>
      </c>
      <c r="B45" s="580" t="s">
        <v>453</v>
      </c>
      <c r="C45" s="581" t="s">
        <v>450</v>
      </c>
      <c r="D45" s="582" t="s">
        <v>440</v>
      </c>
      <c r="E45" s="582">
        <v>3</v>
      </c>
      <c r="F45" s="582" t="str">
        <f t="shared" si="3"/>
        <v>د 3</v>
      </c>
      <c r="G45" s="582">
        <v>240</v>
      </c>
      <c r="H45" s="582" t="s">
        <v>454</v>
      </c>
      <c r="I45" s="583">
        <f t="shared" si="19"/>
        <v>861</v>
      </c>
      <c r="J45" s="583">
        <v>2460</v>
      </c>
      <c r="O45" s="585">
        <v>0.35</v>
      </c>
      <c r="P45" s="585">
        <v>0.45</v>
      </c>
      <c r="Q45" s="586">
        <f t="shared" si="4"/>
        <v>6900</v>
      </c>
      <c r="R45" s="585">
        <f t="shared" si="5"/>
        <v>0</v>
      </c>
      <c r="S45" s="585">
        <f t="shared" si="6"/>
        <v>0</v>
      </c>
      <c r="T45" s="585">
        <f t="shared" si="7"/>
        <v>0.25</v>
      </c>
      <c r="U45" s="585">
        <f t="shared" si="8"/>
        <v>0</v>
      </c>
      <c r="V45" s="585">
        <f t="shared" si="9"/>
        <v>0</v>
      </c>
      <c r="W45" s="585">
        <f t="shared" si="10"/>
        <v>0</v>
      </c>
      <c r="X45" s="587">
        <f t="shared" si="1"/>
        <v>0.1</v>
      </c>
      <c r="Y45" s="585">
        <f t="shared" si="11"/>
        <v>0.2</v>
      </c>
    </row>
    <row r="46" spans="1:25" ht="18.75">
      <c r="A46" s="579">
        <f t="shared" si="14"/>
        <v>45</v>
      </c>
      <c r="B46" s="580" t="s">
        <v>455</v>
      </c>
      <c r="C46" s="581" t="s">
        <v>456</v>
      </c>
      <c r="D46" s="582" t="s">
        <v>440</v>
      </c>
      <c r="E46" s="582">
        <v>2</v>
      </c>
      <c r="F46" s="582" t="str">
        <f t="shared" si="3"/>
        <v>د 2</v>
      </c>
      <c r="G46" s="582">
        <v>219</v>
      </c>
      <c r="H46" s="582" t="s">
        <v>457</v>
      </c>
      <c r="I46" s="583">
        <f t="shared" si="19"/>
        <v>626.5</v>
      </c>
      <c r="J46" s="583">
        <v>1790</v>
      </c>
      <c r="O46" s="585">
        <v>0.35</v>
      </c>
      <c r="P46" s="585">
        <v>0.45</v>
      </c>
      <c r="Q46" s="586">
        <f t="shared" si="4"/>
        <v>7400</v>
      </c>
      <c r="R46" s="585">
        <f t="shared" si="5"/>
        <v>0</v>
      </c>
      <c r="S46" s="585">
        <f t="shared" si="6"/>
        <v>0</v>
      </c>
      <c r="T46" s="585">
        <f t="shared" si="7"/>
        <v>0</v>
      </c>
      <c r="U46" s="585">
        <f t="shared" si="8"/>
        <v>0.25</v>
      </c>
      <c r="V46" s="585">
        <f t="shared" si="9"/>
        <v>0</v>
      </c>
      <c r="W46" s="585">
        <f t="shared" si="10"/>
        <v>0</v>
      </c>
      <c r="X46" s="587">
        <f t="shared" si="1"/>
        <v>0.1</v>
      </c>
      <c r="Y46" s="585">
        <f t="shared" si="11"/>
        <v>0.2</v>
      </c>
    </row>
    <row r="47" spans="1:25" ht="18.75">
      <c r="A47" s="579">
        <f t="shared" si="14"/>
        <v>46</v>
      </c>
      <c r="B47" s="580" t="s">
        <v>458</v>
      </c>
      <c r="C47" s="581" t="s">
        <v>452</v>
      </c>
      <c r="D47" s="582" t="s">
        <v>440</v>
      </c>
      <c r="E47" s="582">
        <v>2</v>
      </c>
      <c r="F47" s="582" t="str">
        <f t="shared" si="3"/>
        <v>د 2</v>
      </c>
      <c r="G47" s="582">
        <v>219</v>
      </c>
      <c r="H47" s="582" t="s">
        <v>459</v>
      </c>
      <c r="I47" s="583">
        <f>J47*35%</f>
        <v>913.5</v>
      </c>
      <c r="J47" s="583">
        <v>2610</v>
      </c>
      <c r="O47" s="585">
        <v>0.35</v>
      </c>
      <c r="P47" s="585">
        <v>0.45</v>
      </c>
      <c r="Q47" s="586">
        <f t="shared" si="4"/>
        <v>7400</v>
      </c>
      <c r="R47" s="585">
        <f t="shared" si="5"/>
        <v>0</v>
      </c>
      <c r="S47" s="585">
        <f t="shared" si="6"/>
        <v>0</v>
      </c>
      <c r="T47" s="585">
        <f t="shared" si="7"/>
        <v>0</v>
      </c>
      <c r="U47" s="585">
        <f t="shared" si="8"/>
        <v>0.25</v>
      </c>
      <c r="V47" s="585">
        <f>IF(C47="TG",(0.4),IF(OR(C47="TI",C47="TM",C47="TS"),(0.3),0))</f>
        <v>0</v>
      </c>
      <c r="W47" s="585">
        <f t="shared" si="10"/>
        <v>0</v>
      </c>
      <c r="X47" s="587">
        <f t="shared" si="1"/>
        <v>0.1</v>
      </c>
      <c r="Y47" s="585">
        <f t="shared" si="11"/>
        <v>0.2</v>
      </c>
    </row>
    <row r="48" spans="1:25" ht="18.75">
      <c r="A48" s="579">
        <f t="shared" si="14"/>
        <v>47</v>
      </c>
      <c r="B48" s="580" t="s">
        <v>460</v>
      </c>
      <c r="C48" s="581" t="s">
        <v>456</v>
      </c>
      <c r="D48" s="582" t="s">
        <v>440</v>
      </c>
      <c r="E48" s="582">
        <v>1</v>
      </c>
      <c r="F48" s="582" t="str">
        <f t="shared" si="3"/>
        <v>د 1</v>
      </c>
      <c r="G48" s="582">
        <v>200</v>
      </c>
      <c r="H48" s="582" t="s">
        <v>461</v>
      </c>
      <c r="I48" s="583">
        <f>J48*35%</f>
        <v>610.75</v>
      </c>
      <c r="J48" s="583">
        <v>1745</v>
      </c>
      <c r="O48" s="585">
        <v>0.35</v>
      </c>
      <c r="P48" s="585">
        <v>0.45</v>
      </c>
      <c r="Q48" s="586">
        <f t="shared" si="4"/>
        <v>7700</v>
      </c>
      <c r="R48" s="585">
        <f t="shared" si="5"/>
        <v>0</v>
      </c>
      <c r="S48" s="585">
        <f t="shared" si="6"/>
        <v>0</v>
      </c>
      <c r="T48" s="585">
        <f t="shared" si="7"/>
        <v>0</v>
      </c>
      <c r="U48" s="585">
        <f t="shared" si="8"/>
        <v>0.25</v>
      </c>
      <c r="V48" s="585">
        <f t="shared" si="9"/>
        <v>0</v>
      </c>
      <c r="W48" s="585">
        <f t="shared" si="10"/>
        <v>0</v>
      </c>
      <c r="X48" s="587">
        <f t="shared" si="1"/>
        <v>0.1</v>
      </c>
      <c r="Y48" s="585">
        <f t="shared" si="11"/>
        <v>0.2</v>
      </c>
    </row>
    <row r="49" spans="1:74" s="620" customFormat="1" ht="18.75">
      <c r="A49" s="615">
        <f t="shared" si="14"/>
        <v>48</v>
      </c>
      <c r="B49" s="616" t="s">
        <v>462</v>
      </c>
      <c r="C49" s="617" t="s">
        <v>450</v>
      </c>
      <c r="D49" s="618" t="s">
        <v>440</v>
      </c>
      <c r="E49" s="618">
        <v>1</v>
      </c>
      <c r="F49" s="582" t="str">
        <f t="shared" si="3"/>
        <v>د 1</v>
      </c>
      <c r="G49" s="618">
        <v>200</v>
      </c>
      <c r="H49" s="618" t="s">
        <v>463</v>
      </c>
      <c r="I49" s="583">
        <f>J49*35%</f>
        <v>714</v>
      </c>
      <c r="J49" s="583">
        <v>2040</v>
      </c>
      <c r="K49" s="619"/>
      <c r="L49" s="618"/>
      <c r="M49" s="618"/>
      <c r="N49" s="619"/>
      <c r="O49" s="587">
        <v>0.35</v>
      </c>
      <c r="P49" s="587">
        <v>0.45</v>
      </c>
      <c r="Q49" s="620">
        <f t="shared" si="4"/>
        <v>7700</v>
      </c>
      <c r="R49" s="585">
        <f t="shared" si="5"/>
        <v>0</v>
      </c>
      <c r="S49" s="587">
        <f t="shared" si="6"/>
        <v>0</v>
      </c>
      <c r="T49" s="587">
        <f t="shared" si="7"/>
        <v>0</v>
      </c>
      <c r="U49" s="587">
        <f t="shared" si="8"/>
        <v>0</v>
      </c>
      <c r="V49" s="587">
        <f t="shared" si="9"/>
        <v>0</v>
      </c>
      <c r="W49" s="587">
        <f t="shared" si="10"/>
        <v>0</v>
      </c>
      <c r="X49" s="587">
        <f>IF(OR(C49="CG",C49="CTG",C49="CS",C49="CTS",C49="CM",C49="CTM",C49="CI",C49="CTI",C49="CH",C49="OP",C49="V"),(0.1),0)</f>
        <v>0.1</v>
      </c>
      <c r="Y49" s="585">
        <f t="shared" si="11"/>
        <v>0.2</v>
      </c>
      <c r="BG49" s="627"/>
      <c r="BH49" s="580"/>
      <c r="BI49" s="581"/>
      <c r="BJ49" s="582"/>
      <c r="BK49" s="582"/>
      <c r="BL49" s="582"/>
      <c r="BM49" s="582"/>
      <c r="BN49" s="582"/>
      <c r="BO49" s="614"/>
      <c r="BP49" s="614"/>
      <c r="BQ49" s="614"/>
      <c r="BR49" s="762"/>
      <c r="BS49" s="762"/>
      <c r="BT49" s="762"/>
      <c r="BU49" s="762"/>
      <c r="BV49" s="762"/>
    </row>
    <row r="50" spans="1:74" ht="18.75">
      <c r="A50" s="615">
        <f t="shared" si="14"/>
        <v>49</v>
      </c>
      <c r="C50" s="581" t="s">
        <v>464</v>
      </c>
      <c r="D50" s="582" t="s">
        <v>353</v>
      </c>
      <c r="E50" s="582">
        <v>16</v>
      </c>
      <c r="F50" s="582" t="str">
        <f>CONCATENATE("ب1 / ",D50,E50)</f>
        <v>ب1 / أ16</v>
      </c>
      <c r="G50" s="582">
        <v>713</v>
      </c>
      <c r="H50" s="582" t="s">
        <v>358</v>
      </c>
      <c r="I50" s="583">
        <f>J50*35%</f>
        <v>3850</v>
      </c>
      <c r="J50" s="583">
        <v>11000</v>
      </c>
      <c r="O50" s="621">
        <v>0.8</v>
      </c>
      <c r="P50" s="621">
        <v>0.9</v>
      </c>
      <c r="Q50" s="586">
        <v>0</v>
      </c>
      <c r="R50" s="587">
        <f t="shared" si="5"/>
        <v>0</v>
      </c>
      <c r="S50" s="587">
        <f t="shared" si="6"/>
        <v>0</v>
      </c>
      <c r="T50" s="587">
        <f t="shared" si="7"/>
        <v>0</v>
      </c>
      <c r="U50" s="587">
        <f t="shared" si="8"/>
        <v>0</v>
      </c>
      <c r="V50" s="587">
        <f t="shared" si="9"/>
        <v>0</v>
      </c>
      <c r="W50" s="587">
        <f t="shared" si="10"/>
        <v>0</v>
      </c>
      <c r="X50" s="587">
        <f t="shared" ref="X50:X64" si="20">IF(OR(C50="CG",C50="CTG",C50="CS",C50="CTS",C50="CM",C50="CTM",C50="CI",C50="CTI"),(0.1),0)</f>
        <v>0</v>
      </c>
      <c r="Y50" s="585">
        <f t="shared" si="11"/>
        <v>0</v>
      </c>
    </row>
    <row r="51" spans="1:74" ht="18.75">
      <c r="A51" s="615">
        <f t="shared" si="14"/>
        <v>50</v>
      </c>
      <c r="C51" s="581" t="s">
        <v>464</v>
      </c>
      <c r="D51" s="582" t="s">
        <v>353</v>
      </c>
      <c r="E51" s="582">
        <v>16</v>
      </c>
      <c r="F51" s="582" t="str">
        <f t="shared" ref="F51:F63" si="21">CONCATENATE("ب1 / ",D51,E51)</f>
        <v>ب1 / أ16</v>
      </c>
      <c r="G51" s="582">
        <v>713</v>
      </c>
      <c r="H51" s="582" t="s">
        <v>465</v>
      </c>
      <c r="I51" s="583">
        <f t="shared" ref="I51:I63" si="22">J51*35%</f>
        <v>3850</v>
      </c>
      <c r="J51" s="583">
        <v>11000</v>
      </c>
      <c r="O51" s="621">
        <v>0.8</v>
      </c>
      <c r="P51" s="621">
        <v>0.9</v>
      </c>
      <c r="Q51" s="586">
        <v>0</v>
      </c>
      <c r="R51" s="587">
        <f t="shared" si="5"/>
        <v>0</v>
      </c>
      <c r="S51" s="587">
        <f t="shared" si="6"/>
        <v>0</v>
      </c>
      <c r="T51" s="587">
        <f t="shared" si="7"/>
        <v>0</v>
      </c>
      <c r="U51" s="587">
        <f t="shared" si="8"/>
        <v>0</v>
      </c>
      <c r="V51" s="587">
        <f t="shared" si="9"/>
        <v>0</v>
      </c>
      <c r="W51" s="587">
        <f t="shared" si="10"/>
        <v>0</v>
      </c>
      <c r="X51" s="587">
        <f t="shared" si="20"/>
        <v>0</v>
      </c>
      <c r="Y51" s="585">
        <f t="shared" si="11"/>
        <v>0</v>
      </c>
    </row>
    <row r="52" spans="1:74" ht="18.75">
      <c r="A52" s="615">
        <f t="shared" si="14"/>
        <v>51</v>
      </c>
      <c r="C52" s="581" t="s">
        <v>464</v>
      </c>
      <c r="D52" s="582" t="s">
        <v>353</v>
      </c>
      <c r="E52" s="582">
        <v>16</v>
      </c>
      <c r="F52" s="582" t="str">
        <f t="shared" si="21"/>
        <v>ب1 / أ16</v>
      </c>
      <c r="G52" s="582">
        <v>713</v>
      </c>
      <c r="H52" s="582" t="s">
        <v>466</v>
      </c>
      <c r="I52" s="583">
        <f t="shared" si="22"/>
        <v>3850</v>
      </c>
      <c r="J52" s="583">
        <v>11000</v>
      </c>
      <c r="O52" s="621">
        <v>0.8</v>
      </c>
      <c r="P52" s="621">
        <v>0.9</v>
      </c>
      <c r="Q52" s="586">
        <v>0</v>
      </c>
      <c r="R52" s="587">
        <f t="shared" si="5"/>
        <v>0</v>
      </c>
      <c r="S52" s="587">
        <f t="shared" si="6"/>
        <v>0</v>
      </c>
      <c r="T52" s="587">
        <f t="shared" si="7"/>
        <v>0</v>
      </c>
      <c r="U52" s="587">
        <f t="shared" si="8"/>
        <v>0</v>
      </c>
      <c r="V52" s="587">
        <f t="shared" si="9"/>
        <v>0</v>
      </c>
      <c r="W52" s="587">
        <f t="shared" si="10"/>
        <v>0</v>
      </c>
      <c r="X52" s="587">
        <f t="shared" si="20"/>
        <v>0</v>
      </c>
      <c r="Y52" s="585">
        <f t="shared" si="11"/>
        <v>0</v>
      </c>
    </row>
    <row r="53" spans="1:74" ht="18.75">
      <c r="A53" s="615">
        <f t="shared" si="14"/>
        <v>52</v>
      </c>
      <c r="C53" s="581" t="s">
        <v>464</v>
      </c>
      <c r="D53" s="582" t="s">
        <v>353</v>
      </c>
      <c r="E53" s="582">
        <v>16</v>
      </c>
      <c r="F53" s="582" t="str">
        <f t="shared" si="21"/>
        <v>ب1 / أ16</v>
      </c>
      <c r="G53" s="582">
        <v>713</v>
      </c>
      <c r="H53" s="582" t="s">
        <v>467</v>
      </c>
      <c r="I53" s="583">
        <f t="shared" si="22"/>
        <v>3850</v>
      </c>
      <c r="J53" s="583">
        <v>11000</v>
      </c>
      <c r="O53" s="621">
        <v>0.8</v>
      </c>
      <c r="P53" s="621">
        <v>0.9</v>
      </c>
      <c r="Q53" s="586">
        <v>0</v>
      </c>
      <c r="R53" s="587">
        <f t="shared" si="5"/>
        <v>0</v>
      </c>
      <c r="S53" s="587">
        <f t="shared" si="6"/>
        <v>0</v>
      </c>
      <c r="T53" s="587">
        <f t="shared" si="7"/>
        <v>0</v>
      </c>
      <c r="U53" s="587">
        <f t="shared" si="8"/>
        <v>0</v>
      </c>
      <c r="V53" s="587">
        <f t="shared" si="9"/>
        <v>0</v>
      </c>
      <c r="W53" s="587">
        <f t="shared" si="10"/>
        <v>0</v>
      </c>
      <c r="X53" s="587">
        <f t="shared" si="20"/>
        <v>0</v>
      </c>
      <c r="Y53" s="585">
        <f t="shared" si="11"/>
        <v>0</v>
      </c>
    </row>
    <row r="54" spans="1:74" ht="18.75">
      <c r="A54" s="615">
        <f t="shared" si="14"/>
        <v>53</v>
      </c>
      <c r="C54" s="581" t="s">
        <v>464</v>
      </c>
      <c r="D54" s="582" t="s">
        <v>353</v>
      </c>
      <c r="E54" s="582">
        <v>14</v>
      </c>
      <c r="F54" s="582" t="str">
        <f t="shared" si="21"/>
        <v>ب1 / أ14</v>
      </c>
      <c r="G54" s="582">
        <v>621</v>
      </c>
      <c r="H54" s="582" t="s">
        <v>468</v>
      </c>
      <c r="I54" s="583">
        <f t="shared" si="22"/>
        <v>3850</v>
      </c>
      <c r="J54" s="583">
        <v>11000</v>
      </c>
      <c r="O54" s="621">
        <v>0.8</v>
      </c>
      <c r="P54" s="621">
        <v>0.9</v>
      </c>
      <c r="Q54" s="586">
        <v>0</v>
      </c>
      <c r="R54" s="587">
        <f t="shared" si="5"/>
        <v>0</v>
      </c>
      <c r="S54" s="587">
        <f t="shared" si="6"/>
        <v>0</v>
      </c>
      <c r="T54" s="587">
        <f t="shared" si="7"/>
        <v>0</v>
      </c>
      <c r="U54" s="587">
        <f t="shared" si="8"/>
        <v>0</v>
      </c>
      <c r="V54" s="587">
        <f t="shared" si="9"/>
        <v>0</v>
      </c>
      <c r="W54" s="587">
        <f t="shared" si="10"/>
        <v>0</v>
      </c>
      <c r="X54" s="587">
        <f t="shared" si="20"/>
        <v>0</v>
      </c>
      <c r="Y54" s="585">
        <f t="shared" si="11"/>
        <v>0</v>
      </c>
    </row>
    <row r="55" spans="1:74" ht="18.75">
      <c r="A55" s="615">
        <f t="shared" si="14"/>
        <v>54</v>
      </c>
      <c r="C55" s="581" t="s">
        <v>464</v>
      </c>
      <c r="D55" s="582" t="s">
        <v>353</v>
      </c>
      <c r="E55" s="582">
        <v>14</v>
      </c>
      <c r="F55" s="582" t="str">
        <f t="shared" si="21"/>
        <v>ب1 / أ14</v>
      </c>
      <c r="G55" s="582">
        <v>621</v>
      </c>
      <c r="H55" s="582" t="s">
        <v>469</v>
      </c>
      <c r="I55" s="583">
        <f t="shared" si="22"/>
        <v>3850</v>
      </c>
      <c r="J55" s="583">
        <v>11000</v>
      </c>
      <c r="O55" s="621">
        <v>0.8</v>
      </c>
      <c r="P55" s="621">
        <v>0.9</v>
      </c>
      <c r="Q55" s="586">
        <v>0</v>
      </c>
      <c r="R55" s="587">
        <f t="shared" si="5"/>
        <v>0</v>
      </c>
      <c r="S55" s="587">
        <f t="shared" si="6"/>
        <v>0</v>
      </c>
      <c r="T55" s="587">
        <f t="shared" si="7"/>
        <v>0</v>
      </c>
      <c r="U55" s="587">
        <f t="shared" si="8"/>
        <v>0</v>
      </c>
      <c r="V55" s="587">
        <f t="shared" si="9"/>
        <v>0</v>
      </c>
      <c r="W55" s="587">
        <f t="shared" si="10"/>
        <v>0</v>
      </c>
      <c r="X55" s="587">
        <f t="shared" si="20"/>
        <v>0</v>
      </c>
      <c r="Y55" s="585">
        <f t="shared" si="11"/>
        <v>0</v>
      </c>
    </row>
    <row r="56" spans="1:74" ht="18.75">
      <c r="A56" s="615">
        <f t="shared" si="14"/>
        <v>55</v>
      </c>
      <c r="C56" s="581" t="s">
        <v>464</v>
      </c>
      <c r="D56" s="582" t="s">
        <v>353</v>
      </c>
      <c r="E56" s="582">
        <v>14</v>
      </c>
      <c r="F56" s="582" t="str">
        <f t="shared" si="21"/>
        <v>ب1 / أ14</v>
      </c>
      <c r="G56" s="582">
        <v>621</v>
      </c>
      <c r="H56" s="582" t="s">
        <v>470</v>
      </c>
      <c r="I56" s="583">
        <f t="shared" si="22"/>
        <v>3850</v>
      </c>
      <c r="J56" s="583">
        <v>11000</v>
      </c>
      <c r="O56" s="621">
        <v>0.8</v>
      </c>
      <c r="P56" s="621">
        <v>0.9</v>
      </c>
      <c r="Q56" s="586">
        <v>0</v>
      </c>
      <c r="R56" s="587">
        <f t="shared" si="5"/>
        <v>0</v>
      </c>
      <c r="S56" s="587">
        <f t="shared" si="6"/>
        <v>0</v>
      </c>
      <c r="T56" s="587">
        <f t="shared" si="7"/>
        <v>0</v>
      </c>
      <c r="U56" s="587">
        <f t="shared" si="8"/>
        <v>0</v>
      </c>
      <c r="V56" s="587">
        <f t="shared" si="9"/>
        <v>0</v>
      </c>
      <c r="W56" s="587">
        <f t="shared" si="10"/>
        <v>0</v>
      </c>
      <c r="X56" s="587">
        <f t="shared" si="20"/>
        <v>0</v>
      </c>
      <c r="Y56" s="585">
        <f t="shared" si="11"/>
        <v>0</v>
      </c>
    </row>
    <row r="57" spans="1:74" ht="18.75">
      <c r="A57" s="615">
        <f t="shared" si="14"/>
        <v>56</v>
      </c>
      <c r="C57" s="581" t="s">
        <v>464</v>
      </c>
      <c r="D57" s="582" t="s">
        <v>353</v>
      </c>
      <c r="E57" s="582">
        <v>14</v>
      </c>
      <c r="F57" s="582" t="str">
        <f t="shared" si="21"/>
        <v>ب1 / أ14</v>
      </c>
      <c r="G57" s="582">
        <v>621</v>
      </c>
      <c r="H57" s="582" t="s">
        <v>471</v>
      </c>
      <c r="I57" s="583">
        <f t="shared" si="22"/>
        <v>3850</v>
      </c>
      <c r="J57" s="583">
        <v>11000</v>
      </c>
      <c r="O57" s="621">
        <v>0.8</v>
      </c>
      <c r="P57" s="621">
        <v>0.9</v>
      </c>
      <c r="Q57" s="586">
        <v>0</v>
      </c>
      <c r="R57" s="587">
        <f t="shared" si="5"/>
        <v>0</v>
      </c>
      <c r="S57" s="587">
        <f t="shared" si="6"/>
        <v>0</v>
      </c>
      <c r="T57" s="587">
        <f t="shared" si="7"/>
        <v>0</v>
      </c>
      <c r="U57" s="587">
        <f t="shared" si="8"/>
        <v>0</v>
      </c>
      <c r="V57" s="587">
        <f t="shared" si="9"/>
        <v>0</v>
      </c>
      <c r="W57" s="587">
        <f t="shared" si="10"/>
        <v>0</v>
      </c>
      <c r="X57" s="587">
        <f t="shared" si="20"/>
        <v>0</v>
      </c>
      <c r="Y57" s="585">
        <f t="shared" si="11"/>
        <v>0</v>
      </c>
    </row>
    <row r="58" spans="1:74" ht="18.75">
      <c r="A58" s="615">
        <f t="shared" si="14"/>
        <v>57</v>
      </c>
      <c r="C58" s="581" t="s">
        <v>464</v>
      </c>
      <c r="D58" s="582" t="s">
        <v>353</v>
      </c>
      <c r="E58" s="582">
        <v>13</v>
      </c>
      <c r="F58" s="582" t="str">
        <f t="shared" si="21"/>
        <v>ب1 / أ13</v>
      </c>
      <c r="G58" s="582">
        <v>578</v>
      </c>
      <c r="H58" s="582" t="s">
        <v>472</v>
      </c>
      <c r="I58" s="583">
        <f t="shared" si="22"/>
        <v>3850</v>
      </c>
      <c r="J58" s="583">
        <v>11000</v>
      </c>
      <c r="O58" s="621">
        <v>0.8</v>
      </c>
      <c r="P58" s="621">
        <v>0.9</v>
      </c>
      <c r="Q58" s="586">
        <v>0</v>
      </c>
      <c r="R58" s="587">
        <f t="shared" si="5"/>
        <v>0</v>
      </c>
      <c r="S58" s="587">
        <f t="shared" si="6"/>
        <v>0</v>
      </c>
      <c r="T58" s="587">
        <f t="shared" si="7"/>
        <v>0</v>
      </c>
      <c r="U58" s="587">
        <f t="shared" si="8"/>
        <v>0</v>
      </c>
      <c r="V58" s="587">
        <f t="shared" si="9"/>
        <v>0</v>
      </c>
      <c r="W58" s="587">
        <f t="shared" si="10"/>
        <v>0</v>
      </c>
      <c r="X58" s="587">
        <f t="shared" si="20"/>
        <v>0</v>
      </c>
      <c r="Y58" s="585">
        <f t="shared" si="11"/>
        <v>0</v>
      </c>
    </row>
    <row r="59" spans="1:74" ht="18.75">
      <c r="A59" s="615">
        <f t="shared" si="14"/>
        <v>58</v>
      </c>
      <c r="C59" s="581" t="s">
        <v>464</v>
      </c>
      <c r="D59" s="582" t="s">
        <v>353</v>
      </c>
      <c r="E59" s="582">
        <v>13</v>
      </c>
      <c r="F59" s="582" t="str">
        <f t="shared" si="21"/>
        <v>ب1 / أ13</v>
      </c>
      <c r="G59" s="582">
        <v>578</v>
      </c>
      <c r="H59" s="582" t="s">
        <v>473</v>
      </c>
      <c r="I59" s="583">
        <f t="shared" si="22"/>
        <v>3850</v>
      </c>
      <c r="J59" s="583">
        <v>11000</v>
      </c>
      <c r="O59" s="621">
        <v>0.8</v>
      </c>
      <c r="P59" s="621">
        <v>0.9</v>
      </c>
      <c r="Q59" s="586">
        <v>0</v>
      </c>
      <c r="R59" s="587">
        <f t="shared" si="5"/>
        <v>0</v>
      </c>
      <c r="S59" s="587">
        <f t="shared" si="6"/>
        <v>0</v>
      </c>
      <c r="T59" s="587">
        <f t="shared" si="7"/>
        <v>0</v>
      </c>
      <c r="U59" s="587">
        <f t="shared" si="8"/>
        <v>0</v>
      </c>
      <c r="V59" s="587">
        <f t="shared" si="9"/>
        <v>0</v>
      </c>
      <c r="W59" s="587">
        <f t="shared" si="10"/>
        <v>0</v>
      </c>
      <c r="X59" s="587">
        <f t="shared" si="20"/>
        <v>0</v>
      </c>
      <c r="Y59" s="585">
        <f t="shared" si="11"/>
        <v>0</v>
      </c>
    </row>
    <row r="60" spans="1:74" ht="18.75">
      <c r="A60" s="615">
        <f t="shared" si="14"/>
        <v>59</v>
      </c>
      <c r="C60" s="581" t="s">
        <v>464</v>
      </c>
      <c r="D60" s="582" t="s">
        <v>353</v>
      </c>
      <c r="E60" s="582">
        <v>13</v>
      </c>
      <c r="F60" s="582" t="str">
        <f t="shared" si="21"/>
        <v>ب1 / أ13</v>
      </c>
      <c r="G60" s="582">
        <v>578</v>
      </c>
      <c r="H60" s="582" t="s">
        <v>474</v>
      </c>
      <c r="I60" s="583">
        <f t="shared" si="22"/>
        <v>3850</v>
      </c>
      <c r="J60" s="583">
        <v>11000</v>
      </c>
      <c r="O60" s="621">
        <v>0.8</v>
      </c>
      <c r="P60" s="621">
        <v>0.9</v>
      </c>
      <c r="Q60" s="586">
        <v>0</v>
      </c>
      <c r="R60" s="587">
        <f t="shared" si="5"/>
        <v>0</v>
      </c>
      <c r="S60" s="587">
        <f t="shared" si="6"/>
        <v>0</v>
      </c>
      <c r="T60" s="587">
        <f t="shared" si="7"/>
        <v>0</v>
      </c>
      <c r="U60" s="587">
        <f t="shared" si="8"/>
        <v>0</v>
      </c>
      <c r="V60" s="587">
        <f t="shared" si="9"/>
        <v>0</v>
      </c>
      <c r="W60" s="587">
        <f t="shared" si="10"/>
        <v>0</v>
      </c>
      <c r="X60" s="587">
        <f t="shared" si="20"/>
        <v>0</v>
      </c>
      <c r="Y60" s="585">
        <f t="shared" si="11"/>
        <v>0</v>
      </c>
    </row>
    <row r="61" spans="1:74" ht="18.75">
      <c r="A61" s="615">
        <f t="shared" si="14"/>
        <v>60</v>
      </c>
      <c r="C61" s="581" t="s">
        <v>464</v>
      </c>
      <c r="D61" s="582" t="s">
        <v>353</v>
      </c>
      <c r="E61" s="582">
        <v>13</v>
      </c>
      <c r="F61" s="582" t="str">
        <f t="shared" si="21"/>
        <v>ب1 / أ13</v>
      </c>
      <c r="G61" s="582">
        <v>578</v>
      </c>
      <c r="H61" s="582" t="s">
        <v>475</v>
      </c>
      <c r="I61" s="583">
        <f t="shared" si="22"/>
        <v>3850</v>
      </c>
      <c r="J61" s="583">
        <v>11000</v>
      </c>
      <c r="O61" s="621">
        <v>0.8</v>
      </c>
      <c r="P61" s="621">
        <v>0.9</v>
      </c>
      <c r="Q61" s="586">
        <v>0</v>
      </c>
      <c r="R61" s="587">
        <f t="shared" si="5"/>
        <v>0</v>
      </c>
      <c r="S61" s="587">
        <f t="shared" si="6"/>
        <v>0</v>
      </c>
      <c r="T61" s="587">
        <f t="shared" si="7"/>
        <v>0</v>
      </c>
      <c r="U61" s="587">
        <f t="shared" si="8"/>
        <v>0</v>
      </c>
      <c r="V61" s="587">
        <f t="shared" si="9"/>
        <v>0</v>
      </c>
      <c r="W61" s="587">
        <f t="shared" si="10"/>
        <v>0</v>
      </c>
      <c r="X61" s="587">
        <f t="shared" si="20"/>
        <v>0</v>
      </c>
      <c r="Y61" s="585">
        <f t="shared" si="11"/>
        <v>0</v>
      </c>
    </row>
    <row r="62" spans="1:74" ht="18.75">
      <c r="A62" s="615">
        <f t="shared" si="14"/>
        <v>61</v>
      </c>
      <c r="C62" s="581" t="s">
        <v>464</v>
      </c>
      <c r="D62" s="582" t="s">
        <v>353</v>
      </c>
      <c r="E62" s="582">
        <v>12</v>
      </c>
      <c r="F62" s="582" t="str">
        <f t="shared" si="21"/>
        <v>ب1 / أ12</v>
      </c>
      <c r="G62" s="582">
        <v>537</v>
      </c>
      <c r="H62" s="582" t="s">
        <v>476</v>
      </c>
      <c r="I62" s="583">
        <f t="shared" si="22"/>
        <v>3850</v>
      </c>
      <c r="J62" s="583">
        <v>11000</v>
      </c>
      <c r="O62" s="621">
        <v>0.8</v>
      </c>
      <c r="P62" s="621">
        <v>0.9</v>
      </c>
      <c r="Q62" s="586">
        <v>0</v>
      </c>
      <c r="R62" s="587">
        <f t="shared" si="5"/>
        <v>0</v>
      </c>
      <c r="S62" s="587">
        <f t="shared" si="6"/>
        <v>0</v>
      </c>
      <c r="T62" s="587">
        <f t="shared" si="7"/>
        <v>0</v>
      </c>
      <c r="U62" s="587">
        <f t="shared" si="8"/>
        <v>0</v>
      </c>
      <c r="V62" s="587">
        <f t="shared" si="9"/>
        <v>0</v>
      </c>
      <c r="W62" s="587">
        <f t="shared" si="10"/>
        <v>0</v>
      </c>
      <c r="X62" s="587">
        <f t="shared" si="20"/>
        <v>0</v>
      </c>
      <c r="Y62" s="585">
        <f t="shared" si="11"/>
        <v>0</v>
      </c>
    </row>
    <row r="63" spans="1:74" ht="18.75">
      <c r="A63" s="615">
        <f t="shared" si="14"/>
        <v>62</v>
      </c>
      <c r="C63" s="581" t="s">
        <v>464</v>
      </c>
      <c r="D63" s="582" t="s">
        <v>353</v>
      </c>
      <c r="E63" s="582">
        <v>12</v>
      </c>
      <c r="F63" s="582" t="str">
        <f t="shared" si="21"/>
        <v>ب1 / أ12</v>
      </c>
      <c r="G63" s="582">
        <v>537</v>
      </c>
      <c r="H63" s="582" t="s">
        <v>477</v>
      </c>
      <c r="I63" s="583">
        <f t="shared" si="22"/>
        <v>3850</v>
      </c>
      <c r="J63" s="583">
        <v>11000</v>
      </c>
      <c r="O63" s="621">
        <v>0.8</v>
      </c>
      <c r="P63" s="621">
        <v>0.9</v>
      </c>
      <c r="Q63" s="586">
        <v>0</v>
      </c>
      <c r="R63" s="587">
        <f t="shared" si="5"/>
        <v>0</v>
      </c>
      <c r="S63" s="587">
        <f t="shared" si="6"/>
        <v>0</v>
      </c>
      <c r="T63" s="587">
        <f t="shared" si="7"/>
        <v>0</v>
      </c>
      <c r="U63" s="587">
        <f t="shared" si="8"/>
        <v>0</v>
      </c>
      <c r="V63" s="587">
        <f t="shared" si="9"/>
        <v>0</v>
      </c>
      <c r="W63" s="587">
        <f t="shared" si="10"/>
        <v>0</v>
      </c>
      <c r="X63" s="587">
        <f t="shared" si="20"/>
        <v>0</v>
      </c>
      <c r="Y63" s="585">
        <f t="shared" si="11"/>
        <v>0</v>
      </c>
    </row>
    <row r="64" spans="1:74" s="620" customFormat="1" ht="18.75">
      <c r="A64" s="615">
        <f t="shared" si="14"/>
        <v>63</v>
      </c>
      <c r="B64" s="616"/>
      <c r="C64" s="617" t="s">
        <v>464</v>
      </c>
      <c r="D64" s="618" t="s">
        <v>353</v>
      </c>
      <c r="E64" s="618">
        <v>12</v>
      </c>
      <c r="F64" s="618" t="str">
        <f>CONCATENATE("ب1 / ",D64,E64)</f>
        <v>ب1 / أ12</v>
      </c>
      <c r="G64" s="618">
        <v>537</v>
      </c>
      <c r="H64" s="618" t="s">
        <v>478</v>
      </c>
      <c r="I64" s="583">
        <f>J64*35%</f>
        <v>3850</v>
      </c>
      <c r="J64" s="583">
        <v>11000</v>
      </c>
      <c r="K64" s="619"/>
      <c r="L64" s="618"/>
      <c r="M64" s="618"/>
      <c r="N64" s="619"/>
      <c r="O64" s="621">
        <v>0.8</v>
      </c>
      <c r="P64" s="621">
        <v>0.9</v>
      </c>
      <c r="Q64" s="586">
        <v>0</v>
      </c>
      <c r="R64" s="587">
        <f t="shared" si="5"/>
        <v>0</v>
      </c>
      <c r="S64" s="587">
        <f t="shared" si="6"/>
        <v>0</v>
      </c>
      <c r="T64" s="587">
        <f t="shared" si="7"/>
        <v>0</v>
      </c>
      <c r="U64" s="587">
        <f t="shared" si="8"/>
        <v>0</v>
      </c>
      <c r="V64" s="587">
        <f t="shared" si="9"/>
        <v>0</v>
      </c>
      <c r="W64" s="587">
        <f t="shared" si="10"/>
        <v>0</v>
      </c>
      <c r="X64" s="587">
        <f t="shared" si="20"/>
        <v>0</v>
      </c>
      <c r="Y64" s="585">
        <f t="shared" si="11"/>
        <v>0</v>
      </c>
      <c r="BG64" s="627"/>
      <c r="BH64" s="580"/>
      <c r="BI64" s="581"/>
      <c r="BJ64" s="582"/>
      <c r="BK64" s="582"/>
      <c r="BL64" s="582"/>
      <c r="BM64" s="582"/>
      <c r="BN64" s="582"/>
      <c r="BO64" s="614"/>
      <c r="BP64" s="614"/>
      <c r="BQ64" s="614"/>
      <c r="BR64" s="762"/>
      <c r="BS64" s="762"/>
      <c r="BT64" s="762"/>
      <c r="BU64" s="762"/>
      <c r="BV64" s="762"/>
    </row>
    <row r="65" spans="1:74" s="623" customFormat="1">
      <c r="A65" s="622"/>
      <c r="C65" s="624"/>
      <c r="I65" s="625"/>
      <c r="J65" s="588"/>
      <c r="K65" s="591"/>
      <c r="L65" s="626"/>
      <c r="M65" s="626"/>
      <c r="N65" s="591"/>
      <c r="BG65" s="627"/>
      <c r="BH65" s="580"/>
      <c r="BI65" s="581"/>
      <c r="BJ65" s="582"/>
      <c r="BK65" s="582"/>
      <c r="BL65" s="582"/>
      <c r="BM65" s="582"/>
      <c r="BN65" s="582"/>
      <c r="BO65" s="614"/>
      <c r="BP65" s="614"/>
      <c r="BQ65" s="614"/>
      <c r="BR65" s="762"/>
      <c r="BS65" s="762"/>
      <c r="BT65" s="762"/>
      <c r="BU65" s="762"/>
      <c r="BV65" s="762"/>
    </row>
    <row r="66" spans="1:74" ht="18.75">
      <c r="I66" s="583"/>
      <c r="J66" s="583"/>
    </row>
    <row r="69" spans="1:74" ht="18.75">
      <c r="B69" s="628"/>
      <c r="C69" s="629"/>
      <c r="D69" s="614"/>
      <c r="E69" s="614"/>
      <c r="F69" s="614"/>
      <c r="G69" s="614"/>
      <c r="H69" s="614"/>
      <c r="I69" s="583"/>
      <c r="J69" s="58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AP100"/>
  <sheetViews>
    <sheetView rightToLeft="1" topLeftCell="AI1" zoomScaleSheetLayoutView="115" workbookViewId="0">
      <selection activeCell="AQ2" sqref="AQ2"/>
    </sheetView>
  </sheetViews>
  <sheetFormatPr baseColWidth="10" defaultRowHeight="18"/>
  <cols>
    <col min="1" max="1" width="9.7109375" style="646" customWidth="1"/>
    <col min="2" max="2" width="23" style="642" customWidth="1"/>
    <col min="3" max="3" width="8.85546875" style="642" customWidth="1"/>
    <col min="4" max="4" width="33.5703125" style="782" customWidth="1"/>
    <col min="5" max="5" width="11.85546875" style="646" customWidth="1"/>
    <col min="6" max="6" width="7.7109375" style="646" customWidth="1"/>
    <col min="7" max="7" width="17.5703125" style="642" customWidth="1"/>
    <col min="8" max="8" width="11.42578125" style="646" customWidth="1"/>
    <col min="9" max="9" width="17.140625" style="646" customWidth="1"/>
    <col min="10" max="10" width="11.42578125" style="642" customWidth="1"/>
    <col min="11" max="11" width="18.85546875" style="642" customWidth="1"/>
    <col min="12" max="12" width="26.5703125" style="647" customWidth="1"/>
    <col min="13" max="13" width="30.140625" style="647" customWidth="1"/>
    <col min="14" max="14" width="30.140625" style="645" customWidth="1"/>
    <col min="15" max="16" width="11.42578125" style="648" hidden="1" customWidth="1"/>
    <col min="17" max="17" width="18.42578125" style="783" hidden="1" customWidth="1"/>
    <col min="18" max="18" width="11.42578125" style="648" hidden="1" customWidth="1"/>
    <col min="19" max="19" width="15.28515625" style="648" hidden="1" customWidth="1"/>
    <col min="20" max="20" width="14.140625" style="649" hidden="1" customWidth="1"/>
    <col min="21" max="21" width="17.140625" style="648" hidden="1" customWidth="1"/>
    <col min="22" max="23" width="17.140625" style="648" customWidth="1"/>
    <col min="24" max="24" width="17.42578125" style="648" customWidth="1"/>
    <col min="25" max="25" width="18.5703125" style="648" customWidth="1"/>
    <col min="26" max="26" width="16" style="649" customWidth="1"/>
    <col min="27" max="27" width="15.85546875" style="649" customWidth="1"/>
    <col min="28" max="28" width="24.85546875" style="649" customWidth="1"/>
    <col min="29" max="29" width="16.7109375" style="649" customWidth="1"/>
    <col min="30" max="30" width="19.42578125" style="649" customWidth="1"/>
    <col min="31" max="32" width="16.7109375" style="649" customWidth="1"/>
    <col min="33" max="39" width="18.28515625" style="649" customWidth="1"/>
    <col min="40" max="40" width="18.42578125" style="649" customWidth="1"/>
    <col min="41" max="41" width="18.42578125" style="809" customWidth="1"/>
    <col min="42" max="42" width="27.42578125" style="642" customWidth="1"/>
    <col min="43" max="261" width="11.42578125" style="642"/>
    <col min="262" max="262" width="9.7109375" style="642" customWidth="1"/>
    <col min="263" max="263" width="23" style="642" customWidth="1"/>
    <col min="264" max="264" width="8.85546875" style="642" customWidth="1"/>
    <col min="265" max="265" width="28" style="642" customWidth="1"/>
    <col min="266" max="267" width="11.85546875" style="642" customWidth="1"/>
    <col min="268" max="268" width="7.7109375" style="642" customWidth="1"/>
    <col min="269" max="269" width="17.5703125" style="642" customWidth="1"/>
    <col min="270" max="270" width="11.42578125" style="642"/>
    <col min="271" max="271" width="17.140625" style="642" customWidth="1"/>
    <col min="272" max="272" width="11.42578125" style="642"/>
    <col min="273" max="273" width="26.5703125" style="642" customWidth="1"/>
    <col min="274" max="274" width="13.140625" style="642" customWidth="1"/>
    <col min="275" max="275" width="18.42578125" style="642" customWidth="1"/>
    <col min="276" max="278" width="11.42578125" style="642"/>
    <col min="279" max="279" width="15.28515625" style="642" customWidth="1"/>
    <col min="280" max="280" width="14.140625" style="642" customWidth="1"/>
    <col min="281" max="283" width="17.140625" style="642" customWidth="1"/>
    <col min="284" max="284" width="17.42578125" style="642" customWidth="1"/>
    <col min="285" max="285" width="18.5703125" style="642" customWidth="1"/>
    <col min="286" max="286" width="16" style="642" customWidth="1"/>
    <col min="287" max="287" width="15.85546875" style="642" customWidth="1"/>
    <col min="288" max="288" width="24.85546875" style="642" customWidth="1"/>
    <col min="289" max="289" width="16.7109375" style="642" customWidth="1"/>
    <col min="290" max="290" width="19.42578125" style="642" customWidth="1"/>
    <col min="291" max="292" width="16.7109375" style="642" customWidth="1"/>
    <col min="293" max="293" width="18.28515625" style="642" customWidth="1"/>
    <col min="294" max="297" width="18.42578125" style="642" customWidth="1"/>
    <col min="298" max="517" width="11.42578125" style="642"/>
    <col min="518" max="518" width="9.7109375" style="642" customWidth="1"/>
    <col min="519" max="519" width="23" style="642" customWidth="1"/>
    <col min="520" max="520" width="8.85546875" style="642" customWidth="1"/>
    <col min="521" max="521" width="28" style="642" customWidth="1"/>
    <col min="522" max="523" width="11.85546875" style="642" customWidth="1"/>
    <col min="524" max="524" width="7.7109375" style="642" customWidth="1"/>
    <col min="525" max="525" width="17.5703125" style="642" customWidth="1"/>
    <col min="526" max="526" width="11.42578125" style="642"/>
    <col min="527" max="527" width="17.140625" style="642" customWidth="1"/>
    <col min="528" max="528" width="11.42578125" style="642"/>
    <col min="529" max="529" width="26.5703125" style="642" customWidth="1"/>
    <col min="530" max="530" width="13.140625" style="642" customWidth="1"/>
    <col min="531" max="531" width="18.42578125" style="642" customWidth="1"/>
    <col min="532" max="534" width="11.42578125" style="642"/>
    <col min="535" max="535" width="15.28515625" style="642" customWidth="1"/>
    <col min="536" max="536" width="14.140625" style="642" customWidth="1"/>
    <col min="537" max="539" width="17.140625" style="642" customWidth="1"/>
    <col min="540" max="540" width="17.42578125" style="642" customWidth="1"/>
    <col min="541" max="541" width="18.5703125" style="642" customWidth="1"/>
    <col min="542" max="542" width="16" style="642" customWidth="1"/>
    <col min="543" max="543" width="15.85546875" style="642" customWidth="1"/>
    <col min="544" max="544" width="24.85546875" style="642" customWidth="1"/>
    <col min="545" max="545" width="16.7109375" style="642" customWidth="1"/>
    <col min="546" max="546" width="19.42578125" style="642" customWidth="1"/>
    <col min="547" max="548" width="16.7109375" style="642" customWidth="1"/>
    <col min="549" max="549" width="18.28515625" style="642" customWidth="1"/>
    <col min="550" max="553" width="18.42578125" style="642" customWidth="1"/>
    <col min="554" max="773" width="11.42578125" style="642"/>
    <col min="774" max="774" width="9.7109375" style="642" customWidth="1"/>
    <col min="775" max="775" width="23" style="642" customWidth="1"/>
    <col min="776" max="776" width="8.85546875" style="642" customWidth="1"/>
    <col min="777" max="777" width="28" style="642" customWidth="1"/>
    <col min="778" max="779" width="11.85546875" style="642" customWidth="1"/>
    <col min="780" max="780" width="7.7109375" style="642" customWidth="1"/>
    <col min="781" max="781" width="17.5703125" style="642" customWidth="1"/>
    <col min="782" max="782" width="11.42578125" style="642"/>
    <col min="783" max="783" width="17.140625" style="642" customWidth="1"/>
    <col min="784" max="784" width="11.42578125" style="642"/>
    <col min="785" max="785" width="26.5703125" style="642" customWidth="1"/>
    <col min="786" max="786" width="13.140625" style="642" customWidth="1"/>
    <col min="787" max="787" width="18.42578125" style="642" customWidth="1"/>
    <col min="788" max="790" width="11.42578125" style="642"/>
    <col min="791" max="791" width="15.28515625" style="642" customWidth="1"/>
    <col min="792" max="792" width="14.140625" style="642" customWidth="1"/>
    <col min="793" max="795" width="17.140625" style="642" customWidth="1"/>
    <col min="796" max="796" width="17.42578125" style="642" customWidth="1"/>
    <col min="797" max="797" width="18.5703125" style="642" customWidth="1"/>
    <col min="798" max="798" width="16" style="642" customWidth="1"/>
    <col min="799" max="799" width="15.85546875" style="642" customWidth="1"/>
    <col min="800" max="800" width="24.85546875" style="642" customWidth="1"/>
    <col min="801" max="801" width="16.7109375" style="642" customWidth="1"/>
    <col min="802" max="802" width="19.42578125" style="642" customWidth="1"/>
    <col min="803" max="804" width="16.7109375" style="642" customWidth="1"/>
    <col min="805" max="805" width="18.28515625" style="642" customWidth="1"/>
    <col min="806" max="809" width="18.42578125" style="642" customWidth="1"/>
    <col min="810" max="1029" width="11.42578125" style="642"/>
    <col min="1030" max="1030" width="9.7109375" style="642" customWidth="1"/>
    <col min="1031" max="1031" width="23" style="642" customWidth="1"/>
    <col min="1032" max="1032" width="8.85546875" style="642" customWidth="1"/>
    <col min="1033" max="1033" width="28" style="642" customWidth="1"/>
    <col min="1034" max="1035" width="11.85546875" style="642" customWidth="1"/>
    <col min="1036" max="1036" width="7.7109375" style="642" customWidth="1"/>
    <col min="1037" max="1037" width="17.5703125" style="642" customWidth="1"/>
    <col min="1038" max="1038" width="11.42578125" style="642"/>
    <col min="1039" max="1039" width="17.140625" style="642" customWidth="1"/>
    <col min="1040" max="1040" width="11.42578125" style="642"/>
    <col min="1041" max="1041" width="26.5703125" style="642" customWidth="1"/>
    <col min="1042" max="1042" width="13.140625" style="642" customWidth="1"/>
    <col min="1043" max="1043" width="18.42578125" style="642" customWidth="1"/>
    <col min="1044" max="1046" width="11.42578125" style="642"/>
    <col min="1047" max="1047" width="15.28515625" style="642" customWidth="1"/>
    <col min="1048" max="1048" width="14.140625" style="642" customWidth="1"/>
    <col min="1049" max="1051" width="17.140625" style="642" customWidth="1"/>
    <col min="1052" max="1052" width="17.42578125" style="642" customWidth="1"/>
    <col min="1053" max="1053" width="18.5703125" style="642" customWidth="1"/>
    <col min="1054" max="1054" width="16" style="642" customWidth="1"/>
    <col min="1055" max="1055" width="15.85546875" style="642" customWidth="1"/>
    <col min="1056" max="1056" width="24.85546875" style="642" customWidth="1"/>
    <col min="1057" max="1057" width="16.7109375" style="642" customWidth="1"/>
    <col min="1058" max="1058" width="19.42578125" style="642" customWidth="1"/>
    <col min="1059" max="1060" width="16.7109375" style="642" customWidth="1"/>
    <col min="1061" max="1061" width="18.28515625" style="642" customWidth="1"/>
    <col min="1062" max="1065" width="18.42578125" style="642" customWidth="1"/>
    <col min="1066" max="1285" width="11.42578125" style="642"/>
    <col min="1286" max="1286" width="9.7109375" style="642" customWidth="1"/>
    <col min="1287" max="1287" width="23" style="642" customWidth="1"/>
    <col min="1288" max="1288" width="8.85546875" style="642" customWidth="1"/>
    <col min="1289" max="1289" width="28" style="642" customWidth="1"/>
    <col min="1290" max="1291" width="11.85546875" style="642" customWidth="1"/>
    <col min="1292" max="1292" width="7.7109375" style="642" customWidth="1"/>
    <col min="1293" max="1293" width="17.5703125" style="642" customWidth="1"/>
    <col min="1294" max="1294" width="11.42578125" style="642"/>
    <col min="1295" max="1295" width="17.140625" style="642" customWidth="1"/>
    <col min="1296" max="1296" width="11.42578125" style="642"/>
    <col min="1297" max="1297" width="26.5703125" style="642" customWidth="1"/>
    <col min="1298" max="1298" width="13.140625" style="642" customWidth="1"/>
    <col min="1299" max="1299" width="18.42578125" style="642" customWidth="1"/>
    <col min="1300" max="1302" width="11.42578125" style="642"/>
    <col min="1303" max="1303" width="15.28515625" style="642" customWidth="1"/>
    <col min="1304" max="1304" width="14.140625" style="642" customWidth="1"/>
    <col min="1305" max="1307" width="17.140625" style="642" customWidth="1"/>
    <col min="1308" max="1308" width="17.42578125" style="642" customWidth="1"/>
    <col min="1309" max="1309" width="18.5703125" style="642" customWidth="1"/>
    <col min="1310" max="1310" width="16" style="642" customWidth="1"/>
    <col min="1311" max="1311" width="15.85546875" style="642" customWidth="1"/>
    <col min="1312" max="1312" width="24.85546875" style="642" customWidth="1"/>
    <col min="1313" max="1313" width="16.7109375" style="642" customWidth="1"/>
    <col min="1314" max="1314" width="19.42578125" style="642" customWidth="1"/>
    <col min="1315" max="1316" width="16.7109375" style="642" customWidth="1"/>
    <col min="1317" max="1317" width="18.28515625" style="642" customWidth="1"/>
    <col min="1318" max="1321" width="18.42578125" style="642" customWidth="1"/>
    <col min="1322" max="1541" width="11.42578125" style="642"/>
    <col min="1542" max="1542" width="9.7109375" style="642" customWidth="1"/>
    <col min="1543" max="1543" width="23" style="642" customWidth="1"/>
    <col min="1544" max="1544" width="8.85546875" style="642" customWidth="1"/>
    <col min="1545" max="1545" width="28" style="642" customWidth="1"/>
    <col min="1546" max="1547" width="11.85546875" style="642" customWidth="1"/>
    <col min="1548" max="1548" width="7.7109375" style="642" customWidth="1"/>
    <col min="1549" max="1549" width="17.5703125" style="642" customWidth="1"/>
    <col min="1550" max="1550" width="11.42578125" style="642"/>
    <col min="1551" max="1551" width="17.140625" style="642" customWidth="1"/>
    <col min="1552" max="1552" width="11.42578125" style="642"/>
    <col min="1553" max="1553" width="26.5703125" style="642" customWidth="1"/>
    <col min="1554" max="1554" width="13.140625" style="642" customWidth="1"/>
    <col min="1555" max="1555" width="18.42578125" style="642" customWidth="1"/>
    <col min="1556" max="1558" width="11.42578125" style="642"/>
    <col min="1559" max="1559" width="15.28515625" style="642" customWidth="1"/>
    <col min="1560" max="1560" width="14.140625" style="642" customWidth="1"/>
    <col min="1561" max="1563" width="17.140625" style="642" customWidth="1"/>
    <col min="1564" max="1564" width="17.42578125" style="642" customWidth="1"/>
    <col min="1565" max="1565" width="18.5703125" style="642" customWidth="1"/>
    <col min="1566" max="1566" width="16" style="642" customWidth="1"/>
    <col min="1567" max="1567" width="15.85546875" style="642" customWidth="1"/>
    <col min="1568" max="1568" width="24.85546875" style="642" customWidth="1"/>
    <col min="1569" max="1569" width="16.7109375" style="642" customWidth="1"/>
    <col min="1570" max="1570" width="19.42578125" style="642" customWidth="1"/>
    <col min="1571" max="1572" width="16.7109375" style="642" customWidth="1"/>
    <col min="1573" max="1573" width="18.28515625" style="642" customWidth="1"/>
    <col min="1574" max="1577" width="18.42578125" style="642" customWidth="1"/>
    <col min="1578" max="1797" width="11.42578125" style="642"/>
    <col min="1798" max="1798" width="9.7109375" style="642" customWidth="1"/>
    <col min="1799" max="1799" width="23" style="642" customWidth="1"/>
    <col min="1800" max="1800" width="8.85546875" style="642" customWidth="1"/>
    <col min="1801" max="1801" width="28" style="642" customWidth="1"/>
    <col min="1802" max="1803" width="11.85546875" style="642" customWidth="1"/>
    <col min="1804" max="1804" width="7.7109375" style="642" customWidth="1"/>
    <col min="1805" max="1805" width="17.5703125" style="642" customWidth="1"/>
    <col min="1806" max="1806" width="11.42578125" style="642"/>
    <col min="1807" max="1807" width="17.140625" style="642" customWidth="1"/>
    <col min="1808" max="1808" width="11.42578125" style="642"/>
    <col min="1809" max="1809" width="26.5703125" style="642" customWidth="1"/>
    <col min="1810" max="1810" width="13.140625" style="642" customWidth="1"/>
    <col min="1811" max="1811" width="18.42578125" style="642" customWidth="1"/>
    <col min="1812" max="1814" width="11.42578125" style="642"/>
    <col min="1815" max="1815" width="15.28515625" style="642" customWidth="1"/>
    <col min="1816" max="1816" width="14.140625" style="642" customWidth="1"/>
    <col min="1817" max="1819" width="17.140625" style="642" customWidth="1"/>
    <col min="1820" max="1820" width="17.42578125" style="642" customWidth="1"/>
    <col min="1821" max="1821" width="18.5703125" style="642" customWidth="1"/>
    <col min="1822" max="1822" width="16" style="642" customWidth="1"/>
    <col min="1823" max="1823" width="15.85546875" style="642" customWidth="1"/>
    <col min="1824" max="1824" width="24.85546875" style="642" customWidth="1"/>
    <col min="1825" max="1825" width="16.7109375" style="642" customWidth="1"/>
    <col min="1826" max="1826" width="19.42578125" style="642" customWidth="1"/>
    <col min="1827" max="1828" width="16.7109375" style="642" customWidth="1"/>
    <col min="1829" max="1829" width="18.28515625" style="642" customWidth="1"/>
    <col min="1830" max="1833" width="18.42578125" style="642" customWidth="1"/>
    <col min="1834" max="2053" width="11.42578125" style="642"/>
    <col min="2054" max="2054" width="9.7109375" style="642" customWidth="1"/>
    <col min="2055" max="2055" width="23" style="642" customWidth="1"/>
    <col min="2056" max="2056" width="8.85546875" style="642" customWidth="1"/>
    <col min="2057" max="2057" width="28" style="642" customWidth="1"/>
    <col min="2058" max="2059" width="11.85546875" style="642" customWidth="1"/>
    <col min="2060" max="2060" width="7.7109375" style="642" customWidth="1"/>
    <col min="2061" max="2061" width="17.5703125" style="642" customWidth="1"/>
    <col min="2062" max="2062" width="11.42578125" style="642"/>
    <col min="2063" max="2063" width="17.140625" style="642" customWidth="1"/>
    <col min="2064" max="2064" width="11.42578125" style="642"/>
    <col min="2065" max="2065" width="26.5703125" style="642" customWidth="1"/>
    <col min="2066" max="2066" width="13.140625" style="642" customWidth="1"/>
    <col min="2067" max="2067" width="18.42578125" style="642" customWidth="1"/>
    <col min="2068" max="2070" width="11.42578125" style="642"/>
    <col min="2071" max="2071" width="15.28515625" style="642" customWidth="1"/>
    <col min="2072" max="2072" width="14.140625" style="642" customWidth="1"/>
    <col min="2073" max="2075" width="17.140625" style="642" customWidth="1"/>
    <col min="2076" max="2076" width="17.42578125" style="642" customWidth="1"/>
    <col min="2077" max="2077" width="18.5703125" style="642" customWidth="1"/>
    <col min="2078" max="2078" width="16" style="642" customWidth="1"/>
    <col min="2079" max="2079" width="15.85546875" style="642" customWidth="1"/>
    <col min="2080" max="2080" width="24.85546875" style="642" customWidth="1"/>
    <col min="2081" max="2081" width="16.7109375" style="642" customWidth="1"/>
    <col min="2082" max="2082" width="19.42578125" style="642" customWidth="1"/>
    <col min="2083" max="2084" width="16.7109375" style="642" customWidth="1"/>
    <col min="2085" max="2085" width="18.28515625" style="642" customWidth="1"/>
    <col min="2086" max="2089" width="18.42578125" style="642" customWidth="1"/>
    <col min="2090" max="2309" width="11.42578125" style="642"/>
    <col min="2310" max="2310" width="9.7109375" style="642" customWidth="1"/>
    <col min="2311" max="2311" width="23" style="642" customWidth="1"/>
    <col min="2312" max="2312" width="8.85546875" style="642" customWidth="1"/>
    <col min="2313" max="2313" width="28" style="642" customWidth="1"/>
    <col min="2314" max="2315" width="11.85546875" style="642" customWidth="1"/>
    <col min="2316" max="2316" width="7.7109375" style="642" customWidth="1"/>
    <col min="2317" max="2317" width="17.5703125" style="642" customWidth="1"/>
    <col min="2318" max="2318" width="11.42578125" style="642"/>
    <col min="2319" max="2319" width="17.140625" style="642" customWidth="1"/>
    <col min="2320" max="2320" width="11.42578125" style="642"/>
    <col min="2321" max="2321" width="26.5703125" style="642" customWidth="1"/>
    <col min="2322" max="2322" width="13.140625" style="642" customWidth="1"/>
    <col min="2323" max="2323" width="18.42578125" style="642" customWidth="1"/>
    <col min="2324" max="2326" width="11.42578125" style="642"/>
    <col min="2327" max="2327" width="15.28515625" style="642" customWidth="1"/>
    <col min="2328" max="2328" width="14.140625" style="642" customWidth="1"/>
    <col min="2329" max="2331" width="17.140625" style="642" customWidth="1"/>
    <col min="2332" max="2332" width="17.42578125" style="642" customWidth="1"/>
    <col min="2333" max="2333" width="18.5703125" style="642" customWidth="1"/>
    <col min="2334" max="2334" width="16" style="642" customWidth="1"/>
    <col min="2335" max="2335" width="15.85546875" style="642" customWidth="1"/>
    <col min="2336" max="2336" width="24.85546875" style="642" customWidth="1"/>
    <col min="2337" max="2337" width="16.7109375" style="642" customWidth="1"/>
    <col min="2338" max="2338" width="19.42578125" style="642" customWidth="1"/>
    <col min="2339" max="2340" width="16.7109375" style="642" customWidth="1"/>
    <col min="2341" max="2341" width="18.28515625" style="642" customWidth="1"/>
    <col min="2342" max="2345" width="18.42578125" style="642" customWidth="1"/>
    <col min="2346" max="2565" width="11.42578125" style="642"/>
    <col min="2566" max="2566" width="9.7109375" style="642" customWidth="1"/>
    <col min="2567" max="2567" width="23" style="642" customWidth="1"/>
    <col min="2568" max="2568" width="8.85546875" style="642" customWidth="1"/>
    <col min="2569" max="2569" width="28" style="642" customWidth="1"/>
    <col min="2570" max="2571" width="11.85546875" style="642" customWidth="1"/>
    <col min="2572" max="2572" width="7.7109375" style="642" customWidth="1"/>
    <col min="2573" max="2573" width="17.5703125" style="642" customWidth="1"/>
    <col min="2574" max="2574" width="11.42578125" style="642"/>
    <col min="2575" max="2575" width="17.140625" style="642" customWidth="1"/>
    <col min="2576" max="2576" width="11.42578125" style="642"/>
    <col min="2577" max="2577" width="26.5703125" style="642" customWidth="1"/>
    <col min="2578" max="2578" width="13.140625" style="642" customWidth="1"/>
    <col min="2579" max="2579" width="18.42578125" style="642" customWidth="1"/>
    <col min="2580" max="2582" width="11.42578125" style="642"/>
    <col min="2583" max="2583" width="15.28515625" style="642" customWidth="1"/>
    <col min="2584" max="2584" width="14.140625" style="642" customWidth="1"/>
    <col min="2585" max="2587" width="17.140625" style="642" customWidth="1"/>
    <col min="2588" max="2588" width="17.42578125" style="642" customWidth="1"/>
    <col min="2589" max="2589" width="18.5703125" style="642" customWidth="1"/>
    <col min="2590" max="2590" width="16" style="642" customWidth="1"/>
    <col min="2591" max="2591" width="15.85546875" style="642" customWidth="1"/>
    <col min="2592" max="2592" width="24.85546875" style="642" customWidth="1"/>
    <col min="2593" max="2593" width="16.7109375" style="642" customWidth="1"/>
    <col min="2594" max="2594" width="19.42578125" style="642" customWidth="1"/>
    <col min="2595" max="2596" width="16.7109375" style="642" customWidth="1"/>
    <col min="2597" max="2597" width="18.28515625" style="642" customWidth="1"/>
    <col min="2598" max="2601" width="18.42578125" style="642" customWidth="1"/>
    <col min="2602" max="2821" width="11.42578125" style="642"/>
    <col min="2822" max="2822" width="9.7109375" style="642" customWidth="1"/>
    <col min="2823" max="2823" width="23" style="642" customWidth="1"/>
    <col min="2824" max="2824" width="8.85546875" style="642" customWidth="1"/>
    <col min="2825" max="2825" width="28" style="642" customWidth="1"/>
    <col min="2826" max="2827" width="11.85546875" style="642" customWidth="1"/>
    <col min="2828" max="2828" width="7.7109375" style="642" customWidth="1"/>
    <col min="2829" max="2829" width="17.5703125" style="642" customWidth="1"/>
    <col min="2830" max="2830" width="11.42578125" style="642"/>
    <col min="2831" max="2831" width="17.140625" style="642" customWidth="1"/>
    <col min="2832" max="2832" width="11.42578125" style="642"/>
    <col min="2833" max="2833" width="26.5703125" style="642" customWidth="1"/>
    <col min="2834" max="2834" width="13.140625" style="642" customWidth="1"/>
    <col min="2835" max="2835" width="18.42578125" style="642" customWidth="1"/>
    <col min="2836" max="2838" width="11.42578125" style="642"/>
    <col min="2839" max="2839" width="15.28515625" style="642" customWidth="1"/>
    <col min="2840" max="2840" width="14.140625" style="642" customWidth="1"/>
    <col min="2841" max="2843" width="17.140625" style="642" customWidth="1"/>
    <col min="2844" max="2844" width="17.42578125" style="642" customWidth="1"/>
    <col min="2845" max="2845" width="18.5703125" style="642" customWidth="1"/>
    <col min="2846" max="2846" width="16" style="642" customWidth="1"/>
    <col min="2847" max="2847" width="15.85546875" style="642" customWidth="1"/>
    <col min="2848" max="2848" width="24.85546875" style="642" customWidth="1"/>
    <col min="2849" max="2849" width="16.7109375" style="642" customWidth="1"/>
    <col min="2850" max="2850" width="19.42578125" style="642" customWidth="1"/>
    <col min="2851" max="2852" width="16.7109375" style="642" customWidth="1"/>
    <col min="2853" max="2853" width="18.28515625" style="642" customWidth="1"/>
    <col min="2854" max="2857" width="18.42578125" style="642" customWidth="1"/>
    <col min="2858" max="3077" width="11.42578125" style="642"/>
    <col min="3078" max="3078" width="9.7109375" style="642" customWidth="1"/>
    <col min="3079" max="3079" width="23" style="642" customWidth="1"/>
    <col min="3080" max="3080" width="8.85546875" style="642" customWidth="1"/>
    <col min="3081" max="3081" width="28" style="642" customWidth="1"/>
    <col min="3082" max="3083" width="11.85546875" style="642" customWidth="1"/>
    <col min="3084" max="3084" width="7.7109375" style="642" customWidth="1"/>
    <col min="3085" max="3085" width="17.5703125" style="642" customWidth="1"/>
    <col min="3086" max="3086" width="11.42578125" style="642"/>
    <col min="3087" max="3087" width="17.140625" style="642" customWidth="1"/>
    <col min="3088" max="3088" width="11.42578125" style="642"/>
    <col min="3089" max="3089" width="26.5703125" style="642" customWidth="1"/>
    <col min="3090" max="3090" width="13.140625" style="642" customWidth="1"/>
    <col min="3091" max="3091" width="18.42578125" style="642" customWidth="1"/>
    <col min="3092" max="3094" width="11.42578125" style="642"/>
    <col min="3095" max="3095" width="15.28515625" style="642" customWidth="1"/>
    <col min="3096" max="3096" width="14.140625" style="642" customWidth="1"/>
    <col min="3097" max="3099" width="17.140625" style="642" customWidth="1"/>
    <col min="3100" max="3100" width="17.42578125" style="642" customWidth="1"/>
    <col min="3101" max="3101" width="18.5703125" style="642" customWidth="1"/>
    <col min="3102" max="3102" width="16" style="642" customWidth="1"/>
    <col min="3103" max="3103" width="15.85546875" style="642" customWidth="1"/>
    <col min="3104" max="3104" width="24.85546875" style="642" customWidth="1"/>
    <col min="3105" max="3105" width="16.7109375" style="642" customWidth="1"/>
    <col min="3106" max="3106" width="19.42578125" style="642" customWidth="1"/>
    <col min="3107" max="3108" width="16.7109375" style="642" customWidth="1"/>
    <col min="3109" max="3109" width="18.28515625" style="642" customWidth="1"/>
    <col min="3110" max="3113" width="18.42578125" style="642" customWidth="1"/>
    <col min="3114" max="3333" width="11.42578125" style="642"/>
    <col min="3334" max="3334" width="9.7109375" style="642" customWidth="1"/>
    <col min="3335" max="3335" width="23" style="642" customWidth="1"/>
    <col min="3336" max="3336" width="8.85546875" style="642" customWidth="1"/>
    <col min="3337" max="3337" width="28" style="642" customWidth="1"/>
    <col min="3338" max="3339" width="11.85546875" style="642" customWidth="1"/>
    <col min="3340" max="3340" width="7.7109375" style="642" customWidth="1"/>
    <col min="3341" max="3341" width="17.5703125" style="642" customWidth="1"/>
    <col min="3342" max="3342" width="11.42578125" style="642"/>
    <col min="3343" max="3343" width="17.140625" style="642" customWidth="1"/>
    <col min="3344" max="3344" width="11.42578125" style="642"/>
    <col min="3345" max="3345" width="26.5703125" style="642" customWidth="1"/>
    <col min="3346" max="3346" width="13.140625" style="642" customWidth="1"/>
    <col min="3347" max="3347" width="18.42578125" style="642" customWidth="1"/>
    <col min="3348" max="3350" width="11.42578125" style="642"/>
    <col min="3351" max="3351" width="15.28515625" style="642" customWidth="1"/>
    <col min="3352" max="3352" width="14.140625" style="642" customWidth="1"/>
    <col min="3353" max="3355" width="17.140625" style="642" customWidth="1"/>
    <col min="3356" max="3356" width="17.42578125" style="642" customWidth="1"/>
    <col min="3357" max="3357" width="18.5703125" style="642" customWidth="1"/>
    <col min="3358" max="3358" width="16" style="642" customWidth="1"/>
    <col min="3359" max="3359" width="15.85546875" style="642" customWidth="1"/>
    <col min="3360" max="3360" width="24.85546875" style="642" customWidth="1"/>
    <col min="3361" max="3361" width="16.7109375" style="642" customWidth="1"/>
    <col min="3362" max="3362" width="19.42578125" style="642" customWidth="1"/>
    <col min="3363" max="3364" width="16.7109375" style="642" customWidth="1"/>
    <col min="3365" max="3365" width="18.28515625" style="642" customWidth="1"/>
    <col min="3366" max="3369" width="18.42578125" style="642" customWidth="1"/>
    <col min="3370" max="3589" width="11.42578125" style="642"/>
    <col min="3590" max="3590" width="9.7109375" style="642" customWidth="1"/>
    <col min="3591" max="3591" width="23" style="642" customWidth="1"/>
    <col min="3592" max="3592" width="8.85546875" style="642" customWidth="1"/>
    <col min="3593" max="3593" width="28" style="642" customWidth="1"/>
    <col min="3594" max="3595" width="11.85546875" style="642" customWidth="1"/>
    <col min="3596" max="3596" width="7.7109375" style="642" customWidth="1"/>
    <col min="3597" max="3597" width="17.5703125" style="642" customWidth="1"/>
    <col min="3598" max="3598" width="11.42578125" style="642"/>
    <col min="3599" max="3599" width="17.140625" style="642" customWidth="1"/>
    <col min="3600" max="3600" width="11.42578125" style="642"/>
    <col min="3601" max="3601" width="26.5703125" style="642" customWidth="1"/>
    <col min="3602" max="3602" width="13.140625" style="642" customWidth="1"/>
    <col min="3603" max="3603" width="18.42578125" style="642" customWidth="1"/>
    <col min="3604" max="3606" width="11.42578125" style="642"/>
    <col min="3607" max="3607" width="15.28515625" style="642" customWidth="1"/>
    <col min="3608" max="3608" width="14.140625" style="642" customWidth="1"/>
    <col min="3609" max="3611" width="17.140625" style="642" customWidth="1"/>
    <col min="3612" max="3612" width="17.42578125" style="642" customWidth="1"/>
    <col min="3613" max="3613" width="18.5703125" style="642" customWidth="1"/>
    <col min="3614" max="3614" width="16" style="642" customWidth="1"/>
    <col min="3615" max="3615" width="15.85546875" style="642" customWidth="1"/>
    <col min="3616" max="3616" width="24.85546875" style="642" customWidth="1"/>
    <col min="3617" max="3617" width="16.7109375" style="642" customWidth="1"/>
    <col min="3618" max="3618" width="19.42578125" style="642" customWidth="1"/>
    <col min="3619" max="3620" width="16.7109375" style="642" customWidth="1"/>
    <col min="3621" max="3621" width="18.28515625" style="642" customWidth="1"/>
    <col min="3622" max="3625" width="18.42578125" style="642" customWidth="1"/>
    <col min="3626" max="3845" width="11.42578125" style="642"/>
    <col min="3846" max="3846" width="9.7109375" style="642" customWidth="1"/>
    <col min="3847" max="3847" width="23" style="642" customWidth="1"/>
    <col min="3848" max="3848" width="8.85546875" style="642" customWidth="1"/>
    <col min="3849" max="3849" width="28" style="642" customWidth="1"/>
    <col min="3850" max="3851" width="11.85546875" style="642" customWidth="1"/>
    <col min="3852" max="3852" width="7.7109375" style="642" customWidth="1"/>
    <col min="3853" max="3853" width="17.5703125" style="642" customWidth="1"/>
    <col min="3854" max="3854" width="11.42578125" style="642"/>
    <col min="3855" max="3855" width="17.140625" style="642" customWidth="1"/>
    <col min="3856" max="3856" width="11.42578125" style="642"/>
    <col min="3857" max="3857" width="26.5703125" style="642" customWidth="1"/>
    <col min="3858" max="3858" width="13.140625" style="642" customWidth="1"/>
    <col min="3859" max="3859" width="18.42578125" style="642" customWidth="1"/>
    <col min="3860" max="3862" width="11.42578125" style="642"/>
    <col min="3863" max="3863" width="15.28515625" style="642" customWidth="1"/>
    <col min="3864" max="3864" width="14.140625" style="642" customWidth="1"/>
    <col min="3865" max="3867" width="17.140625" style="642" customWidth="1"/>
    <col min="3868" max="3868" width="17.42578125" style="642" customWidth="1"/>
    <col min="3869" max="3869" width="18.5703125" style="642" customWidth="1"/>
    <col min="3870" max="3870" width="16" style="642" customWidth="1"/>
    <col min="3871" max="3871" width="15.85546875" style="642" customWidth="1"/>
    <col min="3872" max="3872" width="24.85546875" style="642" customWidth="1"/>
    <col min="3873" max="3873" width="16.7109375" style="642" customWidth="1"/>
    <col min="3874" max="3874" width="19.42578125" style="642" customWidth="1"/>
    <col min="3875" max="3876" width="16.7109375" style="642" customWidth="1"/>
    <col min="3877" max="3877" width="18.28515625" style="642" customWidth="1"/>
    <col min="3878" max="3881" width="18.42578125" style="642" customWidth="1"/>
    <col min="3882" max="4101" width="11.42578125" style="642"/>
    <col min="4102" max="4102" width="9.7109375" style="642" customWidth="1"/>
    <col min="4103" max="4103" width="23" style="642" customWidth="1"/>
    <col min="4104" max="4104" width="8.85546875" style="642" customWidth="1"/>
    <col min="4105" max="4105" width="28" style="642" customWidth="1"/>
    <col min="4106" max="4107" width="11.85546875" style="642" customWidth="1"/>
    <col min="4108" max="4108" width="7.7109375" style="642" customWidth="1"/>
    <col min="4109" max="4109" width="17.5703125" style="642" customWidth="1"/>
    <col min="4110" max="4110" width="11.42578125" style="642"/>
    <col min="4111" max="4111" width="17.140625" style="642" customWidth="1"/>
    <col min="4112" max="4112" width="11.42578125" style="642"/>
    <col min="4113" max="4113" width="26.5703125" style="642" customWidth="1"/>
    <col min="4114" max="4114" width="13.140625" style="642" customWidth="1"/>
    <col min="4115" max="4115" width="18.42578125" style="642" customWidth="1"/>
    <col min="4116" max="4118" width="11.42578125" style="642"/>
    <col min="4119" max="4119" width="15.28515625" style="642" customWidth="1"/>
    <col min="4120" max="4120" width="14.140625" style="642" customWidth="1"/>
    <col min="4121" max="4123" width="17.140625" style="642" customWidth="1"/>
    <col min="4124" max="4124" width="17.42578125" style="642" customWidth="1"/>
    <col min="4125" max="4125" width="18.5703125" style="642" customWidth="1"/>
    <col min="4126" max="4126" width="16" style="642" customWidth="1"/>
    <col min="4127" max="4127" width="15.85546875" style="642" customWidth="1"/>
    <col min="4128" max="4128" width="24.85546875" style="642" customWidth="1"/>
    <col min="4129" max="4129" width="16.7109375" style="642" customWidth="1"/>
    <col min="4130" max="4130" width="19.42578125" style="642" customWidth="1"/>
    <col min="4131" max="4132" width="16.7109375" style="642" customWidth="1"/>
    <col min="4133" max="4133" width="18.28515625" style="642" customWidth="1"/>
    <col min="4134" max="4137" width="18.42578125" style="642" customWidth="1"/>
    <col min="4138" max="4357" width="11.42578125" style="642"/>
    <col min="4358" max="4358" width="9.7109375" style="642" customWidth="1"/>
    <col min="4359" max="4359" width="23" style="642" customWidth="1"/>
    <col min="4360" max="4360" width="8.85546875" style="642" customWidth="1"/>
    <col min="4361" max="4361" width="28" style="642" customWidth="1"/>
    <col min="4362" max="4363" width="11.85546875" style="642" customWidth="1"/>
    <col min="4364" max="4364" width="7.7109375" style="642" customWidth="1"/>
    <col min="4365" max="4365" width="17.5703125" style="642" customWidth="1"/>
    <col min="4366" max="4366" width="11.42578125" style="642"/>
    <col min="4367" max="4367" width="17.140625" style="642" customWidth="1"/>
    <col min="4368" max="4368" width="11.42578125" style="642"/>
    <col min="4369" max="4369" width="26.5703125" style="642" customWidth="1"/>
    <col min="4370" max="4370" width="13.140625" style="642" customWidth="1"/>
    <col min="4371" max="4371" width="18.42578125" style="642" customWidth="1"/>
    <col min="4372" max="4374" width="11.42578125" style="642"/>
    <col min="4375" max="4375" width="15.28515625" style="642" customWidth="1"/>
    <col min="4376" max="4376" width="14.140625" style="642" customWidth="1"/>
    <col min="4377" max="4379" width="17.140625" style="642" customWidth="1"/>
    <col min="4380" max="4380" width="17.42578125" style="642" customWidth="1"/>
    <col min="4381" max="4381" width="18.5703125" style="642" customWidth="1"/>
    <col min="4382" max="4382" width="16" style="642" customWidth="1"/>
    <col min="4383" max="4383" width="15.85546875" style="642" customWidth="1"/>
    <col min="4384" max="4384" width="24.85546875" style="642" customWidth="1"/>
    <col min="4385" max="4385" width="16.7109375" style="642" customWidth="1"/>
    <col min="4386" max="4386" width="19.42578125" style="642" customWidth="1"/>
    <col min="4387" max="4388" width="16.7109375" style="642" customWidth="1"/>
    <col min="4389" max="4389" width="18.28515625" style="642" customWidth="1"/>
    <col min="4390" max="4393" width="18.42578125" style="642" customWidth="1"/>
    <col min="4394" max="4613" width="11.42578125" style="642"/>
    <col min="4614" max="4614" width="9.7109375" style="642" customWidth="1"/>
    <col min="4615" max="4615" width="23" style="642" customWidth="1"/>
    <col min="4616" max="4616" width="8.85546875" style="642" customWidth="1"/>
    <col min="4617" max="4617" width="28" style="642" customWidth="1"/>
    <col min="4618" max="4619" width="11.85546875" style="642" customWidth="1"/>
    <col min="4620" max="4620" width="7.7109375" style="642" customWidth="1"/>
    <col min="4621" max="4621" width="17.5703125" style="642" customWidth="1"/>
    <col min="4622" max="4622" width="11.42578125" style="642"/>
    <col min="4623" max="4623" width="17.140625" style="642" customWidth="1"/>
    <col min="4624" max="4624" width="11.42578125" style="642"/>
    <col min="4625" max="4625" width="26.5703125" style="642" customWidth="1"/>
    <col min="4626" max="4626" width="13.140625" style="642" customWidth="1"/>
    <col min="4627" max="4627" width="18.42578125" style="642" customWidth="1"/>
    <col min="4628" max="4630" width="11.42578125" style="642"/>
    <col min="4631" max="4631" width="15.28515625" style="642" customWidth="1"/>
    <col min="4632" max="4632" width="14.140625" style="642" customWidth="1"/>
    <col min="4633" max="4635" width="17.140625" style="642" customWidth="1"/>
    <col min="4636" max="4636" width="17.42578125" style="642" customWidth="1"/>
    <col min="4637" max="4637" width="18.5703125" style="642" customWidth="1"/>
    <col min="4638" max="4638" width="16" style="642" customWidth="1"/>
    <col min="4639" max="4639" width="15.85546875" style="642" customWidth="1"/>
    <col min="4640" max="4640" width="24.85546875" style="642" customWidth="1"/>
    <col min="4641" max="4641" width="16.7109375" style="642" customWidth="1"/>
    <col min="4642" max="4642" width="19.42578125" style="642" customWidth="1"/>
    <col min="4643" max="4644" width="16.7109375" style="642" customWidth="1"/>
    <col min="4645" max="4645" width="18.28515625" style="642" customWidth="1"/>
    <col min="4646" max="4649" width="18.42578125" style="642" customWidth="1"/>
    <col min="4650" max="4869" width="11.42578125" style="642"/>
    <col min="4870" max="4870" width="9.7109375" style="642" customWidth="1"/>
    <col min="4871" max="4871" width="23" style="642" customWidth="1"/>
    <col min="4872" max="4872" width="8.85546875" style="642" customWidth="1"/>
    <col min="4873" max="4873" width="28" style="642" customWidth="1"/>
    <col min="4874" max="4875" width="11.85546875" style="642" customWidth="1"/>
    <col min="4876" max="4876" width="7.7109375" style="642" customWidth="1"/>
    <col min="4877" max="4877" width="17.5703125" style="642" customWidth="1"/>
    <col min="4878" max="4878" width="11.42578125" style="642"/>
    <col min="4879" max="4879" width="17.140625" style="642" customWidth="1"/>
    <col min="4880" max="4880" width="11.42578125" style="642"/>
    <col min="4881" max="4881" width="26.5703125" style="642" customWidth="1"/>
    <col min="4882" max="4882" width="13.140625" style="642" customWidth="1"/>
    <col min="4883" max="4883" width="18.42578125" style="642" customWidth="1"/>
    <col min="4884" max="4886" width="11.42578125" style="642"/>
    <col min="4887" max="4887" width="15.28515625" style="642" customWidth="1"/>
    <col min="4888" max="4888" width="14.140625" style="642" customWidth="1"/>
    <col min="4889" max="4891" width="17.140625" style="642" customWidth="1"/>
    <col min="4892" max="4892" width="17.42578125" style="642" customWidth="1"/>
    <col min="4893" max="4893" width="18.5703125" style="642" customWidth="1"/>
    <col min="4894" max="4894" width="16" style="642" customWidth="1"/>
    <col min="4895" max="4895" width="15.85546875" style="642" customWidth="1"/>
    <col min="4896" max="4896" width="24.85546875" style="642" customWidth="1"/>
    <col min="4897" max="4897" width="16.7109375" style="642" customWidth="1"/>
    <col min="4898" max="4898" width="19.42578125" style="642" customWidth="1"/>
    <col min="4899" max="4900" width="16.7109375" style="642" customWidth="1"/>
    <col min="4901" max="4901" width="18.28515625" style="642" customWidth="1"/>
    <col min="4902" max="4905" width="18.42578125" style="642" customWidth="1"/>
    <col min="4906" max="5125" width="11.42578125" style="642"/>
    <col min="5126" max="5126" width="9.7109375" style="642" customWidth="1"/>
    <col min="5127" max="5127" width="23" style="642" customWidth="1"/>
    <col min="5128" max="5128" width="8.85546875" style="642" customWidth="1"/>
    <col min="5129" max="5129" width="28" style="642" customWidth="1"/>
    <col min="5130" max="5131" width="11.85546875" style="642" customWidth="1"/>
    <col min="5132" max="5132" width="7.7109375" style="642" customWidth="1"/>
    <col min="5133" max="5133" width="17.5703125" style="642" customWidth="1"/>
    <col min="5134" max="5134" width="11.42578125" style="642"/>
    <col min="5135" max="5135" width="17.140625" style="642" customWidth="1"/>
    <col min="5136" max="5136" width="11.42578125" style="642"/>
    <col min="5137" max="5137" width="26.5703125" style="642" customWidth="1"/>
    <col min="5138" max="5138" width="13.140625" style="642" customWidth="1"/>
    <col min="5139" max="5139" width="18.42578125" style="642" customWidth="1"/>
    <col min="5140" max="5142" width="11.42578125" style="642"/>
    <col min="5143" max="5143" width="15.28515625" style="642" customWidth="1"/>
    <col min="5144" max="5144" width="14.140625" style="642" customWidth="1"/>
    <col min="5145" max="5147" width="17.140625" style="642" customWidth="1"/>
    <col min="5148" max="5148" width="17.42578125" style="642" customWidth="1"/>
    <col min="5149" max="5149" width="18.5703125" style="642" customWidth="1"/>
    <col min="5150" max="5150" width="16" style="642" customWidth="1"/>
    <col min="5151" max="5151" width="15.85546875" style="642" customWidth="1"/>
    <col min="5152" max="5152" width="24.85546875" style="642" customWidth="1"/>
    <col min="5153" max="5153" width="16.7109375" style="642" customWidth="1"/>
    <col min="5154" max="5154" width="19.42578125" style="642" customWidth="1"/>
    <col min="5155" max="5156" width="16.7109375" style="642" customWidth="1"/>
    <col min="5157" max="5157" width="18.28515625" style="642" customWidth="1"/>
    <col min="5158" max="5161" width="18.42578125" style="642" customWidth="1"/>
    <col min="5162" max="5381" width="11.42578125" style="642"/>
    <col min="5382" max="5382" width="9.7109375" style="642" customWidth="1"/>
    <col min="5383" max="5383" width="23" style="642" customWidth="1"/>
    <col min="5384" max="5384" width="8.85546875" style="642" customWidth="1"/>
    <col min="5385" max="5385" width="28" style="642" customWidth="1"/>
    <col min="5386" max="5387" width="11.85546875" style="642" customWidth="1"/>
    <col min="5388" max="5388" width="7.7109375" style="642" customWidth="1"/>
    <col min="5389" max="5389" width="17.5703125" style="642" customWidth="1"/>
    <col min="5390" max="5390" width="11.42578125" style="642"/>
    <col min="5391" max="5391" width="17.140625" style="642" customWidth="1"/>
    <col min="5392" max="5392" width="11.42578125" style="642"/>
    <col min="5393" max="5393" width="26.5703125" style="642" customWidth="1"/>
    <col min="5394" max="5394" width="13.140625" style="642" customWidth="1"/>
    <col min="5395" max="5395" width="18.42578125" style="642" customWidth="1"/>
    <col min="5396" max="5398" width="11.42578125" style="642"/>
    <col min="5399" max="5399" width="15.28515625" style="642" customWidth="1"/>
    <col min="5400" max="5400" width="14.140625" style="642" customWidth="1"/>
    <col min="5401" max="5403" width="17.140625" style="642" customWidth="1"/>
    <col min="5404" max="5404" width="17.42578125" style="642" customWidth="1"/>
    <col min="5405" max="5405" width="18.5703125" style="642" customWidth="1"/>
    <col min="5406" max="5406" width="16" style="642" customWidth="1"/>
    <col min="5407" max="5407" width="15.85546875" style="642" customWidth="1"/>
    <col min="5408" max="5408" width="24.85546875" style="642" customWidth="1"/>
    <col min="5409" max="5409" width="16.7109375" style="642" customWidth="1"/>
    <col min="5410" max="5410" width="19.42578125" style="642" customWidth="1"/>
    <col min="5411" max="5412" width="16.7109375" style="642" customWidth="1"/>
    <col min="5413" max="5413" width="18.28515625" style="642" customWidth="1"/>
    <col min="5414" max="5417" width="18.42578125" style="642" customWidth="1"/>
    <col min="5418" max="5637" width="11.42578125" style="642"/>
    <col min="5638" max="5638" width="9.7109375" style="642" customWidth="1"/>
    <col min="5639" max="5639" width="23" style="642" customWidth="1"/>
    <col min="5640" max="5640" width="8.85546875" style="642" customWidth="1"/>
    <col min="5641" max="5641" width="28" style="642" customWidth="1"/>
    <col min="5642" max="5643" width="11.85546875" style="642" customWidth="1"/>
    <col min="5644" max="5644" width="7.7109375" style="642" customWidth="1"/>
    <col min="5645" max="5645" width="17.5703125" style="642" customWidth="1"/>
    <col min="5646" max="5646" width="11.42578125" style="642"/>
    <col min="5647" max="5647" width="17.140625" style="642" customWidth="1"/>
    <col min="5648" max="5648" width="11.42578125" style="642"/>
    <col min="5649" max="5649" width="26.5703125" style="642" customWidth="1"/>
    <col min="5650" max="5650" width="13.140625" style="642" customWidth="1"/>
    <col min="5651" max="5651" width="18.42578125" style="642" customWidth="1"/>
    <col min="5652" max="5654" width="11.42578125" style="642"/>
    <col min="5655" max="5655" width="15.28515625" style="642" customWidth="1"/>
    <col min="5656" max="5656" width="14.140625" style="642" customWidth="1"/>
    <col min="5657" max="5659" width="17.140625" style="642" customWidth="1"/>
    <col min="5660" max="5660" width="17.42578125" style="642" customWidth="1"/>
    <col min="5661" max="5661" width="18.5703125" style="642" customWidth="1"/>
    <col min="5662" max="5662" width="16" style="642" customWidth="1"/>
    <col min="5663" max="5663" width="15.85546875" style="642" customWidth="1"/>
    <col min="5664" max="5664" width="24.85546875" style="642" customWidth="1"/>
    <col min="5665" max="5665" width="16.7109375" style="642" customWidth="1"/>
    <col min="5666" max="5666" width="19.42578125" style="642" customWidth="1"/>
    <col min="5667" max="5668" width="16.7109375" style="642" customWidth="1"/>
    <col min="5669" max="5669" width="18.28515625" style="642" customWidth="1"/>
    <col min="5670" max="5673" width="18.42578125" style="642" customWidth="1"/>
    <col min="5674" max="5893" width="11.42578125" style="642"/>
    <col min="5894" max="5894" width="9.7109375" style="642" customWidth="1"/>
    <col min="5895" max="5895" width="23" style="642" customWidth="1"/>
    <col min="5896" max="5896" width="8.85546875" style="642" customWidth="1"/>
    <col min="5897" max="5897" width="28" style="642" customWidth="1"/>
    <col min="5898" max="5899" width="11.85546875" style="642" customWidth="1"/>
    <col min="5900" max="5900" width="7.7109375" style="642" customWidth="1"/>
    <col min="5901" max="5901" width="17.5703125" style="642" customWidth="1"/>
    <col min="5902" max="5902" width="11.42578125" style="642"/>
    <col min="5903" max="5903" width="17.140625" style="642" customWidth="1"/>
    <col min="5904" max="5904" width="11.42578125" style="642"/>
    <col min="5905" max="5905" width="26.5703125" style="642" customWidth="1"/>
    <col min="5906" max="5906" width="13.140625" style="642" customWidth="1"/>
    <col min="5907" max="5907" width="18.42578125" style="642" customWidth="1"/>
    <col min="5908" max="5910" width="11.42578125" style="642"/>
    <col min="5911" max="5911" width="15.28515625" style="642" customWidth="1"/>
    <col min="5912" max="5912" width="14.140625" style="642" customWidth="1"/>
    <col min="5913" max="5915" width="17.140625" style="642" customWidth="1"/>
    <col min="5916" max="5916" width="17.42578125" style="642" customWidth="1"/>
    <col min="5917" max="5917" width="18.5703125" style="642" customWidth="1"/>
    <col min="5918" max="5918" width="16" style="642" customWidth="1"/>
    <col min="5919" max="5919" width="15.85546875" style="642" customWidth="1"/>
    <col min="5920" max="5920" width="24.85546875" style="642" customWidth="1"/>
    <col min="5921" max="5921" width="16.7109375" style="642" customWidth="1"/>
    <col min="5922" max="5922" width="19.42578125" style="642" customWidth="1"/>
    <col min="5923" max="5924" width="16.7109375" style="642" customWidth="1"/>
    <col min="5925" max="5925" width="18.28515625" style="642" customWidth="1"/>
    <col min="5926" max="5929" width="18.42578125" style="642" customWidth="1"/>
    <col min="5930" max="6149" width="11.42578125" style="642"/>
    <col min="6150" max="6150" width="9.7109375" style="642" customWidth="1"/>
    <col min="6151" max="6151" width="23" style="642" customWidth="1"/>
    <col min="6152" max="6152" width="8.85546875" style="642" customWidth="1"/>
    <col min="6153" max="6153" width="28" style="642" customWidth="1"/>
    <col min="6154" max="6155" width="11.85546875" style="642" customWidth="1"/>
    <col min="6156" max="6156" width="7.7109375" style="642" customWidth="1"/>
    <col min="6157" max="6157" width="17.5703125" style="642" customWidth="1"/>
    <col min="6158" max="6158" width="11.42578125" style="642"/>
    <col min="6159" max="6159" width="17.140625" style="642" customWidth="1"/>
    <col min="6160" max="6160" width="11.42578125" style="642"/>
    <col min="6161" max="6161" width="26.5703125" style="642" customWidth="1"/>
    <col min="6162" max="6162" width="13.140625" style="642" customWidth="1"/>
    <col min="6163" max="6163" width="18.42578125" style="642" customWidth="1"/>
    <col min="6164" max="6166" width="11.42578125" style="642"/>
    <col min="6167" max="6167" width="15.28515625" style="642" customWidth="1"/>
    <col min="6168" max="6168" width="14.140625" style="642" customWidth="1"/>
    <col min="6169" max="6171" width="17.140625" style="642" customWidth="1"/>
    <col min="6172" max="6172" width="17.42578125" style="642" customWidth="1"/>
    <col min="6173" max="6173" width="18.5703125" style="642" customWidth="1"/>
    <col min="6174" max="6174" width="16" style="642" customWidth="1"/>
    <col min="6175" max="6175" width="15.85546875" style="642" customWidth="1"/>
    <col min="6176" max="6176" width="24.85546875" style="642" customWidth="1"/>
    <col min="6177" max="6177" width="16.7109375" style="642" customWidth="1"/>
    <col min="6178" max="6178" width="19.42578125" style="642" customWidth="1"/>
    <col min="6179" max="6180" width="16.7109375" style="642" customWidth="1"/>
    <col min="6181" max="6181" width="18.28515625" style="642" customWidth="1"/>
    <col min="6182" max="6185" width="18.42578125" style="642" customWidth="1"/>
    <col min="6186" max="6405" width="11.42578125" style="642"/>
    <col min="6406" max="6406" width="9.7109375" style="642" customWidth="1"/>
    <col min="6407" max="6407" width="23" style="642" customWidth="1"/>
    <col min="6408" max="6408" width="8.85546875" style="642" customWidth="1"/>
    <col min="6409" max="6409" width="28" style="642" customWidth="1"/>
    <col min="6410" max="6411" width="11.85546875" style="642" customWidth="1"/>
    <col min="6412" max="6412" width="7.7109375" style="642" customWidth="1"/>
    <col min="6413" max="6413" width="17.5703125" style="642" customWidth="1"/>
    <col min="6414" max="6414" width="11.42578125" style="642"/>
    <col min="6415" max="6415" width="17.140625" style="642" customWidth="1"/>
    <col min="6416" max="6416" width="11.42578125" style="642"/>
    <col min="6417" max="6417" width="26.5703125" style="642" customWidth="1"/>
    <col min="6418" max="6418" width="13.140625" style="642" customWidth="1"/>
    <col min="6419" max="6419" width="18.42578125" style="642" customWidth="1"/>
    <col min="6420" max="6422" width="11.42578125" style="642"/>
    <col min="6423" max="6423" width="15.28515625" style="642" customWidth="1"/>
    <col min="6424" max="6424" width="14.140625" style="642" customWidth="1"/>
    <col min="6425" max="6427" width="17.140625" style="642" customWidth="1"/>
    <col min="6428" max="6428" width="17.42578125" style="642" customWidth="1"/>
    <col min="6429" max="6429" width="18.5703125" style="642" customWidth="1"/>
    <col min="6430" max="6430" width="16" style="642" customWidth="1"/>
    <col min="6431" max="6431" width="15.85546875" style="642" customWidth="1"/>
    <col min="6432" max="6432" width="24.85546875" style="642" customWidth="1"/>
    <col min="6433" max="6433" width="16.7109375" style="642" customWidth="1"/>
    <col min="6434" max="6434" width="19.42578125" style="642" customWidth="1"/>
    <col min="6435" max="6436" width="16.7109375" style="642" customWidth="1"/>
    <col min="6437" max="6437" width="18.28515625" style="642" customWidth="1"/>
    <col min="6438" max="6441" width="18.42578125" style="642" customWidth="1"/>
    <col min="6442" max="6661" width="11.42578125" style="642"/>
    <col min="6662" max="6662" width="9.7109375" style="642" customWidth="1"/>
    <col min="6663" max="6663" width="23" style="642" customWidth="1"/>
    <col min="6664" max="6664" width="8.85546875" style="642" customWidth="1"/>
    <col min="6665" max="6665" width="28" style="642" customWidth="1"/>
    <col min="6666" max="6667" width="11.85546875" style="642" customWidth="1"/>
    <col min="6668" max="6668" width="7.7109375" style="642" customWidth="1"/>
    <col min="6669" max="6669" width="17.5703125" style="642" customWidth="1"/>
    <col min="6670" max="6670" width="11.42578125" style="642"/>
    <col min="6671" max="6671" width="17.140625" style="642" customWidth="1"/>
    <col min="6672" max="6672" width="11.42578125" style="642"/>
    <col min="6673" max="6673" width="26.5703125" style="642" customWidth="1"/>
    <col min="6674" max="6674" width="13.140625" style="642" customWidth="1"/>
    <col min="6675" max="6675" width="18.42578125" style="642" customWidth="1"/>
    <col min="6676" max="6678" width="11.42578125" style="642"/>
    <col min="6679" max="6679" width="15.28515625" style="642" customWidth="1"/>
    <col min="6680" max="6680" width="14.140625" style="642" customWidth="1"/>
    <col min="6681" max="6683" width="17.140625" style="642" customWidth="1"/>
    <col min="6684" max="6684" width="17.42578125" style="642" customWidth="1"/>
    <col min="6685" max="6685" width="18.5703125" style="642" customWidth="1"/>
    <col min="6686" max="6686" width="16" style="642" customWidth="1"/>
    <col min="6687" max="6687" width="15.85546875" style="642" customWidth="1"/>
    <col min="6688" max="6688" width="24.85546875" style="642" customWidth="1"/>
    <col min="6689" max="6689" width="16.7109375" style="642" customWidth="1"/>
    <col min="6690" max="6690" width="19.42578125" style="642" customWidth="1"/>
    <col min="6691" max="6692" width="16.7109375" style="642" customWidth="1"/>
    <col min="6693" max="6693" width="18.28515625" style="642" customWidth="1"/>
    <col min="6694" max="6697" width="18.42578125" style="642" customWidth="1"/>
    <col min="6698" max="6917" width="11.42578125" style="642"/>
    <col min="6918" max="6918" width="9.7109375" style="642" customWidth="1"/>
    <col min="6919" max="6919" width="23" style="642" customWidth="1"/>
    <col min="6920" max="6920" width="8.85546875" style="642" customWidth="1"/>
    <col min="6921" max="6921" width="28" style="642" customWidth="1"/>
    <col min="6922" max="6923" width="11.85546875" style="642" customWidth="1"/>
    <col min="6924" max="6924" width="7.7109375" style="642" customWidth="1"/>
    <col min="6925" max="6925" width="17.5703125" style="642" customWidth="1"/>
    <col min="6926" max="6926" width="11.42578125" style="642"/>
    <col min="6927" max="6927" width="17.140625" style="642" customWidth="1"/>
    <col min="6928" max="6928" width="11.42578125" style="642"/>
    <col min="6929" max="6929" width="26.5703125" style="642" customWidth="1"/>
    <col min="6930" max="6930" width="13.140625" style="642" customWidth="1"/>
    <col min="6931" max="6931" width="18.42578125" style="642" customWidth="1"/>
    <col min="6932" max="6934" width="11.42578125" style="642"/>
    <col min="6935" max="6935" width="15.28515625" style="642" customWidth="1"/>
    <col min="6936" max="6936" width="14.140625" style="642" customWidth="1"/>
    <col min="6937" max="6939" width="17.140625" style="642" customWidth="1"/>
    <col min="6940" max="6940" width="17.42578125" style="642" customWidth="1"/>
    <col min="6941" max="6941" width="18.5703125" style="642" customWidth="1"/>
    <col min="6942" max="6942" width="16" style="642" customWidth="1"/>
    <col min="6943" max="6943" width="15.85546875" style="642" customWidth="1"/>
    <col min="6944" max="6944" width="24.85546875" style="642" customWidth="1"/>
    <col min="6945" max="6945" width="16.7109375" style="642" customWidth="1"/>
    <col min="6946" max="6946" width="19.42578125" style="642" customWidth="1"/>
    <col min="6947" max="6948" width="16.7109375" style="642" customWidth="1"/>
    <col min="6949" max="6949" width="18.28515625" style="642" customWidth="1"/>
    <col min="6950" max="6953" width="18.42578125" style="642" customWidth="1"/>
    <col min="6954" max="7173" width="11.42578125" style="642"/>
    <col min="7174" max="7174" width="9.7109375" style="642" customWidth="1"/>
    <col min="7175" max="7175" width="23" style="642" customWidth="1"/>
    <col min="7176" max="7176" width="8.85546875" style="642" customWidth="1"/>
    <col min="7177" max="7177" width="28" style="642" customWidth="1"/>
    <col min="7178" max="7179" width="11.85546875" style="642" customWidth="1"/>
    <col min="7180" max="7180" width="7.7109375" style="642" customWidth="1"/>
    <col min="7181" max="7181" width="17.5703125" style="642" customWidth="1"/>
    <col min="7182" max="7182" width="11.42578125" style="642"/>
    <col min="7183" max="7183" width="17.140625" style="642" customWidth="1"/>
    <col min="7184" max="7184" width="11.42578125" style="642"/>
    <col min="7185" max="7185" width="26.5703125" style="642" customWidth="1"/>
    <col min="7186" max="7186" width="13.140625" style="642" customWidth="1"/>
    <col min="7187" max="7187" width="18.42578125" style="642" customWidth="1"/>
    <col min="7188" max="7190" width="11.42578125" style="642"/>
    <col min="7191" max="7191" width="15.28515625" style="642" customWidth="1"/>
    <col min="7192" max="7192" width="14.140625" style="642" customWidth="1"/>
    <col min="7193" max="7195" width="17.140625" style="642" customWidth="1"/>
    <col min="7196" max="7196" width="17.42578125" style="642" customWidth="1"/>
    <col min="7197" max="7197" width="18.5703125" style="642" customWidth="1"/>
    <col min="7198" max="7198" width="16" style="642" customWidth="1"/>
    <col min="7199" max="7199" width="15.85546875" style="642" customWidth="1"/>
    <col min="7200" max="7200" width="24.85546875" style="642" customWidth="1"/>
    <col min="7201" max="7201" width="16.7109375" style="642" customWidth="1"/>
    <col min="7202" max="7202" width="19.42578125" style="642" customWidth="1"/>
    <col min="7203" max="7204" width="16.7109375" style="642" customWidth="1"/>
    <col min="7205" max="7205" width="18.28515625" style="642" customWidth="1"/>
    <col min="7206" max="7209" width="18.42578125" style="642" customWidth="1"/>
    <col min="7210" max="7429" width="11.42578125" style="642"/>
    <col min="7430" max="7430" width="9.7109375" style="642" customWidth="1"/>
    <col min="7431" max="7431" width="23" style="642" customWidth="1"/>
    <col min="7432" max="7432" width="8.85546875" style="642" customWidth="1"/>
    <col min="7433" max="7433" width="28" style="642" customWidth="1"/>
    <col min="7434" max="7435" width="11.85546875" style="642" customWidth="1"/>
    <col min="7436" max="7436" width="7.7109375" style="642" customWidth="1"/>
    <col min="7437" max="7437" width="17.5703125" style="642" customWidth="1"/>
    <col min="7438" max="7438" width="11.42578125" style="642"/>
    <col min="7439" max="7439" width="17.140625" style="642" customWidth="1"/>
    <col min="7440" max="7440" width="11.42578125" style="642"/>
    <col min="7441" max="7441" width="26.5703125" style="642" customWidth="1"/>
    <col min="7442" max="7442" width="13.140625" style="642" customWidth="1"/>
    <col min="7443" max="7443" width="18.42578125" style="642" customWidth="1"/>
    <col min="7444" max="7446" width="11.42578125" style="642"/>
    <col min="7447" max="7447" width="15.28515625" style="642" customWidth="1"/>
    <col min="7448" max="7448" width="14.140625" style="642" customWidth="1"/>
    <col min="7449" max="7451" width="17.140625" style="642" customWidth="1"/>
    <col min="7452" max="7452" width="17.42578125" style="642" customWidth="1"/>
    <col min="7453" max="7453" width="18.5703125" style="642" customWidth="1"/>
    <col min="7454" max="7454" width="16" style="642" customWidth="1"/>
    <col min="7455" max="7455" width="15.85546875" style="642" customWidth="1"/>
    <col min="7456" max="7456" width="24.85546875" style="642" customWidth="1"/>
    <col min="7457" max="7457" width="16.7109375" style="642" customWidth="1"/>
    <col min="7458" max="7458" width="19.42578125" style="642" customWidth="1"/>
    <col min="7459" max="7460" width="16.7109375" style="642" customWidth="1"/>
    <col min="7461" max="7461" width="18.28515625" style="642" customWidth="1"/>
    <col min="7462" max="7465" width="18.42578125" style="642" customWidth="1"/>
    <col min="7466" max="7685" width="11.42578125" style="642"/>
    <col min="7686" max="7686" width="9.7109375" style="642" customWidth="1"/>
    <col min="7687" max="7687" width="23" style="642" customWidth="1"/>
    <col min="7688" max="7688" width="8.85546875" style="642" customWidth="1"/>
    <col min="7689" max="7689" width="28" style="642" customWidth="1"/>
    <col min="7690" max="7691" width="11.85546875" style="642" customWidth="1"/>
    <col min="7692" max="7692" width="7.7109375" style="642" customWidth="1"/>
    <col min="7693" max="7693" width="17.5703125" style="642" customWidth="1"/>
    <col min="7694" max="7694" width="11.42578125" style="642"/>
    <col min="7695" max="7695" width="17.140625" style="642" customWidth="1"/>
    <col min="7696" max="7696" width="11.42578125" style="642"/>
    <col min="7697" max="7697" width="26.5703125" style="642" customWidth="1"/>
    <col min="7698" max="7698" width="13.140625" style="642" customWidth="1"/>
    <col min="7699" max="7699" width="18.42578125" style="642" customWidth="1"/>
    <col min="7700" max="7702" width="11.42578125" style="642"/>
    <col min="7703" max="7703" width="15.28515625" style="642" customWidth="1"/>
    <col min="7704" max="7704" width="14.140625" style="642" customWidth="1"/>
    <col min="7705" max="7707" width="17.140625" style="642" customWidth="1"/>
    <col min="7708" max="7708" width="17.42578125" style="642" customWidth="1"/>
    <col min="7709" max="7709" width="18.5703125" style="642" customWidth="1"/>
    <col min="7710" max="7710" width="16" style="642" customWidth="1"/>
    <col min="7711" max="7711" width="15.85546875" style="642" customWidth="1"/>
    <col min="7712" max="7712" width="24.85546875" style="642" customWidth="1"/>
    <col min="7713" max="7713" width="16.7109375" style="642" customWidth="1"/>
    <col min="7714" max="7714" width="19.42578125" style="642" customWidth="1"/>
    <col min="7715" max="7716" width="16.7109375" style="642" customWidth="1"/>
    <col min="7717" max="7717" width="18.28515625" style="642" customWidth="1"/>
    <col min="7718" max="7721" width="18.42578125" style="642" customWidth="1"/>
    <col min="7722" max="7941" width="11.42578125" style="642"/>
    <col min="7942" max="7942" width="9.7109375" style="642" customWidth="1"/>
    <col min="7943" max="7943" width="23" style="642" customWidth="1"/>
    <col min="7944" max="7944" width="8.85546875" style="642" customWidth="1"/>
    <col min="7945" max="7945" width="28" style="642" customWidth="1"/>
    <col min="7946" max="7947" width="11.85546875" style="642" customWidth="1"/>
    <col min="7948" max="7948" width="7.7109375" style="642" customWidth="1"/>
    <col min="7949" max="7949" width="17.5703125" style="642" customWidth="1"/>
    <col min="7950" max="7950" width="11.42578125" style="642"/>
    <col min="7951" max="7951" width="17.140625" style="642" customWidth="1"/>
    <col min="7952" max="7952" width="11.42578125" style="642"/>
    <col min="7953" max="7953" width="26.5703125" style="642" customWidth="1"/>
    <col min="7954" max="7954" width="13.140625" style="642" customWidth="1"/>
    <col min="7955" max="7955" width="18.42578125" style="642" customWidth="1"/>
    <col min="7956" max="7958" width="11.42578125" style="642"/>
    <col min="7959" max="7959" width="15.28515625" style="642" customWidth="1"/>
    <col min="7960" max="7960" width="14.140625" style="642" customWidth="1"/>
    <col min="7961" max="7963" width="17.140625" style="642" customWidth="1"/>
    <col min="7964" max="7964" width="17.42578125" style="642" customWidth="1"/>
    <col min="7965" max="7965" width="18.5703125" style="642" customWidth="1"/>
    <col min="7966" max="7966" width="16" style="642" customWidth="1"/>
    <col min="7967" max="7967" width="15.85546875" style="642" customWidth="1"/>
    <col min="7968" max="7968" width="24.85546875" style="642" customWidth="1"/>
    <col min="7969" max="7969" width="16.7109375" style="642" customWidth="1"/>
    <col min="7970" max="7970" width="19.42578125" style="642" customWidth="1"/>
    <col min="7971" max="7972" width="16.7109375" style="642" customWidth="1"/>
    <col min="7973" max="7973" width="18.28515625" style="642" customWidth="1"/>
    <col min="7974" max="7977" width="18.42578125" style="642" customWidth="1"/>
    <col min="7978" max="8197" width="11.42578125" style="642"/>
    <col min="8198" max="8198" width="9.7109375" style="642" customWidth="1"/>
    <col min="8199" max="8199" width="23" style="642" customWidth="1"/>
    <col min="8200" max="8200" width="8.85546875" style="642" customWidth="1"/>
    <col min="8201" max="8201" width="28" style="642" customWidth="1"/>
    <col min="8202" max="8203" width="11.85546875" style="642" customWidth="1"/>
    <col min="8204" max="8204" width="7.7109375" style="642" customWidth="1"/>
    <col min="8205" max="8205" width="17.5703125" style="642" customWidth="1"/>
    <col min="8206" max="8206" width="11.42578125" style="642"/>
    <col min="8207" max="8207" width="17.140625" style="642" customWidth="1"/>
    <col min="8208" max="8208" width="11.42578125" style="642"/>
    <col min="8209" max="8209" width="26.5703125" style="642" customWidth="1"/>
    <col min="8210" max="8210" width="13.140625" style="642" customWidth="1"/>
    <col min="8211" max="8211" width="18.42578125" style="642" customWidth="1"/>
    <col min="8212" max="8214" width="11.42578125" style="642"/>
    <col min="8215" max="8215" width="15.28515625" style="642" customWidth="1"/>
    <col min="8216" max="8216" width="14.140625" style="642" customWidth="1"/>
    <col min="8217" max="8219" width="17.140625" style="642" customWidth="1"/>
    <col min="8220" max="8220" width="17.42578125" style="642" customWidth="1"/>
    <col min="8221" max="8221" width="18.5703125" style="642" customWidth="1"/>
    <col min="8222" max="8222" width="16" style="642" customWidth="1"/>
    <col min="8223" max="8223" width="15.85546875" style="642" customWidth="1"/>
    <col min="8224" max="8224" width="24.85546875" style="642" customWidth="1"/>
    <col min="8225" max="8225" width="16.7109375" style="642" customWidth="1"/>
    <col min="8226" max="8226" width="19.42578125" style="642" customWidth="1"/>
    <col min="8227" max="8228" width="16.7109375" style="642" customWidth="1"/>
    <col min="8229" max="8229" width="18.28515625" style="642" customWidth="1"/>
    <col min="8230" max="8233" width="18.42578125" style="642" customWidth="1"/>
    <col min="8234" max="8453" width="11.42578125" style="642"/>
    <col min="8454" max="8454" width="9.7109375" style="642" customWidth="1"/>
    <col min="8455" max="8455" width="23" style="642" customWidth="1"/>
    <col min="8456" max="8456" width="8.85546875" style="642" customWidth="1"/>
    <col min="8457" max="8457" width="28" style="642" customWidth="1"/>
    <col min="8458" max="8459" width="11.85546875" style="642" customWidth="1"/>
    <col min="8460" max="8460" width="7.7109375" style="642" customWidth="1"/>
    <col min="8461" max="8461" width="17.5703125" style="642" customWidth="1"/>
    <col min="8462" max="8462" width="11.42578125" style="642"/>
    <col min="8463" max="8463" width="17.140625" style="642" customWidth="1"/>
    <col min="8464" max="8464" width="11.42578125" style="642"/>
    <col min="8465" max="8465" width="26.5703125" style="642" customWidth="1"/>
    <col min="8466" max="8466" width="13.140625" style="642" customWidth="1"/>
    <col min="8467" max="8467" width="18.42578125" style="642" customWidth="1"/>
    <col min="8468" max="8470" width="11.42578125" style="642"/>
    <col min="8471" max="8471" width="15.28515625" style="642" customWidth="1"/>
    <col min="8472" max="8472" width="14.140625" style="642" customWidth="1"/>
    <col min="8473" max="8475" width="17.140625" style="642" customWidth="1"/>
    <col min="8476" max="8476" width="17.42578125" style="642" customWidth="1"/>
    <col min="8477" max="8477" width="18.5703125" style="642" customWidth="1"/>
    <col min="8478" max="8478" width="16" style="642" customWidth="1"/>
    <col min="8479" max="8479" width="15.85546875" style="642" customWidth="1"/>
    <col min="8480" max="8480" width="24.85546875" style="642" customWidth="1"/>
    <col min="8481" max="8481" width="16.7109375" style="642" customWidth="1"/>
    <col min="8482" max="8482" width="19.42578125" style="642" customWidth="1"/>
    <col min="8483" max="8484" width="16.7109375" style="642" customWidth="1"/>
    <col min="8485" max="8485" width="18.28515625" style="642" customWidth="1"/>
    <col min="8486" max="8489" width="18.42578125" style="642" customWidth="1"/>
    <col min="8490" max="8709" width="11.42578125" style="642"/>
    <col min="8710" max="8710" width="9.7109375" style="642" customWidth="1"/>
    <col min="8711" max="8711" width="23" style="642" customWidth="1"/>
    <col min="8712" max="8712" width="8.85546875" style="642" customWidth="1"/>
    <col min="8713" max="8713" width="28" style="642" customWidth="1"/>
    <col min="8714" max="8715" width="11.85546875" style="642" customWidth="1"/>
    <col min="8716" max="8716" width="7.7109375" style="642" customWidth="1"/>
    <col min="8717" max="8717" width="17.5703125" style="642" customWidth="1"/>
    <col min="8718" max="8718" width="11.42578125" style="642"/>
    <col min="8719" max="8719" width="17.140625" style="642" customWidth="1"/>
    <col min="8720" max="8720" width="11.42578125" style="642"/>
    <col min="8721" max="8721" width="26.5703125" style="642" customWidth="1"/>
    <col min="8722" max="8722" width="13.140625" style="642" customWidth="1"/>
    <col min="8723" max="8723" width="18.42578125" style="642" customWidth="1"/>
    <col min="8724" max="8726" width="11.42578125" style="642"/>
    <col min="8727" max="8727" width="15.28515625" style="642" customWidth="1"/>
    <col min="8728" max="8728" width="14.140625" style="642" customWidth="1"/>
    <col min="8729" max="8731" width="17.140625" style="642" customWidth="1"/>
    <col min="8732" max="8732" width="17.42578125" style="642" customWidth="1"/>
    <col min="8733" max="8733" width="18.5703125" style="642" customWidth="1"/>
    <col min="8734" max="8734" width="16" style="642" customWidth="1"/>
    <col min="8735" max="8735" width="15.85546875" style="642" customWidth="1"/>
    <col min="8736" max="8736" width="24.85546875" style="642" customWidth="1"/>
    <col min="8737" max="8737" width="16.7109375" style="642" customWidth="1"/>
    <col min="8738" max="8738" width="19.42578125" style="642" customWidth="1"/>
    <col min="8739" max="8740" width="16.7109375" style="642" customWidth="1"/>
    <col min="8741" max="8741" width="18.28515625" style="642" customWidth="1"/>
    <col min="8742" max="8745" width="18.42578125" style="642" customWidth="1"/>
    <col min="8746" max="8965" width="11.42578125" style="642"/>
    <col min="8966" max="8966" width="9.7109375" style="642" customWidth="1"/>
    <col min="8967" max="8967" width="23" style="642" customWidth="1"/>
    <col min="8968" max="8968" width="8.85546875" style="642" customWidth="1"/>
    <col min="8969" max="8969" width="28" style="642" customWidth="1"/>
    <col min="8970" max="8971" width="11.85546875" style="642" customWidth="1"/>
    <col min="8972" max="8972" width="7.7109375" style="642" customWidth="1"/>
    <col min="8973" max="8973" width="17.5703125" style="642" customWidth="1"/>
    <col min="8974" max="8974" width="11.42578125" style="642"/>
    <col min="8975" max="8975" width="17.140625" style="642" customWidth="1"/>
    <col min="8976" max="8976" width="11.42578125" style="642"/>
    <col min="8977" max="8977" width="26.5703125" style="642" customWidth="1"/>
    <col min="8978" max="8978" width="13.140625" style="642" customWidth="1"/>
    <col min="8979" max="8979" width="18.42578125" style="642" customWidth="1"/>
    <col min="8980" max="8982" width="11.42578125" style="642"/>
    <col min="8983" max="8983" width="15.28515625" style="642" customWidth="1"/>
    <col min="8984" max="8984" width="14.140625" style="642" customWidth="1"/>
    <col min="8985" max="8987" width="17.140625" style="642" customWidth="1"/>
    <col min="8988" max="8988" width="17.42578125" style="642" customWidth="1"/>
    <col min="8989" max="8989" width="18.5703125" style="642" customWidth="1"/>
    <col min="8990" max="8990" width="16" style="642" customWidth="1"/>
    <col min="8991" max="8991" width="15.85546875" style="642" customWidth="1"/>
    <col min="8992" max="8992" width="24.85546875" style="642" customWidth="1"/>
    <col min="8993" max="8993" width="16.7109375" style="642" customWidth="1"/>
    <col min="8994" max="8994" width="19.42578125" style="642" customWidth="1"/>
    <col min="8995" max="8996" width="16.7109375" style="642" customWidth="1"/>
    <col min="8997" max="8997" width="18.28515625" style="642" customWidth="1"/>
    <col min="8998" max="9001" width="18.42578125" style="642" customWidth="1"/>
    <col min="9002" max="9221" width="11.42578125" style="642"/>
    <col min="9222" max="9222" width="9.7109375" style="642" customWidth="1"/>
    <col min="9223" max="9223" width="23" style="642" customWidth="1"/>
    <col min="9224" max="9224" width="8.85546875" style="642" customWidth="1"/>
    <col min="9225" max="9225" width="28" style="642" customWidth="1"/>
    <col min="9226" max="9227" width="11.85546875" style="642" customWidth="1"/>
    <col min="9228" max="9228" width="7.7109375" style="642" customWidth="1"/>
    <col min="9229" max="9229" width="17.5703125" style="642" customWidth="1"/>
    <col min="9230" max="9230" width="11.42578125" style="642"/>
    <col min="9231" max="9231" width="17.140625" style="642" customWidth="1"/>
    <col min="9232" max="9232" width="11.42578125" style="642"/>
    <col min="9233" max="9233" width="26.5703125" style="642" customWidth="1"/>
    <col min="9234" max="9234" width="13.140625" style="642" customWidth="1"/>
    <col min="9235" max="9235" width="18.42578125" style="642" customWidth="1"/>
    <col min="9236" max="9238" width="11.42578125" style="642"/>
    <col min="9239" max="9239" width="15.28515625" style="642" customWidth="1"/>
    <col min="9240" max="9240" width="14.140625" style="642" customWidth="1"/>
    <col min="9241" max="9243" width="17.140625" style="642" customWidth="1"/>
    <col min="9244" max="9244" width="17.42578125" style="642" customWidth="1"/>
    <col min="9245" max="9245" width="18.5703125" style="642" customWidth="1"/>
    <col min="9246" max="9246" width="16" style="642" customWidth="1"/>
    <col min="9247" max="9247" width="15.85546875" style="642" customWidth="1"/>
    <col min="9248" max="9248" width="24.85546875" style="642" customWidth="1"/>
    <col min="9249" max="9249" width="16.7109375" style="642" customWidth="1"/>
    <col min="9250" max="9250" width="19.42578125" style="642" customWidth="1"/>
    <col min="9251" max="9252" width="16.7109375" style="642" customWidth="1"/>
    <col min="9253" max="9253" width="18.28515625" style="642" customWidth="1"/>
    <col min="9254" max="9257" width="18.42578125" style="642" customWidth="1"/>
    <col min="9258" max="9477" width="11.42578125" style="642"/>
    <col min="9478" max="9478" width="9.7109375" style="642" customWidth="1"/>
    <col min="9479" max="9479" width="23" style="642" customWidth="1"/>
    <col min="9480" max="9480" width="8.85546875" style="642" customWidth="1"/>
    <col min="9481" max="9481" width="28" style="642" customWidth="1"/>
    <col min="9482" max="9483" width="11.85546875" style="642" customWidth="1"/>
    <col min="9484" max="9484" width="7.7109375" style="642" customWidth="1"/>
    <col min="9485" max="9485" width="17.5703125" style="642" customWidth="1"/>
    <col min="9486" max="9486" width="11.42578125" style="642"/>
    <col min="9487" max="9487" width="17.140625" style="642" customWidth="1"/>
    <col min="9488" max="9488" width="11.42578125" style="642"/>
    <col min="9489" max="9489" width="26.5703125" style="642" customWidth="1"/>
    <col min="9490" max="9490" width="13.140625" style="642" customWidth="1"/>
    <col min="9491" max="9491" width="18.42578125" style="642" customWidth="1"/>
    <col min="9492" max="9494" width="11.42578125" style="642"/>
    <col min="9495" max="9495" width="15.28515625" style="642" customWidth="1"/>
    <col min="9496" max="9496" width="14.140625" style="642" customWidth="1"/>
    <col min="9497" max="9499" width="17.140625" style="642" customWidth="1"/>
    <col min="9500" max="9500" width="17.42578125" style="642" customWidth="1"/>
    <col min="9501" max="9501" width="18.5703125" style="642" customWidth="1"/>
    <col min="9502" max="9502" width="16" style="642" customWidth="1"/>
    <col min="9503" max="9503" width="15.85546875" style="642" customWidth="1"/>
    <col min="9504" max="9504" width="24.85546875" style="642" customWidth="1"/>
    <col min="9505" max="9505" width="16.7109375" style="642" customWidth="1"/>
    <col min="9506" max="9506" width="19.42578125" style="642" customWidth="1"/>
    <col min="9507" max="9508" width="16.7109375" style="642" customWidth="1"/>
    <col min="9509" max="9509" width="18.28515625" style="642" customWidth="1"/>
    <col min="9510" max="9513" width="18.42578125" style="642" customWidth="1"/>
    <col min="9514" max="9733" width="11.42578125" style="642"/>
    <col min="9734" max="9734" width="9.7109375" style="642" customWidth="1"/>
    <col min="9735" max="9735" width="23" style="642" customWidth="1"/>
    <col min="9736" max="9736" width="8.85546875" style="642" customWidth="1"/>
    <col min="9737" max="9737" width="28" style="642" customWidth="1"/>
    <col min="9738" max="9739" width="11.85546875" style="642" customWidth="1"/>
    <col min="9740" max="9740" width="7.7109375" style="642" customWidth="1"/>
    <col min="9741" max="9741" width="17.5703125" style="642" customWidth="1"/>
    <col min="9742" max="9742" width="11.42578125" style="642"/>
    <col min="9743" max="9743" width="17.140625" style="642" customWidth="1"/>
    <col min="9744" max="9744" width="11.42578125" style="642"/>
    <col min="9745" max="9745" width="26.5703125" style="642" customWidth="1"/>
    <col min="9746" max="9746" width="13.140625" style="642" customWidth="1"/>
    <col min="9747" max="9747" width="18.42578125" style="642" customWidth="1"/>
    <col min="9748" max="9750" width="11.42578125" style="642"/>
    <col min="9751" max="9751" width="15.28515625" style="642" customWidth="1"/>
    <col min="9752" max="9752" width="14.140625" style="642" customWidth="1"/>
    <col min="9753" max="9755" width="17.140625" style="642" customWidth="1"/>
    <col min="9756" max="9756" width="17.42578125" style="642" customWidth="1"/>
    <col min="9757" max="9757" width="18.5703125" style="642" customWidth="1"/>
    <col min="9758" max="9758" width="16" style="642" customWidth="1"/>
    <col min="9759" max="9759" width="15.85546875" style="642" customWidth="1"/>
    <col min="9760" max="9760" width="24.85546875" style="642" customWidth="1"/>
    <col min="9761" max="9761" width="16.7109375" style="642" customWidth="1"/>
    <col min="9762" max="9762" width="19.42578125" style="642" customWidth="1"/>
    <col min="9763" max="9764" width="16.7109375" style="642" customWidth="1"/>
    <col min="9765" max="9765" width="18.28515625" style="642" customWidth="1"/>
    <col min="9766" max="9769" width="18.42578125" style="642" customWidth="1"/>
    <col min="9770" max="9989" width="11.42578125" style="642"/>
    <col min="9990" max="9990" width="9.7109375" style="642" customWidth="1"/>
    <col min="9991" max="9991" width="23" style="642" customWidth="1"/>
    <col min="9992" max="9992" width="8.85546875" style="642" customWidth="1"/>
    <col min="9993" max="9993" width="28" style="642" customWidth="1"/>
    <col min="9994" max="9995" width="11.85546875" style="642" customWidth="1"/>
    <col min="9996" max="9996" width="7.7109375" style="642" customWidth="1"/>
    <col min="9997" max="9997" width="17.5703125" style="642" customWidth="1"/>
    <col min="9998" max="9998" width="11.42578125" style="642"/>
    <col min="9999" max="9999" width="17.140625" style="642" customWidth="1"/>
    <col min="10000" max="10000" width="11.42578125" style="642"/>
    <col min="10001" max="10001" width="26.5703125" style="642" customWidth="1"/>
    <col min="10002" max="10002" width="13.140625" style="642" customWidth="1"/>
    <col min="10003" max="10003" width="18.42578125" style="642" customWidth="1"/>
    <col min="10004" max="10006" width="11.42578125" style="642"/>
    <col min="10007" max="10007" width="15.28515625" style="642" customWidth="1"/>
    <col min="10008" max="10008" width="14.140625" style="642" customWidth="1"/>
    <col min="10009" max="10011" width="17.140625" style="642" customWidth="1"/>
    <col min="10012" max="10012" width="17.42578125" style="642" customWidth="1"/>
    <col min="10013" max="10013" width="18.5703125" style="642" customWidth="1"/>
    <col min="10014" max="10014" width="16" style="642" customWidth="1"/>
    <col min="10015" max="10015" width="15.85546875" style="642" customWidth="1"/>
    <col min="10016" max="10016" width="24.85546875" style="642" customWidth="1"/>
    <col min="10017" max="10017" width="16.7109375" style="642" customWidth="1"/>
    <col min="10018" max="10018" width="19.42578125" style="642" customWidth="1"/>
    <col min="10019" max="10020" width="16.7109375" style="642" customWidth="1"/>
    <col min="10021" max="10021" width="18.28515625" style="642" customWidth="1"/>
    <col min="10022" max="10025" width="18.42578125" style="642" customWidth="1"/>
    <col min="10026" max="10245" width="11.42578125" style="642"/>
    <col min="10246" max="10246" width="9.7109375" style="642" customWidth="1"/>
    <col min="10247" max="10247" width="23" style="642" customWidth="1"/>
    <col min="10248" max="10248" width="8.85546875" style="642" customWidth="1"/>
    <col min="10249" max="10249" width="28" style="642" customWidth="1"/>
    <col min="10250" max="10251" width="11.85546875" style="642" customWidth="1"/>
    <col min="10252" max="10252" width="7.7109375" style="642" customWidth="1"/>
    <col min="10253" max="10253" width="17.5703125" style="642" customWidth="1"/>
    <col min="10254" max="10254" width="11.42578125" style="642"/>
    <col min="10255" max="10255" width="17.140625" style="642" customWidth="1"/>
    <col min="10256" max="10256" width="11.42578125" style="642"/>
    <col min="10257" max="10257" width="26.5703125" style="642" customWidth="1"/>
    <col min="10258" max="10258" width="13.140625" style="642" customWidth="1"/>
    <col min="10259" max="10259" width="18.42578125" style="642" customWidth="1"/>
    <col min="10260" max="10262" width="11.42578125" style="642"/>
    <col min="10263" max="10263" width="15.28515625" style="642" customWidth="1"/>
    <col min="10264" max="10264" width="14.140625" style="642" customWidth="1"/>
    <col min="10265" max="10267" width="17.140625" style="642" customWidth="1"/>
    <col min="10268" max="10268" width="17.42578125" style="642" customWidth="1"/>
    <col min="10269" max="10269" width="18.5703125" style="642" customWidth="1"/>
    <col min="10270" max="10270" width="16" style="642" customWidth="1"/>
    <col min="10271" max="10271" width="15.85546875" style="642" customWidth="1"/>
    <col min="10272" max="10272" width="24.85546875" style="642" customWidth="1"/>
    <col min="10273" max="10273" width="16.7109375" style="642" customWidth="1"/>
    <col min="10274" max="10274" width="19.42578125" style="642" customWidth="1"/>
    <col min="10275" max="10276" width="16.7109375" style="642" customWidth="1"/>
    <col min="10277" max="10277" width="18.28515625" style="642" customWidth="1"/>
    <col min="10278" max="10281" width="18.42578125" style="642" customWidth="1"/>
    <col min="10282" max="10501" width="11.42578125" style="642"/>
    <col min="10502" max="10502" width="9.7109375" style="642" customWidth="1"/>
    <col min="10503" max="10503" width="23" style="642" customWidth="1"/>
    <col min="10504" max="10504" width="8.85546875" style="642" customWidth="1"/>
    <col min="10505" max="10505" width="28" style="642" customWidth="1"/>
    <col min="10506" max="10507" width="11.85546875" style="642" customWidth="1"/>
    <col min="10508" max="10508" width="7.7109375" style="642" customWidth="1"/>
    <col min="10509" max="10509" width="17.5703125" style="642" customWidth="1"/>
    <col min="10510" max="10510" width="11.42578125" style="642"/>
    <col min="10511" max="10511" width="17.140625" style="642" customWidth="1"/>
    <col min="10512" max="10512" width="11.42578125" style="642"/>
    <col min="10513" max="10513" width="26.5703125" style="642" customWidth="1"/>
    <col min="10514" max="10514" width="13.140625" style="642" customWidth="1"/>
    <col min="10515" max="10515" width="18.42578125" style="642" customWidth="1"/>
    <col min="10516" max="10518" width="11.42578125" style="642"/>
    <col min="10519" max="10519" width="15.28515625" style="642" customWidth="1"/>
    <col min="10520" max="10520" width="14.140625" style="642" customWidth="1"/>
    <col min="10521" max="10523" width="17.140625" style="642" customWidth="1"/>
    <col min="10524" max="10524" width="17.42578125" style="642" customWidth="1"/>
    <col min="10525" max="10525" width="18.5703125" style="642" customWidth="1"/>
    <col min="10526" max="10526" width="16" style="642" customWidth="1"/>
    <col min="10527" max="10527" width="15.85546875" style="642" customWidth="1"/>
    <col min="10528" max="10528" width="24.85546875" style="642" customWidth="1"/>
    <col min="10529" max="10529" width="16.7109375" style="642" customWidth="1"/>
    <col min="10530" max="10530" width="19.42578125" style="642" customWidth="1"/>
    <col min="10531" max="10532" width="16.7109375" style="642" customWidth="1"/>
    <col min="10533" max="10533" width="18.28515625" style="642" customWidth="1"/>
    <col min="10534" max="10537" width="18.42578125" style="642" customWidth="1"/>
    <col min="10538" max="10757" width="11.42578125" style="642"/>
    <col min="10758" max="10758" width="9.7109375" style="642" customWidth="1"/>
    <col min="10759" max="10759" width="23" style="642" customWidth="1"/>
    <col min="10760" max="10760" width="8.85546875" style="642" customWidth="1"/>
    <col min="10761" max="10761" width="28" style="642" customWidth="1"/>
    <col min="10762" max="10763" width="11.85546875" style="642" customWidth="1"/>
    <col min="10764" max="10764" width="7.7109375" style="642" customWidth="1"/>
    <col min="10765" max="10765" width="17.5703125" style="642" customWidth="1"/>
    <col min="10766" max="10766" width="11.42578125" style="642"/>
    <col min="10767" max="10767" width="17.140625" style="642" customWidth="1"/>
    <col min="10768" max="10768" width="11.42578125" style="642"/>
    <col min="10769" max="10769" width="26.5703125" style="642" customWidth="1"/>
    <col min="10770" max="10770" width="13.140625" style="642" customWidth="1"/>
    <col min="10771" max="10771" width="18.42578125" style="642" customWidth="1"/>
    <col min="10772" max="10774" width="11.42578125" style="642"/>
    <col min="10775" max="10775" width="15.28515625" style="642" customWidth="1"/>
    <col min="10776" max="10776" width="14.140625" style="642" customWidth="1"/>
    <col min="10777" max="10779" width="17.140625" style="642" customWidth="1"/>
    <col min="10780" max="10780" width="17.42578125" style="642" customWidth="1"/>
    <col min="10781" max="10781" width="18.5703125" style="642" customWidth="1"/>
    <col min="10782" max="10782" width="16" style="642" customWidth="1"/>
    <col min="10783" max="10783" width="15.85546875" style="642" customWidth="1"/>
    <col min="10784" max="10784" width="24.85546875" style="642" customWidth="1"/>
    <col min="10785" max="10785" width="16.7109375" style="642" customWidth="1"/>
    <col min="10786" max="10786" width="19.42578125" style="642" customWidth="1"/>
    <col min="10787" max="10788" width="16.7109375" style="642" customWidth="1"/>
    <col min="10789" max="10789" width="18.28515625" style="642" customWidth="1"/>
    <col min="10790" max="10793" width="18.42578125" style="642" customWidth="1"/>
    <col min="10794" max="11013" width="11.42578125" style="642"/>
    <col min="11014" max="11014" width="9.7109375" style="642" customWidth="1"/>
    <col min="11015" max="11015" width="23" style="642" customWidth="1"/>
    <col min="11016" max="11016" width="8.85546875" style="642" customWidth="1"/>
    <col min="11017" max="11017" width="28" style="642" customWidth="1"/>
    <col min="11018" max="11019" width="11.85546875" style="642" customWidth="1"/>
    <col min="11020" max="11020" width="7.7109375" style="642" customWidth="1"/>
    <col min="11021" max="11021" width="17.5703125" style="642" customWidth="1"/>
    <col min="11022" max="11022" width="11.42578125" style="642"/>
    <col min="11023" max="11023" width="17.140625" style="642" customWidth="1"/>
    <col min="11024" max="11024" width="11.42578125" style="642"/>
    <col min="11025" max="11025" width="26.5703125" style="642" customWidth="1"/>
    <col min="11026" max="11026" width="13.140625" style="642" customWidth="1"/>
    <col min="11027" max="11027" width="18.42578125" style="642" customWidth="1"/>
    <col min="11028" max="11030" width="11.42578125" style="642"/>
    <col min="11031" max="11031" width="15.28515625" style="642" customWidth="1"/>
    <col min="11032" max="11032" width="14.140625" style="642" customWidth="1"/>
    <col min="11033" max="11035" width="17.140625" style="642" customWidth="1"/>
    <col min="11036" max="11036" width="17.42578125" style="642" customWidth="1"/>
    <col min="11037" max="11037" width="18.5703125" style="642" customWidth="1"/>
    <col min="11038" max="11038" width="16" style="642" customWidth="1"/>
    <col min="11039" max="11039" width="15.85546875" style="642" customWidth="1"/>
    <col min="11040" max="11040" width="24.85546875" style="642" customWidth="1"/>
    <col min="11041" max="11041" width="16.7109375" style="642" customWidth="1"/>
    <col min="11042" max="11042" width="19.42578125" style="642" customWidth="1"/>
    <col min="11043" max="11044" width="16.7109375" style="642" customWidth="1"/>
    <col min="11045" max="11045" width="18.28515625" style="642" customWidth="1"/>
    <col min="11046" max="11049" width="18.42578125" style="642" customWidth="1"/>
    <col min="11050" max="11269" width="11.42578125" style="642"/>
    <col min="11270" max="11270" width="9.7109375" style="642" customWidth="1"/>
    <col min="11271" max="11271" width="23" style="642" customWidth="1"/>
    <col min="11272" max="11272" width="8.85546875" style="642" customWidth="1"/>
    <col min="11273" max="11273" width="28" style="642" customWidth="1"/>
    <col min="11274" max="11275" width="11.85546875" style="642" customWidth="1"/>
    <col min="11276" max="11276" width="7.7109375" style="642" customWidth="1"/>
    <col min="11277" max="11277" width="17.5703125" style="642" customWidth="1"/>
    <col min="11278" max="11278" width="11.42578125" style="642"/>
    <col min="11279" max="11279" width="17.140625" style="642" customWidth="1"/>
    <col min="11280" max="11280" width="11.42578125" style="642"/>
    <col min="11281" max="11281" width="26.5703125" style="642" customWidth="1"/>
    <col min="11282" max="11282" width="13.140625" style="642" customWidth="1"/>
    <col min="11283" max="11283" width="18.42578125" style="642" customWidth="1"/>
    <col min="11284" max="11286" width="11.42578125" style="642"/>
    <col min="11287" max="11287" width="15.28515625" style="642" customWidth="1"/>
    <col min="11288" max="11288" width="14.140625" style="642" customWidth="1"/>
    <col min="11289" max="11291" width="17.140625" style="642" customWidth="1"/>
    <col min="11292" max="11292" width="17.42578125" style="642" customWidth="1"/>
    <col min="11293" max="11293" width="18.5703125" style="642" customWidth="1"/>
    <col min="11294" max="11294" width="16" style="642" customWidth="1"/>
    <col min="11295" max="11295" width="15.85546875" style="642" customWidth="1"/>
    <col min="11296" max="11296" width="24.85546875" style="642" customWidth="1"/>
    <col min="11297" max="11297" width="16.7109375" style="642" customWidth="1"/>
    <col min="11298" max="11298" width="19.42578125" style="642" customWidth="1"/>
    <col min="11299" max="11300" width="16.7109375" style="642" customWidth="1"/>
    <col min="11301" max="11301" width="18.28515625" style="642" customWidth="1"/>
    <col min="11302" max="11305" width="18.42578125" style="642" customWidth="1"/>
    <col min="11306" max="11525" width="11.42578125" style="642"/>
    <col min="11526" max="11526" width="9.7109375" style="642" customWidth="1"/>
    <col min="11527" max="11527" width="23" style="642" customWidth="1"/>
    <col min="11528" max="11528" width="8.85546875" style="642" customWidth="1"/>
    <col min="11529" max="11529" width="28" style="642" customWidth="1"/>
    <col min="11530" max="11531" width="11.85546875" style="642" customWidth="1"/>
    <col min="11532" max="11532" width="7.7109375" style="642" customWidth="1"/>
    <col min="11533" max="11533" width="17.5703125" style="642" customWidth="1"/>
    <col min="11534" max="11534" width="11.42578125" style="642"/>
    <col min="11535" max="11535" width="17.140625" style="642" customWidth="1"/>
    <col min="11536" max="11536" width="11.42578125" style="642"/>
    <col min="11537" max="11537" width="26.5703125" style="642" customWidth="1"/>
    <col min="11538" max="11538" width="13.140625" style="642" customWidth="1"/>
    <col min="11539" max="11539" width="18.42578125" style="642" customWidth="1"/>
    <col min="11540" max="11542" width="11.42578125" style="642"/>
    <col min="11543" max="11543" width="15.28515625" style="642" customWidth="1"/>
    <col min="11544" max="11544" width="14.140625" style="642" customWidth="1"/>
    <col min="11545" max="11547" width="17.140625" style="642" customWidth="1"/>
    <col min="11548" max="11548" width="17.42578125" style="642" customWidth="1"/>
    <col min="11549" max="11549" width="18.5703125" style="642" customWidth="1"/>
    <col min="11550" max="11550" width="16" style="642" customWidth="1"/>
    <col min="11551" max="11551" width="15.85546875" style="642" customWidth="1"/>
    <col min="11552" max="11552" width="24.85546875" style="642" customWidth="1"/>
    <col min="11553" max="11553" width="16.7109375" style="642" customWidth="1"/>
    <col min="11554" max="11554" width="19.42578125" style="642" customWidth="1"/>
    <col min="11555" max="11556" width="16.7109375" style="642" customWidth="1"/>
    <col min="11557" max="11557" width="18.28515625" style="642" customWidth="1"/>
    <col min="11558" max="11561" width="18.42578125" style="642" customWidth="1"/>
    <col min="11562" max="11781" width="11.42578125" style="642"/>
    <col min="11782" max="11782" width="9.7109375" style="642" customWidth="1"/>
    <col min="11783" max="11783" width="23" style="642" customWidth="1"/>
    <col min="11784" max="11784" width="8.85546875" style="642" customWidth="1"/>
    <col min="11785" max="11785" width="28" style="642" customWidth="1"/>
    <col min="11786" max="11787" width="11.85546875" style="642" customWidth="1"/>
    <col min="11788" max="11788" width="7.7109375" style="642" customWidth="1"/>
    <col min="11789" max="11789" width="17.5703125" style="642" customWidth="1"/>
    <col min="11790" max="11790" width="11.42578125" style="642"/>
    <col min="11791" max="11791" width="17.140625" style="642" customWidth="1"/>
    <col min="11792" max="11792" width="11.42578125" style="642"/>
    <col min="11793" max="11793" width="26.5703125" style="642" customWidth="1"/>
    <col min="11794" max="11794" width="13.140625" style="642" customWidth="1"/>
    <col min="11795" max="11795" width="18.42578125" style="642" customWidth="1"/>
    <col min="11796" max="11798" width="11.42578125" style="642"/>
    <col min="11799" max="11799" width="15.28515625" style="642" customWidth="1"/>
    <col min="11800" max="11800" width="14.140625" style="642" customWidth="1"/>
    <col min="11801" max="11803" width="17.140625" style="642" customWidth="1"/>
    <col min="11804" max="11804" width="17.42578125" style="642" customWidth="1"/>
    <col min="11805" max="11805" width="18.5703125" style="642" customWidth="1"/>
    <col min="11806" max="11806" width="16" style="642" customWidth="1"/>
    <col min="11807" max="11807" width="15.85546875" style="642" customWidth="1"/>
    <col min="11808" max="11808" width="24.85546875" style="642" customWidth="1"/>
    <col min="11809" max="11809" width="16.7109375" style="642" customWidth="1"/>
    <col min="11810" max="11810" width="19.42578125" style="642" customWidth="1"/>
    <col min="11811" max="11812" width="16.7109375" style="642" customWidth="1"/>
    <col min="11813" max="11813" width="18.28515625" style="642" customWidth="1"/>
    <col min="11814" max="11817" width="18.42578125" style="642" customWidth="1"/>
    <col min="11818" max="12037" width="11.42578125" style="642"/>
    <col min="12038" max="12038" width="9.7109375" style="642" customWidth="1"/>
    <col min="12039" max="12039" width="23" style="642" customWidth="1"/>
    <col min="12040" max="12040" width="8.85546875" style="642" customWidth="1"/>
    <col min="12041" max="12041" width="28" style="642" customWidth="1"/>
    <col min="12042" max="12043" width="11.85546875" style="642" customWidth="1"/>
    <col min="12044" max="12044" width="7.7109375" style="642" customWidth="1"/>
    <col min="12045" max="12045" width="17.5703125" style="642" customWidth="1"/>
    <col min="12046" max="12046" width="11.42578125" style="642"/>
    <col min="12047" max="12047" width="17.140625" style="642" customWidth="1"/>
    <col min="12048" max="12048" width="11.42578125" style="642"/>
    <col min="12049" max="12049" width="26.5703125" style="642" customWidth="1"/>
    <col min="12050" max="12050" width="13.140625" style="642" customWidth="1"/>
    <col min="12051" max="12051" width="18.42578125" style="642" customWidth="1"/>
    <col min="12052" max="12054" width="11.42578125" style="642"/>
    <col min="12055" max="12055" width="15.28515625" style="642" customWidth="1"/>
    <col min="12056" max="12056" width="14.140625" style="642" customWidth="1"/>
    <col min="12057" max="12059" width="17.140625" style="642" customWidth="1"/>
    <col min="12060" max="12060" width="17.42578125" style="642" customWidth="1"/>
    <col min="12061" max="12061" width="18.5703125" style="642" customWidth="1"/>
    <col min="12062" max="12062" width="16" style="642" customWidth="1"/>
    <col min="12063" max="12063" width="15.85546875" style="642" customWidth="1"/>
    <col min="12064" max="12064" width="24.85546875" style="642" customWidth="1"/>
    <col min="12065" max="12065" width="16.7109375" style="642" customWidth="1"/>
    <col min="12066" max="12066" width="19.42578125" style="642" customWidth="1"/>
    <col min="12067" max="12068" width="16.7109375" style="642" customWidth="1"/>
    <col min="12069" max="12069" width="18.28515625" style="642" customWidth="1"/>
    <col min="12070" max="12073" width="18.42578125" style="642" customWidth="1"/>
    <col min="12074" max="12293" width="11.42578125" style="642"/>
    <col min="12294" max="12294" width="9.7109375" style="642" customWidth="1"/>
    <col min="12295" max="12295" width="23" style="642" customWidth="1"/>
    <col min="12296" max="12296" width="8.85546875" style="642" customWidth="1"/>
    <col min="12297" max="12297" width="28" style="642" customWidth="1"/>
    <col min="12298" max="12299" width="11.85546875" style="642" customWidth="1"/>
    <col min="12300" max="12300" width="7.7109375" style="642" customWidth="1"/>
    <col min="12301" max="12301" width="17.5703125" style="642" customWidth="1"/>
    <col min="12302" max="12302" width="11.42578125" style="642"/>
    <col min="12303" max="12303" width="17.140625" style="642" customWidth="1"/>
    <col min="12304" max="12304" width="11.42578125" style="642"/>
    <col min="12305" max="12305" width="26.5703125" style="642" customWidth="1"/>
    <col min="12306" max="12306" width="13.140625" style="642" customWidth="1"/>
    <col min="12307" max="12307" width="18.42578125" style="642" customWidth="1"/>
    <col min="12308" max="12310" width="11.42578125" style="642"/>
    <col min="12311" max="12311" width="15.28515625" style="642" customWidth="1"/>
    <col min="12312" max="12312" width="14.140625" style="642" customWidth="1"/>
    <col min="12313" max="12315" width="17.140625" style="642" customWidth="1"/>
    <col min="12316" max="12316" width="17.42578125" style="642" customWidth="1"/>
    <col min="12317" max="12317" width="18.5703125" style="642" customWidth="1"/>
    <col min="12318" max="12318" width="16" style="642" customWidth="1"/>
    <col min="12319" max="12319" width="15.85546875" style="642" customWidth="1"/>
    <col min="12320" max="12320" width="24.85546875" style="642" customWidth="1"/>
    <col min="12321" max="12321" width="16.7109375" style="642" customWidth="1"/>
    <col min="12322" max="12322" width="19.42578125" style="642" customWidth="1"/>
    <col min="12323" max="12324" width="16.7109375" style="642" customWidth="1"/>
    <col min="12325" max="12325" width="18.28515625" style="642" customWidth="1"/>
    <col min="12326" max="12329" width="18.42578125" style="642" customWidth="1"/>
    <col min="12330" max="12549" width="11.42578125" style="642"/>
    <col min="12550" max="12550" width="9.7109375" style="642" customWidth="1"/>
    <col min="12551" max="12551" width="23" style="642" customWidth="1"/>
    <col min="12552" max="12552" width="8.85546875" style="642" customWidth="1"/>
    <col min="12553" max="12553" width="28" style="642" customWidth="1"/>
    <col min="12554" max="12555" width="11.85546875" style="642" customWidth="1"/>
    <col min="12556" max="12556" width="7.7109375" style="642" customWidth="1"/>
    <col min="12557" max="12557" width="17.5703125" style="642" customWidth="1"/>
    <col min="12558" max="12558" width="11.42578125" style="642"/>
    <col min="12559" max="12559" width="17.140625" style="642" customWidth="1"/>
    <col min="12560" max="12560" width="11.42578125" style="642"/>
    <col min="12561" max="12561" width="26.5703125" style="642" customWidth="1"/>
    <col min="12562" max="12562" width="13.140625" style="642" customWidth="1"/>
    <col min="12563" max="12563" width="18.42578125" style="642" customWidth="1"/>
    <col min="12564" max="12566" width="11.42578125" style="642"/>
    <col min="12567" max="12567" width="15.28515625" style="642" customWidth="1"/>
    <col min="12568" max="12568" width="14.140625" style="642" customWidth="1"/>
    <col min="12569" max="12571" width="17.140625" style="642" customWidth="1"/>
    <col min="12572" max="12572" width="17.42578125" style="642" customWidth="1"/>
    <col min="12573" max="12573" width="18.5703125" style="642" customWidth="1"/>
    <col min="12574" max="12574" width="16" style="642" customWidth="1"/>
    <col min="12575" max="12575" width="15.85546875" style="642" customWidth="1"/>
    <col min="12576" max="12576" width="24.85546875" style="642" customWidth="1"/>
    <col min="12577" max="12577" width="16.7109375" style="642" customWidth="1"/>
    <col min="12578" max="12578" width="19.42578125" style="642" customWidth="1"/>
    <col min="12579" max="12580" width="16.7109375" style="642" customWidth="1"/>
    <col min="12581" max="12581" width="18.28515625" style="642" customWidth="1"/>
    <col min="12582" max="12585" width="18.42578125" style="642" customWidth="1"/>
    <col min="12586" max="12805" width="11.42578125" style="642"/>
    <col min="12806" max="12806" width="9.7109375" style="642" customWidth="1"/>
    <col min="12807" max="12807" width="23" style="642" customWidth="1"/>
    <col min="12808" max="12808" width="8.85546875" style="642" customWidth="1"/>
    <col min="12809" max="12809" width="28" style="642" customWidth="1"/>
    <col min="12810" max="12811" width="11.85546875" style="642" customWidth="1"/>
    <col min="12812" max="12812" width="7.7109375" style="642" customWidth="1"/>
    <col min="12813" max="12813" width="17.5703125" style="642" customWidth="1"/>
    <col min="12814" max="12814" width="11.42578125" style="642"/>
    <col min="12815" max="12815" width="17.140625" style="642" customWidth="1"/>
    <col min="12816" max="12816" width="11.42578125" style="642"/>
    <col min="12817" max="12817" width="26.5703125" style="642" customWidth="1"/>
    <col min="12818" max="12818" width="13.140625" style="642" customWidth="1"/>
    <col min="12819" max="12819" width="18.42578125" style="642" customWidth="1"/>
    <col min="12820" max="12822" width="11.42578125" style="642"/>
    <col min="12823" max="12823" width="15.28515625" style="642" customWidth="1"/>
    <col min="12824" max="12824" width="14.140625" style="642" customWidth="1"/>
    <col min="12825" max="12827" width="17.140625" style="642" customWidth="1"/>
    <col min="12828" max="12828" width="17.42578125" style="642" customWidth="1"/>
    <col min="12829" max="12829" width="18.5703125" style="642" customWidth="1"/>
    <col min="12830" max="12830" width="16" style="642" customWidth="1"/>
    <col min="12831" max="12831" width="15.85546875" style="642" customWidth="1"/>
    <col min="12832" max="12832" width="24.85546875" style="642" customWidth="1"/>
    <col min="12833" max="12833" width="16.7109375" style="642" customWidth="1"/>
    <col min="12834" max="12834" width="19.42578125" style="642" customWidth="1"/>
    <col min="12835" max="12836" width="16.7109375" style="642" customWidth="1"/>
    <col min="12837" max="12837" width="18.28515625" style="642" customWidth="1"/>
    <col min="12838" max="12841" width="18.42578125" style="642" customWidth="1"/>
    <col min="12842" max="13061" width="11.42578125" style="642"/>
    <col min="13062" max="13062" width="9.7109375" style="642" customWidth="1"/>
    <col min="13063" max="13063" width="23" style="642" customWidth="1"/>
    <col min="13064" max="13064" width="8.85546875" style="642" customWidth="1"/>
    <col min="13065" max="13065" width="28" style="642" customWidth="1"/>
    <col min="13066" max="13067" width="11.85546875" style="642" customWidth="1"/>
    <col min="13068" max="13068" width="7.7109375" style="642" customWidth="1"/>
    <col min="13069" max="13069" width="17.5703125" style="642" customWidth="1"/>
    <col min="13070" max="13070" width="11.42578125" style="642"/>
    <col min="13071" max="13071" width="17.140625" style="642" customWidth="1"/>
    <col min="13072" max="13072" width="11.42578125" style="642"/>
    <col min="13073" max="13073" width="26.5703125" style="642" customWidth="1"/>
    <col min="13074" max="13074" width="13.140625" style="642" customWidth="1"/>
    <col min="13075" max="13075" width="18.42578125" style="642" customWidth="1"/>
    <col min="13076" max="13078" width="11.42578125" style="642"/>
    <col min="13079" max="13079" width="15.28515625" style="642" customWidth="1"/>
    <col min="13080" max="13080" width="14.140625" style="642" customWidth="1"/>
    <col min="13081" max="13083" width="17.140625" style="642" customWidth="1"/>
    <col min="13084" max="13084" width="17.42578125" style="642" customWidth="1"/>
    <col min="13085" max="13085" width="18.5703125" style="642" customWidth="1"/>
    <col min="13086" max="13086" width="16" style="642" customWidth="1"/>
    <col min="13087" max="13087" width="15.85546875" style="642" customWidth="1"/>
    <col min="13088" max="13088" width="24.85546875" style="642" customWidth="1"/>
    <col min="13089" max="13089" width="16.7109375" style="642" customWidth="1"/>
    <col min="13090" max="13090" width="19.42578125" style="642" customWidth="1"/>
    <col min="13091" max="13092" width="16.7109375" style="642" customWidth="1"/>
    <col min="13093" max="13093" width="18.28515625" style="642" customWidth="1"/>
    <col min="13094" max="13097" width="18.42578125" style="642" customWidth="1"/>
    <col min="13098" max="13317" width="11.42578125" style="642"/>
    <col min="13318" max="13318" width="9.7109375" style="642" customWidth="1"/>
    <col min="13319" max="13319" width="23" style="642" customWidth="1"/>
    <col min="13320" max="13320" width="8.85546875" style="642" customWidth="1"/>
    <col min="13321" max="13321" width="28" style="642" customWidth="1"/>
    <col min="13322" max="13323" width="11.85546875" style="642" customWidth="1"/>
    <col min="13324" max="13324" width="7.7109375" style="642" customWidth="1"/>
    <col min="13325" max="13325" width="17.5703125" style="642" customWidth="1"/>
    <col min="13326" max="13326" width="11.42578125" style="642"/>
    <col min="13327" max="13327" width="17.140625" style="642" customWidth="1"/>
    <col min="13328" max="13328" width="11.42578125" style="642"/>
    <col min="13329" max="13329" width="26.5703125" style="642" customWidth="1"/>
    <col min="13330" max="13330" width="13.140625" style="642" customWidth="1"/>
    <col min="13331" max="13331" width="18.42578125" style="642" customWidth="1"/>
    <col min="13332" max="13334" width="11.42578125" style="642"/>
    <col min="13335" max="13335" width="15.28515625" style="642" customWidth="1"/>
    <col min="13336" max="13336" width="14.140625" style="642" customWidth="1"/>
    <col min="13337" max="13339" width="17.140625" style="642" customWidth="1"/>
    <col min="13340" max="13340" width="17.42578125" style="642" customWidth="1"/>
    <col min="13341" max="13341" width="18.5703125" style="642" customWidth="1"/>
    <col min="13342" max="13342" width="16" style="642" customWidth="1"/>
    <col min="13343" max="13343" width="15.85546875" style="642" customWidth="1"/>
    <col min="13344" max="13344" width="24.85546875" style="642" customWidth="1"/>
    <col min="13345" max="13345" width="16.7109375" style="642" customWidth="1"/>
    <col min="13346" max="13346" width="19.42578125" style="642" customWidth="1"/>
    <col min="13347" max="13348" width="16.7109375" style="642" customWidth="1"/>
    <col min="13349" max="13349" width="18.28515625" style="642" customWidth="1"/>
    <col min="13350" max="13353" width="18.42578125" style="642" customWidth="1"/>
    <col min="13354" max="13573" width="11.42578125" style="642"/>
    <col min="13574" max="13574" width="9.7109375" style="642" customWidth="1"/>
    <col min="13575" max="13575" width="23" style="642" customWidth="1"/>
    <col min="13576" max="13576" width="8.85546875" style="642" customWidth="1"/>
    <col min="13577" max="13577" width="28" style="642" customWidth="1"/>
    <col min="13578" max="13579" width="11.85546875" style="642" customWidth="1"/>
    <col min="13580" max="13580" width="7.7109375" style="642" customWidth="1"/>
    <col min="13581" max="13581" width="17.5703125" style="642" customWidth="1"/>
    <col min="13582" max="13582" width="11.42578125" style="642"/>
    <col min="13583" max="13583" width="17.140625" style="642" customWidth="1"/>
    <col min="13584" max="13584" width="11.42578125" style="642"/>
    <col min="13585" max="13585" width="26.5703125" style="642" customWidth="1"/>
    <col min="13586" max="13586" width="13.140625" style="642" customWidth="1"/>
    <col min="13587" max="13587" width="18.42578125" style="642" customWidth="1"/>
    <col min="13588" max="13590" width="11.42578125" style="642"/>
    <col min="13591" max="13591" width="15.28515625" style="642" customWidth="1"/>
    <col min="13592" max="13592" width="14.140625" style="642" customWidth="1"/>
    <col min="13593" max="13595" width="17.140625" style="642" customWidth="1"/>
    <col min="13596" max="13596" width="17.42578125" style="642" customWidth="1"/>
    <col min="13597" max="13597" width="18.5703125" style="642" customWidth="1"/>
    <col min="13598" max="13598" width="16" style="642" customWidth="1"/>
    <col min="13599" max="13599" width="15.85546875" style="642" customWidth="1"/>
    <col min="13600" max="13600" width="24.85546875" style="642" customWidth="1"/>
    <col min="13601" max="13601" width="16.7109375" style="642" customWidth="1"/>
    <col min="13602" max="13602" width="19.42578125" style="642" customWidth="1"/>
    <col min="13603" max="13604" width="16.7109375" style="642" customWidth="1"/>
    <col min="13605" max="13605" width="18.28515625" style="642" customWidth="1"/>
    <col min="13606" max="13609" width="18.42578125" style="642" customWidth="1"/>
    <col min="13610" max="13829" width="11.42578125" style="642"/>
    <col min="13830" max="13830" width="9.7109375" style="642" customWidth="1"/>
    <col min="13831" max="13831" width="23" style="642" customWidth="1"/>
    <col min="13832" max="13832" width="8.85546875" style="642" customWidth="1"/>
    <col min="13833" max="13833" width="28" style="642" customWidth="1"/>
    <col min="13834" max="13835" width="11.85546875" style="642" customWidth="1"/>
    <col min="13836" max="13836" width="7.7109375" style="642" customWidth="1"/>
    <col min="13837" max="13837" width="17.5703125" style="642" customWidth="1"/>
    <col min="13838" max="13838" width="11.42578125" style="642"/>
    <col min="13839" max="13839" width="17.140625" style="642" customWidth="1"/>
    <col min="13840" max="13840" width="11.42578125" style="642"/>
    <col min="13841" max="13841" width="26.5703125" style="642" customWidth="1"/>
    <col min="13842" max="13842" width="13.140625" style="642" customWidth="1"/>
    <col min="13843" max="13843" width="18.42578125" style="642" customWidth="1"/>
    <col min="13844" max="13846" width="11.42578125" style="642"/>
    <col min="13847" max="13847" width="15.28515625" style="642" customWidth="1"/>
    <col min="13848" max="13848" width="14.140625" style="642" customWidth="1"/>
    <col min="13849" max="13851" width="17.140625" style="642" customWidth="1"/>
    <col min="13852" max="13852" width="17.42578125" style="642" customWidth="1"/>
    <col min="13853" max="13853" width="18.5703125" style="642" customWidth="1"/>
    <col min="13854" max="13854" width="16" style="642" customWidth="1"/>
    <col min="13855" max="13855" width="15.85546875" style="642" customWidth="1"/>
    <col min="13856" max="13856" width="24.85546875" style="642" customWidth="1"/>
    <col min="13857" max="13857" width="16.7109375" style="642" customWidth="1"/>
    <col min="13858" max="13858" width="19.42578125" style="642" customWidth="1"/>
    <col min="13859" max="13860" width="16.7109375" style="642" customWidth="1"/>
    <col min="13861" max="13861" width="18.28515625" style="642" customWidth="1"/>
    <col min="13862" max="13865" width="18.42578125" style="642" customWidth="1"/>
    <col min="13866" max="14085" width="11.42578125" style="642"/>
    <col min="14086" max="14086" width="9.7109375" style="642" customWidth="1"/>
    <col min="14087" max="14087" width="23" style="642" customWidth="1"/>
    <col min="14088" max="14088" width="8.85546875" style="642" customWidth="1"/>
    <col min="14089" max="14089" width="28" style="642" customWidth="1"/>
    <col min="14090" max="14091" width="11.85546875" style="642" customWidth="1"/>
    <col min="14092" max="14092" width="7.7109375" style="642" customWidth="1"/>
    <col min="14093" max="14093" width="17.5703125" style="642" customWidth="1"/>
    <col min="14094" max="14094" width="11.42578125" style="642"/>
    <col min="14095" max="14095" width="17.140625" style="642" customWidth="1"/>
    <col min="14096" max="14096" width="11.42578125" style="642"/>
    <col min="14097" max="14097" width="26.5703125" style="642" customWidth="1"/>
    <col min="14098" max="14098" width="13.140625" style="642" customWidth="1"/>
    <col min="14099" max="14099" width="18.42578125" style="642" customWidth="1"/>
    <col min="14100" max="14102" width="11.42578125" style="642"/>
    <col min="14103" max="14103" width="15.28515625" style="642" customWidth="1"/>
    <col min="14104" max="14104" width="14.140625" style="642" customWidth="1"/>
    <col min="14105" max="14107" width="17.140625" style="642" customWidth="1"/>
    <col min="14108" max="14108" width="17.42578125" style="642" customWidth="1"/>
    <col min="14109" max="14109" width="18.5703125" style="642" customWidth="1"/>
    <col min="14110" max="14110" width="16" style="642" customWidth="1"/>
    <col min="14111" max="14111" width="15.85546875" style="642" customWidth="1"/>
    <col min="14112" max="14112" width="24.85546875" style="642" customWidth="1"/>
    <col min="14113" max="14113" width="16.7109375" style="642" customWidth="1"/>
    <col min="14114" max="14114" width="19.42578125" style="642" customWidth="1"/>
    <col min="14115" max="14116" width="16.7109375" style="642" customWidth="1"/>
    <col min="14117" max="14117" width="18.28515625" style="642" customWidth="1"/>
    <col min="14118" max="14121" width="18.42578125" style="642" customWidth="1"/>
    <col min="14122" max="14341" width="11.42578125" style="642"/>
    <col min="14342" max="14342" width="9.7109375" style="642" customWidth="1"/>
    <col min="14343" max="14343" width="23" style="642" customWidth="1"/>
    <col min="14344" max="14344" width="8.85546875" style="642" customWidth="1"/>
    <col min="14345" max="14345" width="28" style="642" customWidth="1"/>
    <col min="14346" max="14347" width="11.85546875" style="642" customWidth="1"/>
    <col min="14348" max="14348" width="7.7109375" style="642" customWidth="1"/>
    <col min="14349" max="14349" width="17.5703125" style="642" customWidth="1"/>
    <col min="14350" max="14350" width="11.42578125" style="642"/>
    <col min="14351" max="14351" width="17.140625" style="642" customWidth="1"/>
    <col min="14352" max="14352" width="11.42578125" style="642"/>
    <col min="14353" max="14353" width="26.5703125" style="642" customWidth="1"/>
    <col min="14354" max="14354" width="13.140625" style="642" customWidth="1"/>
    <col min="14355" max="14355" width="18.42578125" style="642" customWidth="1"/>
    <col min="14356" max="14358" width="11.42578125" style="642"/>
    <col min="14359" max="14359" width="15.28515625" style="642" customWidth="1"/>
    <col min="14360" max="14360" width="14.140625" style="642" customWidth="1"/>
    <col min="14361" max="14363" width="17.140625" style="642" customWidth="1"/>
    <col min="14364" max="14364" width="17.42578125" style="642" customWidth="1"/>
    <col min="14365" max="14365" width="18.5703125" style="642" customWidth="1"/>
    <col min="14366" max="14366" width="16" style="642" customWidth="1"/>
    <col min="14367" max="14367" width="15.85546875" style="642" customWidth="1"/>
    <col min="14368" max="14368" width="24.85546875" style="642" customWidth="1"/>
    <col min="14369" max="14369" width="16.7109375" style="642" customWidth="1"/>
    <col min="14370" max="14370" width="19.42578125" style="642" customWidth="1"/>
    <col min="14371" max="14372" width="16.7109375" style="642" customWidth="1"/>
    <col min="14373" max="14373" width="18.28515625" style="642" customWidth="1"/>
    <col min="14374" max="14377" width="18.42578125" style="642" customWidth="1"/>
    <col min="14378" max="14597" width="11.42578125" style="642"/>
    <col min="14598" max="14598" width="9.7109375" style="642" customWidth="1"/>
    <col min="14599" max="14599" width="23" style="642" customWidth="1"/>
    <col min="14600" max="14600" width="8.85546875" style="642" customWidth="1"/>
    <col min="14601" max="14601" width="28" style="642" customWidth="1"/>
    <col min="14602" max="14603" width="11.85546875" style="642" customWidth="1"/>
    <col min="14604" max="14604" width="7.7109375" style="642" customWidth="1"/>
    <col min="14605" max="14605" width="17.5703125" style="642" customWidth="1"/>
    <col min="14606" max="14606" width="11.42578125" style="642"/>
    <col min="14607" max="14607" width="17.140625" style="642" customWidth="1"/>
    <col min="14608" max="14608" width="11.42578125" style="642"/>
    <col min="14609" max="14609" width="26.5703125" style="642" customWidth="1"/>
    <col min="14610" max="14610" width="13.140625" style="642" customWidth="1"/>
    <col min="14611" max="14611" width="18.42578125" style="642" customWidth="1"/>
    <col min="14612" max="14614" width="11.42578125" style="642"/>
    <col min="14615" max="14615" width="15.28515625" style="642" customWidth="1"/>
    <col min="14616" max="14616" width="14.140625" style="642" customWidth="1"/>
    <col min="14617" max="14619" width="17.140625" style="642" customWidth="1"/>
    <col min="14620" max="14620" width="17.42578125" style="642" customWidth="1"/>
    <col min="14621" max="14621" width="18.5703125" style="642" customWidth="1"/>
    <col min="14622" max="14622" width="16" style="642" customWidth="1"/>
    <col min="14623" max="14623" width="15.85546875" style="642" customWidth="1"/>
    <col min="14624" max="14624" width="24.85546875" style="642" customWidth="1"/>
    <col min="14625" max="14625" width="16.7109375" style="642" customWidth="1"/>
    <col min="14626" max="14626" width="19.42578125" style="642" customWidth="1"/>
    <col min="14627" max="14628" width="16.7109375" style="642" customWidth="1"/>
    <col min="14629" max="14629" width="18.28515625" style="642" customWidth="1"/>
    <col min="14630" max="14633" width="18.42578125" style="642" customWidth="1"/>
    <col min="14634" max="14853" width="11.42578125" style="642"/>
    <col min="14854" max="14854" width="9.7109375" style="642" customWidth="1"/>
    <col min="14855" max="14855" width="23" style="642" customWidth="1"/>
    <col min="14856" max="14856" width="8.85546875" style="642" customWidth="1"/>
    <col min="14857" max="14857" width="28" style="642" customWidth="1"/>
    <col min="14858" max="14859" width="11.85546875" style="642" customWidth="1"/>
    <col min="14860" max="14860" width="7.7109375" style="642" customWidth="1"/>
    <col min="14861" max="14861" width="17.5703125" style="642" customWidth="1"/>
    <col min="14862" max="14862" width="11.42578125" style="642"/>
    <col min="14863" max="14863" width="17.140625" style="642" customWidth="1"/>
    <col min="14864" max="14864" width="11.42578125" style="642"/>
    <col min="14865" max="14865" width="26.5703125" style="642" customWidth="1"/>
    <col min="14866" max="14866" width="13.140625" style="642" customWidth="1"/>
    <col min="14867" max="14867" width="18.42578125" style="642" customWidth="1"/>
    <col min="14868" max="14870" width="11.42578125" style="642"/>
    <col min="14871" max="14871" width="15.28515625" style="642" customWidth="1"/>
    <col min="14872" max="14872" width="14.140625" style="642" customWidth="1"/>
    <col min="14873" max="14875" width="17.140625" style="642" customWidth="1"/>
    <col min="14876" max="14876" width="17.42578125" style="642" customWidth="1"/>
    <col min="14877" max="14877" width="18.5703125" style="642" customWidth="1"/>
    <col min="14878" max="14878" width="16" style="642" customWidth="1"/>
    <col min="14879" max="14879" width="15.85546875" style="642" customWidth="1"/>
    <col min="14880" max="14880" width="24.85546875" style="642" customWidth="1"/>
    <col min="14881" max="14881" width="16.7109375" style="642" customWidth="1"/>
    <col min="14882" max="14882" width="19.42578125" style="642" customWidth="1"/>
    <col min="14883" max="14884" width="16.7109375" style="642" customWidth="1"/>
    <col min="14885" max="14885" width="18.28515625" style="642" customWidth="1"/>
    <col min="14886" max="14889" width="18.42578125" style="642" customWidth="1"/>
    <col min="14890" max="15109" width="11.42578125" style="642"/>
    <col min="15110" max="15110" width="9.7109375" style="642" customWidth="1"/>
    <col min="15111" max="15111" width="23" style="642" customWidth="1"/>
    <col min="15112" max="15112" width="8.85546875" style="642" customWidth="1"/>
    <col min="15113" max="15113" width="28" style="642" customWidth="1"/>
    <col min="15114" max="15115" width="11.85546875" style="642" customWidth="1"/>
    <col min="15116" max="15116" width="7.7109375" style="642" customWidth="1"/>
    <col min="15117" max="15117" width="17.5703125" style="642" customWidth="1"/>
    <col min="15118" max="15118" width="11.42578125" style="642"/>
    <col min="15119" max="15119" width="17.140625" style="642" customWidth="1"/>
    <col min="15120" max="15120" width="11.42578125" style="642"/>
    <col min="15121" max="15121" width="26.5703125" style="642" customWidth="1"/>
    <col min="15122" max="15122" width="13.140625" style="642" customWidth="1"/>
    <col min="15123" max="15123" width="18.42578125" style="642" customWidth="1"/>
    <col min="15124" max="15126" width="11.42578125" style="642"/>
    <col min="15127" max="15127" width="15.28515625" style="642" customWidth="1"/>
    <col min="15128" max="15128" width="14.140625" style="642" customWidth="1"/>
    <col min="15129" max="15131" width="17.140625" style="642" customWidth="1"/>
    <col min="15132" max="15132" width="17.42578125" style="642" customWidth="1"/>
    <col min="15133" max="15133" width="18.5703125" style="642" customWidth="1"/>
    <col min="15134" max="15134" width="16" style="642" customWidth="1"/>
    <col min="15135" max="15135" width="15.85546875" style="642" customWidth="1"/>
    <col min="15136" max="15136" width="24.85546875" style="642" customWidth="1"/>
    <col min="15137" max="15137" width="16.7109375" style="642" customWidth="1"/>
    <col min="15138" max="15138" width="19.42578125" style="642" customWidth="1"/>
    <col min="15139" max="15140" width="16.7109375" style="642" customWidth="1"/>
    <col min="15141" max="15141" width="18.28515625" style="642" customWidth="1"/>
    <col min="15142" max="15145" width="18.42578125" style="642" customWidth="1"/>
    <col min="15146" max="15365" width="11.42578125" style="642"/>
    <col min="15366" max="15366" width="9.7109375" style="642" customWidth="1"/>
    <col min="15367" max="15367" width="23" style="642" customWidth="1"/>
    <col min="15368" max="15368" width="8.85546875" style="642" customWidth="1"/>
    <col min="15369" max="15369" width="28" style="642" customWidth="1"/>
    <col min="15370" max="15371" width="11.85546875" style="642" customWidth="1"/>
    <col min="15372" max="15372" width="7.7109375" style="642" customWidth="1"/>
    <col min="15373" max="15373" width="17.5703125" style="642" customWidth="1"/>
    <col min="15374" max="15374" width="11.42578125" style="642"/>
    <col min="15375" max="15375" width="17.140625" style="642" customWidth="1"/>
    <col min="15376" max="15376" width="11.42578125" style="642"/>
    <col min="15377" max="15377" width="26.5703125" style="642" customWidth="1"/>
    <col min="15378" max="15378" width="13.140625" style="642" customWidth="1"/>
    <col min="15379" max="15379" width="18.42578125" style="642" customWidth="1"/>
    <col min="15380" max="15382" width="11.42578125" style="642"/>
    <col min="15383" max="15383" width="15.28515625" style="642" customWidth="1"/>
    <col min="15384" max="15384" width="14.140625" style="642" customWidth="1"/>
    <col min="15385" max="15387" width="17.140625" style="642" customWidth="1"/>
    <col min="15388" max="15388" width="17.42578125" style="642" customWidth="1"/>
    <col min="15389" max="15389" width="18.5703125" style="642" customWidth="1"/>
    <col min="15390" max="15390" width="16" style="642" customWidth="1"/>
    <col min="15391" max="15391" width="15.85546875" style="642" customWidth="1"/>
    <col min="15392" max="15392" width="24.85546875" style="642" customWidth="1"/>
    <col min="15393" max="15393" width="16.7109375" style="642" customWidth="1"/>
    <col min="15394" max="15394" width="19.42578125" style="642" customWidth="1"/>
    <col min="15395" max="15396" width="16.7109375" style="642" customWidth="1"/>
    <col min="15397" max="15397" width="18.28515625" style="642" customWidth="1"/>
    <col min="15398" max="15401" width="18.42578125" style="642" customWidth="1"/>
    <col min="15402" max="15621" width="11.42578125" style="642"/>
    <col min="15622" max="15622" width="9.7109375" style="642" customWidth="1"/>
    <col min="15623" max="15623" width="23" style="642" customWidth="1"/>
    <col min="15624" max="15624" width="8.85546875" style="642" customWidth="1"/>
    <col min="15625" max="15625" width="28" style="642" customWidth="1"/>
    <col min="15626" max="15627" width="11.85546875" style="642" customWidth="1"/>
    <col min="15628" max="15628" width="7.7109375" style="642" customWidth="1"/>
    <col min="15629" max="15629" width="17.5703125" style="642" customWidth="1"/>
    <col min="15630" max="15630" width="11.42578125" style="642"/>
    <col min="15631" max="15631" width="17.140625" style="642" customWidth="1"/>
    <col min="15632" max="15632" width="11.42578125" style="642"/>
    <col min="15633" max="15633" width="26.5703125" style="642" customWidth="1"/>
    <col min="15634" max="15634" width="13.140625" style="642" customWidth="1"/>
    <col min="15635" max="15635" width="18.42578125" style="642" customWidth="1"/>
    <col min="15636" max="15638" width="11.42578125" style="642"/>
    <col min="15639" max="15639" width="15.28515625" style="642" customWidth="1"/>
    <col min="15640" max="15640" width="14.140625" style="642" customWidth="1"/>
    <col min="15641" max="15643" width="17.140625" style="642" customWidth="1"/>
    <col min="15644" max="15644" width="17.42578125" style="642" customWidth="1"/>
    <col min="15645" max="15645" width="18.5703125" style="642" customWidth="1"/>
    <col min="15646" max="15646" width="16" style="642" customWidth="1"/>
    <col min="15647" max="15647" width="15.85546875" style="642" customWidth="1"/>
    <col min="15648" max="15648" width="24.85546875" style="642" customWidth="1"/>
    <col min="15649" max="15649" width="16.7109375" style="642" customWidth="1"/>
    <col min="15650" max="15650" width="19.42578125" style="642" customWidth="1"/>
    <col min="15651" max="15652" width="16.7109375" style="642" customWidth="1"/>
    <col min="15653" max="15653" width="18.28515625" style="642" customWidth="1"/>
    <col min="15654" max="15657" width="18.42578125" style="642" customWidth="1"/>
    <col min="15658" max="15877" width="11.42578125" style="642"/>
    <col min="15878" max="15878" width="9.7109375" style="642" customWidth="1"/>
    <col min="15879" max="15879" width="23" style="642" customWidth="1"/>
    <col min="15880" max="15880" width="8.85546875" style="642" customWidth="1"/>
    <col min="15881" max="15881" width="28" style="642" customWidth="1"/>
    <col min="15882" max="15883" width="11.85546875" style="642" customWidth="1"/>
    <col min="15884" max="15884" width="7.7109375" style="642" customWidth="1"/>
    <col min="15885" max="15885" width="17.5703125" style="642" customWidth="1"/>
    <col min="15886" max="15886" width="11.42578125" style="642"/>
    <col min="15887" max="15887" width="17.140625" style="642" customWidth="1"/>
    <col min="15888" max="15888" width="11.42578125" style="642"/>
    <col min="15889" max="15889" width="26.5703125" style="642" customWidth="1"/>
    <col min="15890" max="15890" width="13.140625" style="642" customWidth="1"/>
    <col min="15891" max="15891" width="18.42578125" style="642" customWidth="1"/>
    <col min="15892" max="15894" width="11.42578125" style="642"/>
    <col min="15895" max="15895" width="15.28515625" style="642" customWidth="1"/>
    <col min="15896" max="15896" width="14.140625" style="642" customWidth="1"/>
    <col min="15897" max="15899" width="17.140625" style="642" customWidth="1"/>
    <col min="15900" max="15900" width="17.42578125" style="642" customWidth="1"/>
    <col min="15901" max="15901" width="18.5703125" style="642" customWidth="1"/>
    <col min="15902" max="15902" width="16" style="642" customWidth="1"/>
    <col min="15903" max="15903" width="15.85546875" style="642" customWidth="1"/>
    <col min="15904" max="15904" width="24.85546875" style="642" customWidth="1"/>
    <col min="15905" max="15905" width="16.7109375" style="642" customWidth="1"/>
    <col min="15906" max="15906" width="19.42578125" style="642" customWidth="1"/>
    <col min="15907" max="15908" width="16.7109375" style="642" customWidth="1"/>
    <col min="15909" max="15909" width="18.28515625" style="642" customWidth="1"/>
    <col min="15910" max="15913" width="18.42578125" style="642" customWidth="1"/>
    <col min="15914" max="16133" width="11.42578125" style="642"/>
    <col min="16134" max="16134" width="9.7109375" style="642" customWidth="1"/>
    <col min="16135" max="16135" width="23" style="642" customWidth="1"/>
    <col min="16136" max="16136" width="8.85546875" style="642" customWidth="1"/>
    <col min="16137" max="16137" width="28" style="642" customWidth="1"/>
    <col min="16138" max="16139" width="11.85546875" style="642" customWidth="1"/>
    <col min="16140" max="16140" width="7.7109375" style="642" customWidth="1"/>
    <col min="16141" max="16141" width="17.5703125" style="642" customWidth="1"/>
    <col min="16142" max="16142" width="11.42578125" style="642"/>
    <col min="16143" max="16143" width="17.140625" style="642" customWidth="1"/>
    <col min="16144" max="16144" width="11.42578125" style="642"/>
    <col min="16145" max="16145" width="26.5703125" style="642" customWidth="1"/>
    <col min="16146" max="16146" width="13.140625" style="642" customWidth="1"/>
    <col min="16147" max="16147" width="18.42578125" style="642" customWidth="1"/>
    <col min="16148" max="16150" width="11.42578125" style="642"/>
    <col min="16151" max="16151" width="15.28515625" style="642" customWidth="1"/>
    <col min="16152" max="16152" width="14.140625" style="642" customWidth="1"/>
    <col min="16153" max="16155" width="17.140625" style="642" customWidth="1"/>
    <col min="16156" max="16156" width="17.42578125" style="642" customWidth="1"/>
    <col min="16157" max="16157" width="18.5703125" style="642" customWidth="1"/>
    <col min="16158" max="16158" width="16" style="642" customWidth="1"/>
    <col min="16159" max="16159" width="15.85546875" style="642" customWidth="1"/>
    <col min="16160" max="16160" width="24.85546875" style="642" customWidth="1"/>
    <col min="16161" max="16161" width="16.7109375" style="642" customWidth="1"/>
    <col min="16162" max="16162" width="19.42578125" style="642" customWidth="1"/>
    <col min="16163" max="16164" width="16.7109375" style="642" customWidth="1"/>
    <col min="16165" max="16165" width="18.28515625" style="642" customWidth="1"/>
    <col min="16166" max="16169" width="18.42578125" style="642" customWidth="1"/>
    <col min="16170" max="16384" width="11.42578125" style="642"/>
  </cols>
  <sheetData>
    <row r="1" spans="1:42" s="635" customFormat="1" ht="108">
      <c r="A1" s="630">
        <v>0</v>
      </c>
      <c r="B1" s="631" t="s">
        <v>0</v>
      </c>
      <c r="C1" s="631" t="s">
        <v>479</v>
      </c>
      <c r="D1" s="632" t="s">
        <v>579</v>
      </c>
      <c r="E1" s="630" t="s">
        <v>580</v>
      </c>
      <c r="F1" s="630" t="s">
        <v>581</v>
      </c>
      <c r="G1" s="631" t="s">
        <v>484</v>
      </c>
      <c r="H1" s="630" t="s">
        <v>485</v>
      </c>
      <c r="I1" s="630" t="s">
        <v>486</v>
      </c>
      <c r="J1" s="631" t="s">
        <v>489</v>
      </c>
      <c r="K1" s="631" t="s">
        <v>658</v>
      </c>
      <c r="L1" s="630" t="s">
        <v>263</v>
      </c>
      <c r="M1" s="630" t="s">
        <v>582</v>
      </c>
      <c r="N1" s="630" t="s">
        <v>491</v>
      </c>
      <c r="O1" s="633" t="s">
        <v>349</v>
      </c>
      <c r="P1" s="633" t="s">
        <v>495</v>
      </c>
      <c r="Q1" s="779" t="s">
        <v>616</v>
      </c>
      <c r="R1" s="633" t="s">
        <v>497</v>
      </c>
      <c r="S1" s="633" t="s">
        <v>499</v>
      </c>
      <c r="T1" s="632" t="s">
        <v>500</v>
      </c>
      <c r="U1" s="633" t="s">
        <v>501</v>
      </c>
      <c r="V1" s="633" t="s">
        <v>502</v>
      </c>
      <c r="W1" s="633" t="s">
        <v>3</v>
      </c>
      <c r="X1" s="633" t="s">
        <v>552</v>
      </c>
      <c r="Y1" s="633" t="s">
        <v>615</v>
      </c>
      <c r="Z1" s="632" t="s">
        <v>5</v>
      </c>
      <c r="AA1" s="632" t="s">
        <v>6</v>
      </c>
      <c r="AB1" s="632" t="s">
        <v>507</v>
      </c>
      <c r="AC1" s="632" t="s">
        <v>508</v>
      </c>
      <c r="AD1" s="632" t="s">
        <v>510</v>
      </c>
      <c r="AE1" s="632" t="s">
        <v>511</v>
      </c>
      <c r="AF1" s="632" t="s">
        <v>512</v>
      </c>
      <c r="AG1" s="632" t="s">
        <v>4</v>
      </c>
      <c r="AH1" s="632" t="s">
        <v>7</v>
      </c>
      <c r="AI1" s="633" t="s">
        <v>618</v>
      </c>
      <c r="AJ1" s="633" t="s">
        <v>617</v>
      </c>
      <c r="AK1" s="633" t="s">
        <v>619</v>
      </c>
      <c r="AL1" s="633" t="s">
        <v>620</v>
      </c>
      <c r="AM1" s="633" t="s">
        <v>557</v>
      </c>
      <c r="AN1" s="779" t="s">
        <v>520</v>
      </c>
      <c r="AO1" s="808" t="s">
        <v>583</v>
      </c>
      <c r="AP1" s="808" t="s">
        <v>724</v>
      </c>
    </row>
    <row r="2" spans="1:42">
      <c r="A2" s="636">
        <v>1</v>
      </c>
      <c r="B2" s="637" t="s">
        <v>727</v>
      </c>
      <c r="C2" s="803">
        <v>3</v>
      </c>
      <c r="D2" s="802" t="str">
        <f>VLOOKUP(C2,TABVACT,'f-travail'!$BG$2+1,FALSE)</f>
        <v>عون الوقاية من المستوى الأول</v>
      </c>
      <c r="E2" s="804" t="s">
        <v>568</v>
      </c>
      <c r="F2" s="805">
        <v>20</v>
      </c>
      <c r="G2" s="803" t="s">
        <v>542</v>
      </c>
      <c r="H2" s="804">
        <v>5</v>
      </c>
      <c r="I2" s="804">
        <v>2</v>
      </c>
      <c r="J2" s="803">
        <v>1</v>
      </c>
      <c r="K2" s="803"/>
      <c r="L2" s="780">
        <v>253532</v>
      </c>
      <c r="M2" s="803"/>
      <c r="N2" s="803" t="s">
        <v>561</v>
      </c>
      <c r="O2" s="670" t="str">
        <f>VLOOKUP(C2,TABVACT,'f-travail'!$BG$2+5,FALSE)</f>
        <v>د 5</v>
      </c>
      <c r="P2" s="670">
        <f>VLOOKUP(C2,TABVACT,'f-travail'!$BG$2+6,FALSE)</f>
        <v>288</v>
      </c>
      <c r="Q2" s="811" t="str">
        <f t="shared" ref="Q2:Q33" si="0">IF(OR(F2="",F2=0),"",CONCATENATE(F2," X 1,40% "))</f>
        <v xml:space="preserve">20 X 1,40% </v>
      </c>
      <c r="R2" s="677" t="str">
        <f>IF(OR(G2="متزوج(ة)",G2="متزوج(ة)ماكثة",G2="متزوج(ة)عاملة"),(CONCATENATE("م","(",H2,")")),IF(G2="مطلق(ة)",(CONCATENATE("مط","(",H2,")")),IF(G2="عازب(ة)","ع",IF(G2="عازب(ة)كفيل",CONCATENATE("ع/ك","(",H2,")")))))</f>
        <v>م(5)</v>
      </c>
      <c r="S2" s="678">
        <f>IF(AND(G2="متزوج(ة)ماكثة",H2=0),5.5,IF(AND(G2="متزوج(ة)ماكثة",H2&gt;0),800,0))</f>
        <v>800</v>
      </c>
      <c r="T2" s="673">
        <f>IF(I2&gt;3,(3*11.25),I2*11.25)</f>
        <v>22.5</v>
      </c>
      <c r="U2" s="678">
        <f>T2+(H2*300)+S2</f>
        <v>2322.5</v>
      </c>
      <c r="V2" s="675"/>
      <c r="W2" s="675"/>
      <c r="X2" s="678">
        <f>IF(E2="ك",ROUND((P2*45),2),IF(E2="ج",ROUND((51.92*AO2),2)))</f>
        <v>12960</v>
      </c>
      <c r="Y2" s="807">
        <f>IF(E2="ك",ROUND((X2*1.4%)*F2,2),IF(E2="ج",ROUND(((51.92*F2)*1.4%),2)))</f>
        <v>3628.8</v>
      </c>
      <c r="Z2" s="673">
        <f>IF(E2="ك",VLOOKUP(C2,TABVACT,'f-travail'!$BG$2+9,FALSE),IF(E2="ج",0))</f>
        <v>833</v>
      </c>
      <c r="AA2" s="673">
        <f>IF(E2="ك",VLOOKUP(C2,TABVACT,'f-travail'!$BG$2+10,FALSE),IF(E2="ج",ROUND((44.42)*AO2,2)))</f>
        <v>5700</v>
      </c>
      <c r="AB2" s="673">
        <f>IF(E2="ك",ROUND(VLOOKUP(C2,TABVACT,'f-travail'!$BG$2+11,FALSE)*(X2+Y2),2),IF(E2="ج",ROUND(((Y2+51.92)*VLOOKUP(C2,TABVACT,'f-travail'!$BG$2+11,FALSE)*AO2),2)))</f>
        <v>0</v>
      </c>
      <c r="AC2" s="673">
        <f>IF(E2="ك",ROUND(VLOOKUP(C2,TABVACT,'f-travail'!$BG$2+12,FALSE)*(X2+Y2),2),IF(E2="ج",ROUND(((Y2+51.92)*VLOOKUP(C2,TABVACT,'f-travail'!$BG$2+12,FALSE)*AO2),2)))</f>
        <v>0</v>
      </c>
      <c r="AD2" s="673">
        <f>IF(E2="ك",ROUND(VLOOKUP(C2,TABVACT,'f-travail'!$BG$2+13,FALSE)*(X2+Y2),2),IF(E2="ج",ROUND(((Y2+51.92)*VLOOKUP(C2,TABVACT,'f-travail'!$BG$2+13,FALSE)*AO2),2)))</f>
        <v>4147.2</v>
      </c>
      <c r="AE2" s="673">
        <f>IF(E2="ك",ROUND(VLOOKUP(C2,TABVACT,'f-travail'!$BG$2+14,FALSE)*(X2+Y2),2),IF(E2="ج",ROUND(((Y2+51.92)*VLOOKUP(C2,TABVACT,'f-travail'!$BG$2+14,FALSE)*AO2),2)))</f>
        <v>1658.88</v>
      </c>
      <c r="AF2" s="673">
        <f>IF(E2="ك",ROUND(VLOOKUP(C2,TABVACT,'f-travail'!$BG$2+15,FALSE)*(X2+Y2),2),IF(E2="ج",ROUND(((Y2+51.92)*VLOOKUP(C2,TABVACT,'f-travail'!$BG$2+15,FALSE)*AO2),2)))</f>
        <v>3317.76</v>
      </c>
      <c r="AG2" s="673">
        <f>IF( E2="ك",ROUND((Y2+X2+W2+V2),2),IF(E2="ج",ROUND((((Y2+W2+V2)*AO2)+X2),2)))</f>
        <v>16588.8</v>
      </c>
      <c r="AH2" s="673">
        <f>ROUND(SUM(Z2:AG2,U2),2)</f>
        <v>34568.14</v>
      </c>
      <c r="AI2" s="673">
        <f>ROUND((AH2-S2),2)</f>
        <v>33768.14</v>
      </c>
      <c r="AJ2" s="673">
        <f>ROUND(AI2*9%,2)</f>
        <v>3039.13</v>
      </c>
      <c r="AK2" s="674">
        <f>IF((ROUNDDOWN(((AI2)-AJ2-Z2),-1))&lt;15000,0,(ROUNDDOWN(((AI2)-AJ2-Z2),-1)))</f>
        <v>29890</v>
      </c>
      <c r="AL2" s="673">
        <f>IF(AK2=0,0,(IF((AK2&gt;1500),(IF(OR(AK2&gt;22500),IF(AND(AK2&gt;22500),(AK2-22500)*12%)+IF(AND(AK2&gt;28750),(AK2-28750)*8%)+IF(AND(AK2&gt;30000),(AK2-30000)*10%)+1500,IF(AND((AK2&gt;1500),(AK2&lt;=22500)),(AK2-15000)*20%))),0)/2))</f>
        <v>1239</v>
      </c>
      <c r="AM2" s="673">
        <f>IF(J2=1,ROUND((AI2)*1.5%,2),0)</f>
        <v>506.52</v>
      </c>
      <c r="AN2" s="810" t="str">
        <f>IF(AND(H2&gt;0,(OR(G2="متزوج(ة)",G2="متزوج(ة)ماكثة",G2="متزوج(ة)عاملة"))),CONCATENATE("متزوج (ة) /"," ",H2," طفل"),IF(AND(H2=0,(OR(G2="متزوج(ة)",G2="متزوج(ة)ماكثة",G2="متزوج(ة)عاملة"))),("متزوج (ة) "),IF(G2="عازب(ة)كفيل",CONCATENATE("عازب(ة)كفيل /"," ",H2," أخوة"),IF(AND(H2&gt;0,G2="مطلق(ة)"),CONCATENATE("مطلق (ة) /"," ",H2," طفل"),IF(AND(H2=0,G2="مطلق(ة)"),"مطلق (ة)","عازب(ة)")))))</f>
        <v>متزوج (ة) / 5 طفل</v>
      </c>
      <c r="AO2" s="817">
        <f>LOOKUP(الرئيسية!$N$8,'ورقة العمل'!$T$1:$T$13,'ورقة العمل'!$V$1:$V$13)</f>
        <v>105</v>
      </c>
      <c r="AP2" s="642" t="s">
        <v>756</v>
      </c>
    </row>
    <row r="3" spans="1:42">
      <c r="A3" s="636">
        <f>A2+1</f>
        <v>2</v>
      </c>
      <c r="B3" s="637" t="s">
        <v>728</v>
      </c>
      <c r="C3" s="803">
        <v>3</v>
      </c>
      <c r="D3" s="802" t="str">
        <f>VLOOKUP(C3,TABVACT,'f-travail'!$BG$2+1,FALSE)</f>
        <v>عون الوقاية من المستوى الأول</v>
      </c>
      <c r="E3" s="804" t="s">
        <v>568</v>
      </c>
      <c r="F3" s="805">
        <v>11</v>
      </c>
      <c r="G3" s="803" t="s">
        <v>542</v>
      </c>
      <c r="H3" s="804">
        <v>6</v>
      </c>
      <c r="I3" s="804"/>
      <c r="J3" s="803">
        <v>0</v>
      </c>
      <c r="K3" s="803"/>
      <c r="L3" s="780">
        <v>12214</v>
      </c>
      <c r="M3" s="803"/>
      <c r="N3" s="803" t="s">
        <v>550</v>
      </c>
      <c r="O3" s="670" t="str">
        <f>VLOOKUP(C3,TABVACT,'f-travail'!$BG$2+5,FALSE)</f>
        <v>د 5</v>
      </c>
      <c r="P3" s="670">
        <f>VLOOKUP(C3,TABVACT,'f-travail'!$BG$2+6,FALSE)</f>
        <v>288</v>
      </c>
      <c r="Q3" s="811" t="str">
        <f t="shared" si="0"/>
        <v xml:space="preserve">11 X 1,40% </v>
      </c>
      <c r="R3" s="677" t="str">
        <f t="shared" ref="R3:R9" si="1">IF(OR(G3="متزوج(ة)",G3="متزوج(ة)ماكثة",G3="متزوج(ة)عاملة"),(CONCATENATE("م","(",H3,")")),IF(G3="مطلق(ة)",(CONCATENATE("مط","(",H3,")")),IF(G3="عازب(ة)","ع",IF(G3="عازب(ة)كفيل",CONCATENATE("ع/ك","(",H3,")")))))</f>
        <v>م(6)</v>
      </c>
      <c r="S3" s="678">
        <f t="shared" ref="S3:S66" si="2">IF(AND(G3="متزوج(ة)ماكثة",H3=0),5.5,IF(AND(G3="متزوج(ة)ماكثة",H3&gt;0),800,0))</f>
        <v>800</v>
      </c>
      <c r="T3" s="673">
        <f t="shared" ref="T3:T66" si="3">IF(I3&gt;3,(3*11.25),I3*11.25)</f>
        <v>0</v>
      </c>
      <c r="U3" s="678">
        <f t="shared" ref="U3:U66" si="4">T3+(H3*300)+S3</f>
        <v>2600</v>
      </c>
      <c r="V3" s="675"/>
      <c r="W3" s="675"/>
      <c r="X3" s="678">
        <f t="shared" ref="X3:X66" si="5">IF(E3="ك",ROUND((P3*45),2),IF(E3="ج",ROUND((51.92*AO3),2)))</f>
        <v>12960</v>
      </c>
      <c r="Y3" s="807">
        <f t="shared" ref="Y3:Y66" si="6">IF(E3="ك",ROUND((X3*1.4%)*F3,2),IF(E3="ج",ROUND(((51.92*F3)*1.4%),2)))</f>
        <v>1995.84</v>
      </c>
      <c r="Z3" s="673">
        <f>IF(E3="ك",VLOOKUP(C3,TABVACT,'f-travail'!$BG$2+9,FALSE),IF(E3="ج",0))</f>
        <v>833</v>
      </c>
      <c r="AA3" s="673">
        <f>IF(E3="ك",VLOOKUP(C3,TABVACT,'f-travail'!$BG$2+10,FALSE),IF(E3="ج",ROUND((44.42)*AO3,2)))</f>
        <v>5700</v>
      </c>
      <c r="AB3" s="673">
        <f>IF(E3="ك",ROUND(VLOOKUP(C3,TABVACT,'f-travail'!$BG$2+11,FALSE)*(X3+Y3),2),IF(E3="ج",ROUND(((Y3+51.92)*VLOOKUP(C3,TABVACT,'f-travail'!$BG$2+11,FALSE)*AO3),2)))</f>
        <v>0</v>
      </c>
      <c r="AC3" s="673">
        <f>IF(E3="ك",ROUND(VLOOKUP(C3,TABVACT,'f-travail'!$BG$2+12,FALSE)*(X3+Y3),2),IF(E3="ج",ROUND(((Y3+51.92)*VLOOKUP(C3,TABVACT,'f-travail'!$BG$2+12,FALSE)*AO3),2)))</f>
        <v>0</v>
      </c>
      <c r="AD3" s="673">
        <f>IF(E3="ك",ROUND(VLOOKUP(C3,TABVACT,'f-travail'!$BG$2+13,FALSE)*(X3+Y3),2),IF(E3="ج",ROUND(((Y3+51.92)*VLOOKUP(C3,TABVACT,'f-travail'!$BG$2+13,FALSE)*AO3),2)))</f>
        <v>3738.96</v>
      </c>
      <c r="AE3" s="673">
        <f>IF(E3="ك",ROUND(VLOOKUP(C3,TABVACT,'f-travail'!$BG$2+14,FALSE)*(X3+Y3),2),IF(E3="ج",ROUND(((Y3+51.92)*VLOOKUP(C3,TABVACT,'f-travail'!$BG$2+14,FALSE)*AO3),2)))</f>
        <v>1495.58</v>
      </c>
      <c r="AF3" s="673">
        <f>IF(E3="ك",ROUND(VLOOKUP(C3,TABVACT,'f-travail'!$BG$2+15,FALSE)*(X3+Y3),2),IF(E3="ج",ROUND(((Y3+51.92)*VLOOKUP(C3,TABVACT,'f-travail'!$BG$2+15,FALSE)*AO3),2)))</f>
        <v>2991.17</v>
      </c>
      <c r="AG3" s="673">
        <f t="shared" ref="AG3:AG66" si="7">IF( E3="ك",ROUND((Y3+X3+W3+V3),2),IF(E3="ج",ROUND((((Y3+W3+V3)*AO3)+X3),2)))</f>
        <v>14955.84</v>
      </c>
      <c r="AH3" s="673">
        <f t="shared" ref="AH3:AH66" si="8">ROUND(SUM(Z3:AG3,U3),2)</f>
        <v>32314.55</v>
      </c>
      <c r="AI3" s="673">
        <f t="shared" ref="AI3:AI66" si="9">ROUND((AH3-S3),2)</f>
        <v>31514.55</v>
      </c>
      <c r="AJ3" s="673">
        <f t="shared" ref="AJ3:AJ66" si="10">ROUND(AI3*9%,2)</f>
        <v>2836.31</v>
      </c>
      <c r="AK3" s="674">
        <f t="shared" ref="AK3:AK66" si="11">IF((ROUNDDOWN(((AI3)-AJ3-Z3),-1))&lt;15000,0,(ROUNDDOWN(((AI3)-AJ3-Z3),-1)))</f>
        <v>27840</v>
      </c>
      <c r="AL3" s="673">
        <f t="shared" ref="AL3:AL66" si="12">IF(AK3=0,0,(IF((AK3&gt;1500),(IF(OR(AK3&gt;22500),IF(AND(AK3&gt;22500),(AK3-22500)*12%)+IF(AND(AK3&gt;28750),(AK3-28750)*8%)+IF(AND(AK3&gt;30000),(AK3-30000)*10%)+1500,IF(AND((AK3&gt;1500),(AK3&lt;=22500)),(AK3-15000)*20%))),0)/2))</f>
        <v>1070.4000000000001</v>
      </c>
      <c r="AM3" s="673">
        <f t="shared" ref="AM3:AM66" si="13">IF(J3=1,ROUND((AI3)*1.5%,2),0)</f>
        <v>0</v>
      </c>
      <c r="AN3" s="810" t="str">
        <f t="shared" ref="AN3:AN66" si="14">IF(AND(H3&gt;0,(OR(G3="متزوج(ة)",G3="متزوج(ة)ماكثة",G3="متزوج(ة)عاملة"))),CONCATENATE("متزوج (ة) /"," ",H3," طفل"),IF(AND(H3=0,(OR(G3="متزوج(ة)",G3="متزوج(ة)ماكثة",G3="متزوج(ة)عاملة"))),("متزوج (ة) "),IF(G3="عازب(ة)كفيل",CONCATENATE("عازب(ة)كفيل /"," ",H3," أخوة"),IF(AND(H3&gt;0,G3="مطلق(ة)"),CONCATENATE("مطلق (ة) /"," ",H3," طفل"),IF(AND(H3=0,G3="مطلق(ة)"),"مطلق (ة)","عازب(ة)")))))</f>
        <v>متزوج (ة) / 6 طفل</v>
      </c>
      <c r="AO3" s="817">
        <f>LOOKUP(الرئيسية!$N$8,'ورقة العمل'!$T$1:$T$13,'ورقة العمل'!$V$1:$V$13)</f>
        <v>105</v>
      </c>
      <c r="AP3" s="642" t="s">
        <v>757</v>
      </c>
    </row>
    <row r="4" spans="1:42">
      <c r="A4" s="636">
        <f t="shared" ref="A4:A67" si="15">A3+1</f>
        <v>3</v>
      </c>
      <c r="B4" s="637" t="s">
        <v>729</v>
      </c>
      <c r="C4" s="803">
        <v>10</v>
      </c>
      <c r="D4" s="802" t="str">
        <f>VLOOKUP(C4,TABVACT,'f-travail'!$BG$2+1,FALSE)</f>
        <v>سائق سيارة من المستوى الأول</v>
      </c>
      <c r="E4" s="804" t="s">
        <v>568</v>
      </c>
      <c r="F4" s="804">
        <v>7</v>
      </c>
      <c r="G4" s="803" t="s">
        <v>542</v>
      </c>
      <c r="H4" s="804">
        <v>7</v>
      </c>
      <c r="I4" s="804">
        <v>1</v>
      </c>
      <c r="J4" s="803">
        <v>0</v>
      </c>
      <c r="K4" s="803"/>
      <c r="L4" s="780">
        <v>122121</v>
      </c>
      <c r="M4" s="803"/>
      <c r="N4" s="803" t="s">
        <v>562</v>
      </c>
      <c r="O4" s="670" t="str">
        <f>VLOOKUP(C4,TABVACT,'f-travail'!$BG$2+5,FALSE)</f>
        <v>د 2</v>
      </c>
      <c r="P4" s="670">
        <f>VLOOKUP(C4,TABVACT,'f-travail'!$BG$2+6,FALSE)</f>
        <v>219</v>
      </c>
      <c r="Q4" s="811" t="str">
        <f t="shared" si="0"/>
        <v xml:space="preserve">7 X 1,40% </v>
      </c>
      <c r="R4" s="677" t="str">
        <f t="shared" si="1"/>
        <v>م(7)</v>
      </c>
      <c r="S4" s="678">
        <f t="shared" si="2"/>
        <v>800</v>
      </c>
      <c r="T4" s="673">
        <f t="shared" si="3"/>
        <v>11.25</v>
      </c>
      <c r="U4" s="678">
        <f t="shared" si="4"/>
        <v>2911.25</v>
      </c>
      <c r="V4" s="675"/>
      <c r="W4" s="675"/>
      <c r="X4" s="678">
        <f t="shared" si="5"/>
        <v>9855</v>
      </c>
      <c r="Y4" s="807">
        <f t="shared" si="6"/>
        <v>965.79</v>
      </c>
      <c r="Z4" s="673">
        <f>IF(E4="ك",VLOOKUP(C4,TABVACT,'f-travail'!$BG$2+9,FALSE),IF(E4="ج",0))</f>
        <v>913.5</v>
      </c>
      <c r="AA4" s="673">
        <f>IF(E4="ك",VLOOKUP(C4,TABVACT,'f-travail'!$BG$2+10,FALSE),IF(E4="ج",ROUND((44.42)*AO4,2)))</f>
        <v>7400</v>
      </c>
      <c r="AB4" s="673">
        <f>IF(E4="ك",ROUND(VLOOKUP(C4,TABVACT,'f-travail'!$BG$2+11,FALSE)*(X4+Y4),2),IF(E4="ج",ROUND(((Y4+51.92)*VLOOKUP(C4,TABVACT,'f-travail'!$BG$2+11,FALSE)*AO4),2)))</f>
        <v>0</v>
      </c>
      <c r="AC4" s="673">
        <f>IF(E4="ك",ROUND(VLOOKUP(C4,TABVACT,'f-travail'!$BG$2+12,FALSE)*(X4+Y4),2),IF(E4="ج",ROUND(((Y4+51.92)*VLOOKUP(C4,TABVACT,'f-travail'!$BG$2+12,FALSE)*AO4),2)))</f>
        <v>2705.2</v>
      </c>
      <c r="AD4" s="673">
        <f>IF(E4="ك",ROUND(VLOOKUP(C4,TABVACT,'f-travail'!$BG$2+13,FALSE)*(X4+Y4),2),IF(E4="ج",ROUND(((Y4+51.92)*VLOOKUP(C4,TABVACT,'f-travail'!$BG$2+13,FALSE)*AO4),2)))</f>
        <v>0</v>
      </c>
      <c r="AE4" s="673">
        <f>IF(E4="ك",ROUND(VLOOKUP(C4,TABVACT,'f-travail'!$BG$2+14,FALSE)*(X4+Y4),2),IF(E4="ج",ROUND(((Y4+51.92)*VLOOKUP(C4,TABVACT,'f-travail'!$BG$2+14,FALSE)*AO4),2)))</f>
        <v>1082.08</v>
      </c>
      <c r="AF4" s="673">
        <f>IF(E4="ك",ROUND(VLOOKUP(C4,TABVACT,'f-travail'!$BG$2+15,FALSE)*(X4+Y4),2),IF(E4="ج",ROUND(((Y4+51.92)*VLOOKUP(C4,TABVACT,'f-travail'!$BG$2+15,FALSE)*AO4),2)))</f>
        <v>2164.16</v>
      </c>
      <c r="AG4" s="673">
        <f t="shared" si="7"/>
        <v>10820.79</v>
      </c>
      <c r="AH4" s="673">
        <f t="shared" si="8"/>
        <v>27996.98</v>
      </c>
      <c r="AI4" s="673">
        <f t="shared" si="9"/>
        <v>27196.98</v>
      </c>
      <c r="AJ4" s="673">
        <f t="shared" si="10"/>
        <v>2447.73</v>
      </c>
      <c r="AK4" s="674">
        <f t="shared" si="11"/>
        <v>23830</v>
      </c>
      <c r="AL4" s="673">
        <f t="shared" si="12"/>
        <v>829.8</v>
      </c>
      <c r="AM4" s="673">
        <f t="shared" si="13"/>
        <v>0</v>
      </c>
      <c r="AN4" s="810" t="str">
        <f t="shared" si="14"/>
        <v>متزوج (ة) / 7 طفل</v>
      </c>
      <c r="AO4" s="817">
        <f>LOOKUP(الرئيسية!$N$8,'ورقة العمل'!$T$1:$T$13,'ورقة العمل'!$V$1:$V$13)</f>
        <v>105</v>
      </c>
      <c r="AP4" s="642" t="s">
        <v>758</v>
      </c>
    </row>
    <row r="5" spans="1:42">
      <c r="A5" s="636">
        <f t="shared" si="15"/>
        <v>4</v>
      </c>
      <c r="B5" s="637" t="s">
        <v>730</v>
      </c>
      <c r="C5" s="803">
        <v>10</v>
      </c>
      <c r="D5" s="802" t="str">
        <f>VLOOKUP(C5,TABVACT,'f-travail'!$BG$2+1,FALSE)</f>
        <v>سائق سيارة من المستوى الأول</v>
      </c>
      <c r="E5" s="804" t="s">
        <v>568</v>
      </c>
      <c r="F5" s="806"/>
      <c r="G5" s="803" t="s">
        <v>542</v>
      </c>
      <c r="H5" s="804">
        <v>4</v>
      </c>
      <c r="I5" s="804"/>
      <c r="J5" s="803">
        <v>0</v>
      </c>
      <c r="K5" s="803"/>
      <c r="L5" s="780">
        <v>21245</v>
      </c>
      <c r="M5" s="803"/>
      <c r="N5" s="803" t="s">
        <v>562</v>
      </c>
      <c r="O5" s="670" t="str">
        <f>VLOOKUP(C5,TABVACT,'f-travail'!$BG$2+5,FALSE)</f>
        <v>د 2</v>
      </c>
      <c r="P5" s="670">
        <f>VLOOKUP(C5,TABVACT,'f-travail'!$BG$2+6,FALSE)</f>
        <v>219</v>
      </c>
      <c r="Q5" s="811" t="str">
        <f t="shared" si="0"/>
        <v/>
      </c>
      <c r="R5" s="677" t="str">
        <f t="shared" si="1"/>
        <v>م(4)</v>
      </c>
      <c r="S5" s="678">
        <f t="shared" si="2"/>
        <v>800</v>
      </c>
      <c r="T5" s="673">
        <f t="shared" si="3"/>
        <v>0</v>
      </c>
      <c r="U5" s="678">
        <f t="shared" si="4"/>
        <v>2000</v>
      </c>
      <c r="V5" s="675"/>
      <c r="W5" s="675"/>
      <c r="X5" s="678">
        <f t="shared" si="5"/>
        <v>9855</v>
      </c>
      <c r="Y5" s="807">
        <f t="shared" si="6"/>
        <v>0</v>
      </c>
      <c r="Z5" s="673">
        <f>IF(E5="ك",VLOOKUP(C5,TABVACT,'f-travail'!$BG$2+9,FALSE),IF(E5="ج",0))</f>
        <v>913.5</v>
      </c>
      <c r="AA5" s="673">
        <f>IF(E5="ك",VLOOKUP(C5,TABVACT,'f-travail'!$BG$2+10,FALSE),IF(E5="ج",ROUND((44.42)*AO5,2)))</f>
        <v>7400</v>
      </c>
      <c r="AB5" s="673">
        <f>IF(E5="ك",ROUND(VLOOKUP(C5,TABVACT,'f-travail'!$BG$2+11,FALSE)*(X5+Y5),2),IF(E5="ج",ROUND(((Y5+51.92)*VLOOKUP(C5,TABVACT,'f-travail'!$BG$2+11,FALSE)*AO5),2)))</f>
        <v>0</v>
      </c>
      <c r="AC5" s="673">
        <f>IF(E5="ك",ROUND(VLOOKUP(C5,TABVACT,'f-travail'!$BG$2+12,FALSE)*(X5+Y5),2),IF(E5="ج",ROUND(((Y5+51.92)*VLOOKUP(C5,TABVACT,'f-travail'!$BG$2+12,FALSE)*AO5),2)))</f>
        <v>2463.75</v>
      </c>
      <c r="AD5" s="673">
        <f>IF(E5="ك",ROUND(VLOOKUP(C5,TABVACT,'f-travail'!$BG$2+13,FALSE)*(X5+Y5),2),IF(E5="ج",ROUND(((Y5+51.92)*VLOOKUP(C5,TABVACT,'f-travail'!$BG$2+13,FALSE)*AO5),2)))</f>
        <v>0</v>
      </c>
      <c r="AE5" s="673">
        <f>IF(E5="ك",ROUND(VLOOKUP(C5,TABVACT,'f-travail'!$BG$2+14,FALSE)*(X5+Y5),2),IF(E5="ج",ROUND(((Y5+51.92)*VLOOKUP(C5,TABVACT,'f-travail'!$BG$2+14,FALSE)*AO5),2)))</f>
        <v>985.5</v>
      </c>
      <c r="AF5" s="673">
        <f>IF(E5="ك",ROUND(VLOOKUP(C5,TABVACT,'f-travail'!$BG$2+15,FALSE)*(X5+Y5),2),IF(E5="ج",ROUND(((Y5+51.92)*VLOOKUP(C5,TABVACT,'f-travail'!$BG$2+15,FALSE)*AO5),2)))</f>
        <v>1971</v>
      </c>
      <c r="AG5" s="673">
        <f t="shared" si="7"/>
        <v>9855</v>
      </c>
      <c r="AH5" s="673">
        <f t="shared" si="8"/>
        <v>25588.75</v>
      </c>
      <c r="AI5" s="673">
        <f t="shared" si="9"/>
        <v>24788.75</v>
      </c>
      <c r="AJ5" s="673">
        <f t="shared" si="10"/>
        <v>2230.9899999999998</v>
      </c>
      <c r="AK5" s="674">
        <f t="shared" si="11"/>
        <v>21640</v>
      </c>
      <c r="AL5" s="673">
        <f t="shared" si="12"/>
        <v>664</v>
      </c>
      <c r="AM5" s="673">
        <f t="shared" si="13"/>
        <v>0</v>
      </c>
      <c r="AN5" s="810" t="str">
        <f t="shared" si="14"/>
        <v>متزوج (ة) / 4 طفل</v>
      </c>
      <c r="AO5" s="817">
        <f>LOOKUP(الرئيسية!$N$8,'ورقة العمل'!$T$1:$T$13,'ورقة العمل'!$V$1:$V$13)</f>
        <v>105</v>
      </c>
      <c r="AP5" s="642" t="s">
        <v>759</v>
      </c>
    </row>
    <row r="6" spans="1:42">
      <c r="A6" s="636">
        <f t="shared" si="15"/>
        <v>5</v>
      </c>
      <c r="B6" s="637" t="s">
        <v>731</v>
      </c>
      <c r="C6" s="803">
        <v>11</v>
      </c>
      <c r="D6" s="802" t="str">
        <f>VLOOKUP(C6,TABVACT,'f-travail'!$BG$2+1,FALSE)</f>
        <v>حارس</v>
      </c>
      <c r="E6" s="804" t="s">
        <v>568</v>
      </c>
      <c r="F6" s="805">
        <v>19</v>
      </c>
      <c r="G6" s="803" t="s">
        <v>542</v>
      </c>
      <c r="H6" s="804">
        <v>2</v>
      </c>
      <c r="I6" s="804">
        <v>2</v>
      </c>
      <c r="J6" s="803">
        <v>0</v>
      </c>
      <c r="K6" s="803"/>
      <c r="L6" s="780">
        <v>544534524</v>
      </c>
      <c r="M6" s="803"/>
      <c r="N6" s="803" t="s">
        <v>562</v>
      </c>
      <c r="O6" s="670" t="str">
        <f>VLOOKUP(C6,TABVACT,'f-travail'!$BG$2+5,FALSE)</f>
        <v>د 1</v>
      </c>
      <c r="P6" s="670">
        <f>VLOOKUP(C6,TABVACT,'f-travail'!$BG$2+6,FALSE)</f>
        <v>200</v>
      </c>
      <c r="Q6" s="811" t="str">
        <f t="shared" si="0"/>
        <v xml:space="preserve">19 X 1,40% </v>
      </c>
      <c r="R6" s="677" t="str">
        <f t="shared" si="1"/>
        <v>م(2)</v>
      </c>
      <c r="S6" s="678">
        <f t="shared" si="2"/>
        <v>800</v>
      </c>
      <c r="T6" s="673">
        <f t="shared" si="3"/>
        <v>22.5</v>
      </c>
      <c r="U6" s="678">
        <f t="shared" si="4"/>
        <v>1422.5</v>
      </c>
      <c r="V6" s="675"/>
      <c r="W6" s="675"/>
      <c r="X6" s="678">
        <f t="shared" si="5"/>
        <v>9000</v>
      </c>
      <c r="Y6" s="807">
        <f t="shared" si="6"/>
        <v>2394</v>
      </c>
      <c r="Z6" s="673">
        <f>IF(E6="ك",VLOOKUP(C6,TABVACT,'f-travail'!$BG$2+9,FALSE),IF(E6="ج",0))</f>
        <v>714</v>
      </c>
      <c r="AA6" s="673">
        <f>IF(E6="ك",VLOOKUP(C6,TABVACT,'f-travail'!$BG$2+10,FALSE),IF(E6="ج",ROUND((44.42)*AO6,2)))</f>
        <v>7700</v>
      </c>
      <c r="AB6" s="673">
        <f>IF(E6="ك",ROUND(VLOOKUP(C6,TABVACT,'f-travail'!$BG$2+11,FALSE)*(X6+Y6),2),IF(E6="ج",ROUND(((Y6+51.92)*VLOOKUP(C6,TABVACT,'f-travail'!$BG$2+11,FALSE)*AO6),2)))</f>
        <v>0</v>
      </c>
      <c r="AC6" s="673">
        <f>IF(E6="ك",ROUND(VLOOKUP(C6,TABVACT,'f-travail'!$BG$2+12,FALSE)*(X6+Y6),2),IF(E6="ج",ROUND(((Y6+51.92)*VLOOKUP(C6,TABVACT,'f-travail'!$BG$2+12,FALSE)*AO6),2)))</f>
        <v>2848.5</v>
      </c>
      <c r="AD6" s="673">
        <f>IF(E6="ك",ROUND(VLOOKUP(C6,TABVACT,'f-travail'!$BG$2+13,FALSE)*(X6+Y6),2),IF(E6="ج",ROUND(((Y6+51.92)*VLOOKUP(C6,TABVACT,'f-travail'!$BG$2+13,FALSE)*AO6),2)))</f>
        <v>0</v>
      </c>
      <c r="AE6" s="673">
        <f>IF(E6="ك",ROUND(VLOOKUP(C6,TABVACT,'f-travail'!$BG$2+14,FALSE)*(X6+Y6),2),IF(E6="ج",ROUND(((Y6+51.92)*VLOOKUP(C6,TABVACT,'f-travail'!$BG$2+14,FALSE)*AO6),2)))</f>
        <v>1139.4000000000001</v>
      </c>
      <c r="AF6" s="673">
        <f>IF(E6="ك",ROUND(VLOOKUP(C6,TABVACT,'f-travail'!$BG$2+15,FALSE)*(X6+Y6),2),IF(E6="ج",ROUND(((Y6+51.92)*VLOOKUP(C6,TABVACT,'f-travail'!$BG$2+15,FALSE)*AO6),2)))</f>
        <v>2278.8000000000002</v>
      </c>
      <c r="AG6" s="673">
        <f t="shared" si="7"/>
        <v>11394</v>
      </c>
      <c r="AH6" s="673">
        <f t="shared" si="8"/>
        <v>27497.200000000001</v>
      </c>
      <c r="AI6" s="673">
        <f t="shared" si="9"/>
        <v>26697.200000000001</v>
      </c>
      <c r="AJ6" s="673">
        <f t="shared" si="10"/>
        <v>2402.75</v>
      </c>
      <c r="AK6" s="674">
        <f t="shared" si="11"/>
        <v>23580</v>
      </c>
      <c r="AL6" s="673">
        <f t="shared" si="12"/>
        <v>814.8</v>
      </c>
      <c r="AM6" s="673">
        <f t="shared" si="13"/>
        <v>0</v>
      </c>
      <c r="AN6" s="810" t="str">
        <f t="shared" si="14"/>
        <v>متزوج (ة) / 2 طفل</v>
      </c>
      <c r="AO6" s="817">
        <f>LOOKUP(الرئيسية!$N$8,'ورقة العمل'!$T$1:$T$13,'ورقة العمل'!$V$1:$V$13)</f>
        <v>105</v>
      </c>
      <c r="AP6" s="642" t="s">
        <v>760</v>
      </c>
    </row>
    <row r="7" spans="1:42">
      <c r="A7" s="636">
        <f t="shared" si="15"/>
        <v>6</v>
      </c>
      <c r="B7" s="637" t="s">
        <v>732</v>
      </c>
      <c r="C7" s="803">
        <v>11</v>
      </c>
      <c r="D7" s="802" t="str">
        <f>VLOOKUP(C7,TABVACT,'f-travail'!$BG$2+1,FALSE)</f>
        <v>حارس</v>
      </c>
      <c r="E7" s="804" t="s">
        <v>568</v>
      </c>
      <c r="F7" s="805">
        <v>20</v>
      </c>
      <c r="G7" s="803" t="s">
        <v>542</v>
      </c>
      <c r="H7" s="804">
        <v>1</v>
      </c>
      <c r="I7" s="804"/>
      <c r="J7" s="803">
        <v>0</v>
      </c>
      <c r="K7" s="803"/>
      <c r="L7" s="780">
        <v>54454</v>
      </c>
      <c r="M7" s="803"/>
      <c r="N7" s="803" t="s">
        <v>561</v>
      </c>
      <c r="O7" s="670" t="str">
        <f>VLOOKUP(C7,TABVACT,'f-travail'!$BG$2+5,FALSE)</f>
        <v>د 1</v>
      </c>
      <c r="P7" s="670">
        <f>VLOOKUP(C7,TABVACT,'f-travail'!$BG$2+6,FALSE)</f>
        <v>200</v>
      </c>
      <c r="Q7" s="811" t="str">
        <f t="shared" si="0"/>
        <v xml:space="preserve">20 X 1,40% </v>
      </c>
      <c r="R7" s="677" t="str">
        <f t="shared" si="1"/>
        <v>م(1)</v>
      </c>
      <c r="S7" s="678">
        <f t="shared" si="2"/>
        <v>800</v>
      </c>
      <c r="T7" s="673">
        <f t="shared" si="3"/>
        <v>0</v>
      </c>
      <c r="U7" s="678">
        <f t="shared" si="4"/>
        <v>1100</v>
      </c>
      <c r="V7" s="675"/>
      <c r="W7" s="675"/>
      <c r="X7" s="678">
        <f t="shared" si="5"/>
        <v>9000</v>
      </c>
      <c r="Y7" s="807">
        <f t="shared" si="6"/>
        <v>2520</v>
      </c>
      <c r="Z7" s="673">
        <f>IF(E7="ك",VLOOKUP(C7,TABVACT,'f-travail'!$BG$2+9,FALSE),IF(E7="ج",0))</f>
        <v>714</v>
      </c>
      <c r="AA7" s="673">
        <f>IF(E7="ك",VLOOKUP(C7,TABVACT,'f-travail'!$BG$2+10,FALSE),IF(E7="ج",ROUND((44.42)*AO7,2)))</f>
        <v>7700</v>
      </c>
      <c r="AB7" s="673">
        <f>IF(E7="ك",ROUND(VLOOKUP(C7,TABVACT,'f-travail'!$BG$2+11,FALSE)*(X7+Y7),2),IF(E7="ج",ROUND(((Y7+51.92)*VLOOKUP(C7,TABVACT,'f-travail'!$BG$2+11,FALSE)*AO7),2)))</f>
        <v>0</v>
      </c>
      <c r="AC7" s="673">
        <f>IF(E7="ك",ROUND(VLOOKUP(C7,TABVACT,'f-travail'!$BG$2+12,FALSE)*(X7+Y7),2),IF(E7="ج",ROUND(((Y7+51.92)*VLOOKUP(C7,TABVACT,'f-travail'!$BG$2+12,FALSE)*AO7),2)))</f>
        <v>2880</v>
      </c>
      <c r="AD7" s="673">
        <f>IF(E7="ك",ROUND(VLOOKUP(C7,TABVACT,'f-travail'!$BG$2+13,FALSE)*(X7+Y7),2),IF(E7="ج",ROUND(((Y7+51.92)*VLOOKUP(C7,TABVACT,'f-travail'!$BG$2+13,FALSE)*AO7),2)))</f>
        <v>0</v>
      </c>
      <c r="AE7" s="673">
        <f>IF(E7="ك",ROUND(VLOOKUP(C7,TABVACT,'f-travail'!$BG$2+14,FALSE)*(X7+Y7),2),IF(E7="ج",ROUND(((Y7+51.92)*VLOOKUP(C7,TABVACT,'f-travail'!$BG$2+14,FALSE)*AO7),2)))</f>
        <v>1152</v>
      </c>
      <c r="AF7" s="673">
        <f>IF(E7="ك",ROUND(VLOOKUP(C7,TABVACT,'f-travail'!$BG$2+15,FALSE)*(X7+Y7),2),IF(E7="ج",ROUND(((Y7+51.92)*VLOOKUP(C7,TABVACT,'f-travail'!$BG$2+15,FALSE)*AO7),2)))</f>
        <v>2304</v>
      </c>
      <c r="AG7" s="673">
        <f t="shared" si="7"/>
        <v>11520</v>
      </c>
      <c r="AH7" s="673">
        <f t="shared" si="8"/>
        <v>27370</v>
      </c>
      <c r="AI7" s="673">
        <f t="shared" si="9"/>
        <v>26570</v>
      </c>
      <c r="AJ7" s="673">
        <f t="shared" si="10"/>
        <v>2391.3000000000002</v>
      </c>
      <c r="AK7" s="674">
        <f t="shared" si="11"/>
        <v>23460</v>
      </c>
      <c r="AL7" s="673">
        <f t="shared" si="12"/>
        <v>807.6</v>
      </c>
      <c r="AM7" s="673">
        <f t="shared" si="13"/>
        <v>0</v>
      </c>
      <c r="AN7" s="810" t="str">
        <f t="shared" si="14"/>
        <v>متزوج (ة) / 1 طفل</v>
      </c>
      <c r="AO7" s="817">
        <f>LOOKUP(الرئيسية!$N$8,'ورقة العمل'!$T$1:$T$13,'ورقة العمل'!$V$1:$V$13)</f>
        <v>105</v>
      </c>
      <c r="AP7" s="642" t="s">
        <v>760</v>
      </c>
    </row>
    <row r="8" spans="1:42">
      <c r="A8" s="636">
        <f t="shared" si="15"/>
        <v>7</v>
      </c>
      <c r="B8" s="637" t="s">
        <v>733</v>
      </c>
      <c r="C8" s="803">
        <v>11</v>
      </c>
      <c r="D8" s="802" t="str">
        <f>VLOOKUP(C8,TABVACT,'f-travail'!$BG$2+1,FALSE)</f>
        <v>حارس</v>
      </c>
      <c r="E8" s="804" t="s">
        <v>568</v>
      </c>
      <c r="F8" s="805">
        <v>15</v>
      </c>
      <c r="G8" s="803" t="s">
        <v>542</v>
      </c>
      <c r="H8" s="804">
        <v>4</v>
      </c>
      <c r="I8" s="804">
        <v>2</v>
      </c>
      <c r="J8" s="803">
        <v>0</v>
      </c>
      <c r="K8" s="803"/>
      <c r="L8" s="780">
        <v>1121212</v>
      </c>
      <c r="M8" s="803"/>
      <c r="N8" s="803" t="s">
        <v>561</v>
      </c>
      <c r="O8" s="670" t="str">
        <f>VLOOKUP(C8,TABVACT,'f-travail'!$BG$2+5,FALSE)</f>
        <v>د 1</v>
      </c>
      <c r="P8" s="670">
        <f>VLOOKUP(C8,TABVACT,'f-travail'!$BG$2+6,FALSE)</f>
        <v>200</v>
      </c>
      <c r="Q8" s="811" t="str">
        <f t="shared" si="0"/>
        <v xml:space="preserve">15 X 1,40% </v>
      </c>
      <c r="R8" s="677" t="str">
        <f t="shared" si="1"/>
        <v>م(4)</v>
      </c>
      <c r="S8" s="678">
        <f t="shared" si="2"/>
        <v>800</v>
      </c>
      <c r="T8" s="673">
        <f t="shared" si="3"/>
        <v>22.5</v>
      </c>
      <c r="U8" s="678">
        <f t="shared" si="4"/>
        <v>2022.5</v>
      </c>
      <c r="V8" s="675"/>
      <c r="W8" s="675"/>
      <c r="X8" s="678">
        <f t="shared" si="5"/>
        <v>9000</v>
      </c>
      <c r="Y8" s="807">
        <f t="shared" si="6"/>
        <v>1890</v>
      </c>
      <c r="Z8" s="673">
        <f>IF(E8="ك",VLOOKUP(C8,TABVACT,'f-travail'!$BG$2+9,FALSE),IF(E8="ج",0))</f>
        <v>714</v>
      </c>
      <c r="AA8" s="673">
        <f>IF(E8="ك",VLOOKUP(C8,TABVACT,'f-travail'!$BG$2+10,FALSE),IF(E8="ج",ROUND((44.42)*AO8,2)))</f>
        <v>7700</v>
      </c>
      <c r="AB8" s="673">
        <f>IF(E8="ك",ROUND(VLOOKUP(C8,TABVACT,'f-travail'!$BG$2+11,FALSE)*(X8+Y8),2),IF(E8="ج",ROUND(((Y8+51.92)*VLOOKUP(C8,TABVACT,'f-travail'!$BG$2+11,FALSE)*AO8),2)))</f>
        <v>0</v>
      </c>
      <c r="AC8" s="673">
        <f>IF(E8="ك",ROUND(VLOOKUP(C8,TABVACT,'f-travail'!$BG$2+12,FALSE)*(X8+Y8),2),IF(E8="ج",ROUND(((Y8+51.92)*VLOOKUP(C8,TABVACT,'f-travail'!$BG$2+12,FALSE)*AO8),2)))</f>
        <v>2722.5</v>
      </c>
      <c r="AD8" s="673">
        <f>IF(E8="ك",ROUND(VLOOKUP(C8,TABVACT,'f-travail'!$BG$2+13,FALSE)*(X8+Y8),2),IF(E8="ج",ROUND(((Y8+51.92)*VLOOKUP(C8,TABVACT,'f-travail'!$BG$2+13,FALSE)*AO8),2)))</f>
        <v>0</v>
      </c>
      <c r="AE8" s="673">
        <f>IF(E8="ك",ROUND(VLOOKUP(C8,TABVACT,'f-travail'!$BG$2+14,FALSE)*(X8+Y8),2),IF(E8="ج",ROUND(((Y8+51.92)*VLOOKUP(C8,TABVACT,'f-travail'!$BG$2+14,FALSE)*AO8),2)))</f>
        <v>1089</v>
      </c>
      <c r="AF8" s="673">
        <f>IF(E8="ك",ROUND(VLOOKUP(C8,TABVACT,'f-travail'!$BG$2+15,FALSE)*(X8+Y8),2),IF(E8="ج",ROUND(((Y8+51.92)*VLOOKUP(C8,TABVACT,'f-travail'!$BG$2+15,FALSE)*AO8),2)))</f>
        <v>2178</v>
      </c>
      <c r="AG8" s="673">
        <f t="shared" si="7"/>
        <v>10890</v>
      </c>
      <c r="AH8" s="673">
        <f t="shared" si="8"/>
        <v>27316</v>
      </c>
      <c r="AI8" s="673">
        <f t="shared" si="9"/>
        <v>26516</v>
      </c>
      <c r="AJ8" s="673">
        <f t="shared" si="10"/>
        <v>2386.44</v>
      </c>
      <c r="AK8" s="674">
        <f t="shared" si="11"/>
        <v>23410</v>
      </c>
      <c r="AL8" s="673">
        <f t="shared" si="12"/>
        <v>804.6</v>
      </c>
      <c r="AM8" s="673">
        <f t="shared" si="13"/>
        <v>0</v>
      </c>
      <c r="AN8" s="810" t="str">
        <f t="shared" si="14"/>
        <v>متزوج (ة) / 4 طفل</v>
      </c>
      <c r="AO8" s="817">
        <f>LOOKUP(الرئيسية!$N$8,'ورقة العمل'!$T$1:$T$13,'ورقة العمل'!$V$1:$V$13)</f>
        <v>105</v>
      </c>
      <c r="AP8" s="642" t="s">
        <v>760</v>
      </c>
    </row>
    <row r="9" spans="1:42">
      <c r="A9" s="636">
        <f t="shared" si="15"/>
        <v>8</v>
      </c>
      <c r="B9" s="637" t="s">
        <v>734</v>
      </c>
      <c r="C9" s="803">
        <v>11</v>
      </c>
      <c r="D9" s="802" t="str">
        <f>VLOOKUP(C9,TABVACT,'f-travail'!$BG$2+1,FALSE)</f>
        <v>حارس</v>
      </c>
      <c r="E9" s="804" t="s">
        <v>568</v>
      </c>
      <c r="F9" s="805">
        <v>14</v>
      </c>
      <c r="G9" s="803" t="s">
        <v>543</v>
      </c>
      <c r="H9" s="804">
        <v>2</v>
      </c>
      <c r="I9" s="804"/>
      <c r="J9" s="803">
        <v>0</v>
      </c>
      <c r="K9" s="803"/>
      <c r="L9" s="780">
        <v>1111111111</v>
      </c>
      <c r="M9" s="803"/>
      <c r="N9" s="803" t="s">
        <v>561</v>
      </c>
      <c r="O9" s="670" t="str">
        <f>VLOOKUP(C9,TABVACT,'f-travail'!$BG$2+5,FALSE)</f>
        <v>د 1</v>
      </c>
      <c r="P9" s="670">
        <f>VLOOKUP(C9,TABVACT,'f-travail'!$BG$2+6,FALSE)</f>
        <v>200</v>
      </c>
      <c r="Q9" s="811" t="str">
        <f t="shared" si="0"/>
        <v xml:space="preserve">14 X 1,40% </v>
      </c>
      <c r="R9" s="677" t="str">
        <f t="shared" si="1"/>
        <v>م(2)</v>
      </c>
      <c r="S9" s="678">
        <f t="shared" si="2"/>
        <v>0</v>
      </c>
      <c r="T9" s="673">
        <f t="shared" si="3"/>
        <v>0</v>
      </c>
      <c r="U9" s="678">
        <f t="shared" si="4"/>
        <v>600</v>
      </c>
      <c r="V9" s="675"/>
      <c r="W9" s="675"/>
      <c r="X9" s="678">
        <f t="shared" si="5"/>
        <v>9000</v>
      </c>
      <c r="Y9" s="807">
        <f t="shared" si="6"/>
        <v>1764</v>
      </c>
      <c r="Z9" s="673">
        <f>IF(E9="ك",VLOOKUP(C9,TABVACT,'f-travail'!$BG$2+9,FALSE),IF(E9="ج",0))</f>
        <v>714</v>
      </c>
      <c r="AA9" s="673">
        <f>IF(E9="ك",VLOOKUP(C9,TABVACT,'f-travail'!$BG$2+10,FALSE),IF(E9="ج",ROUND((44.42)*AO9,2)))</f>
        <v>7700</v>
      </c>
      <c r="AB9" s="673">
        <f>IF(E9="ك",ROUND(VLOOKUP(C9,TABVACT,'f-travail'!$BG$2+11,FALSE)*(X9+Y9),2),IF(E9="ج",ROUND(((Y9+51.92)*VLOOKUP(C9,TABVACT,'f-travail'!$BG$2+11,FALSE)*AO9),2)))</f>
        <v>0</v>
      </c>
      <c r="AC9" s="673">
        <f>IF(E9="ك",ROUND(VLOOKUP(C9,TABVACT,'f-travail'!$BG$2+12,FALSE)*(X9+Y9),2),IF(E9="ج",ROUND(((Y9+51.92)*VLOOKUP(C9,TABVACT,'f-travail'!$BG$2+12,FALSE)*AO9),2)))</f>
        <v>2691</v>
      </c>
      <c r="AD9" s="673">
        <f>IF(E9="ك",ROUND(VLOOKUP(C9,TABVACT,'f-travail'!$BG$2+13,FALSE)*(X9+Y9),2),IF(E9="ج",ROUND(((Y9+51.92)*VLOOKUP(C9,TABVACT,'f-travail'!$BG$2+13,FALSE)*AO9),2)))</f>
        <v>0</v>
      </c>
      <c r="AE9" s="673">
        <f>IF(E9="ك",ROUND(VLOOKUP(C9,TABVACT,'f-travail'!$BG$2+14,FALSE)*(X9+Y9),2),IF(E9="ج",ROUND(((Y9+51.92)*VLOOKUP(C9,TABVACT,'f-travail'!$BG$2+14,FALSE)*AO9),2)))</f>
        <v>1076.4000000000001</v>
      </c>
      <c r="AF9" s="673">
        <f>IF(E9="ك",ROUND(VLOOKUP(C9,TABVACT,'f-travail'!$BG$2+15,FALSE)*(X9+Y9),2),IF(E9="ج",ROUND(((Y9+51.92)*VLOOKUP(C9,TABVACT,'f-travail'!$BG$2+15,FALSE)*AO9),2)))</f>
        <v>2152.8000000000002</v>
      </c>
      <c r="AG9" s="673">
        <f t="shared" si="7"/>
        <v>10764</v>
      </c>
      <c r="AH9" s="673">
        <f t="shared" si="8"/>
        <v>25698.2</v>
      </c>
      <c r="AI9" s="673">
        <f t="shared" si="9"/>
        <v>25698.2</v>
      </c>
      <c r="AJ9" s="673">
        <f t="shared" si="10"/>
        <v>2312.84</v>
      </c>
      <c r="AK9" s="674">
        <f t="shared" si="11"/>
        <v>22670</v>
      </c>
      <c r="AL9" s="673">
        <f t="shared" si="12"/>
        <v>760.2</v>
      </c>
      <c r="AM9" s="673">
        <f t="shared" si="13"/>
        <v>0</v>
      </c>
      <c r="AN9" s="810" t="str">
        <f t="shared" si="14"/>
        <v>متزوج (ة) / 2 طفل</v>
      </c>
      <c r="AO9" s="817">
        <f>LOOKUP(الرئيسية!$N$8,'ورقة العمل'!$T$1:$T$13,'ورقة العمل'!$V$1:$V$13)</f>
        <v>105</v>
      </c>
      <c r="AP9" s="642" t="s">
        <v>760</v>
      </c>
    </row>
    <row r="10" spans="1:42">
      <c r="A10" s="636">
        <f t="shared" si="15"/>
        <v>9</v>
      </c>
      <c r="B10" s="637" t="s">
        <v>735</v>
      </c>
      <c r="C10" s="803">
        <v>11</v>
      </c>
      <c r="D10" s="802" t="str">
        <f>VLOOKUP(C10,TABVACT,'f-travail'!$BG$2+1,FALSE)</f>
        <v>حارس</v>
      </c>
      <c r="E10" s="804" t="s">
        <v>568</v>
      </c>
      <c r="F10" s="805">
        <v>10</v>
      </c>
      <c r="G10" s="803" t="s">
        <v>542</v>
      </c>
      <c r="H10" s="804">
        <v>6</v>
      </c>
      <c r="I10" s="804">
        <v>3</v>
      </c>
      <c r="J10" s="803">
        <v>0</v>
      </c>
      <c r="K10" s="803"/>
      <c r="L10" s="780">
        <v>222222222</v>
      </c>
      <c r="M10" s="803"/>
      <c r="N10" s="803" t="s">
        <v>562</v>
      </c>
      <c r="O10" s="670" t="str">
        <f>VLOOKUP(C10,TABVACT,'f-travail'!$BG$2+5,FALSE)</f>
        <v>د 1</v>
      </c>
      <c r="P10" s="670">
        <f>VLOOKUP(C10,TABVACT,'f-travail'!$BG$2+6,FALSE)</f>
        <v>200</v>
      </c>
      <c r="Q10" s="811" t="str">
        <f t="shared" si="0"/>
        <v xml:space="preserve">10 X 1,40% </v>
      </c>
      <c r="R10" s="677" t="str">
        <f t="shared" ref="R10:R18" si="16">IF(OR(G10="متزوج(ة)",G10="متزوج(ة)ماكثة",G10="متزوج(ة)عاملة"),(CONCATENATE("م","(",H10,")")),IF(G10="مطلق(ة)",(CONCATENATE("مط","(",H10,")")),IF(G10="عازب(ة)","ع",IF(G10="عازب(ة)كفيل",CONCATENATE("ع/ك","(",H10,")")))))</f>
        <v>م(6)</v>
      </c>
      <c r="S10" s="678">
        <f t="shared" si="2"/>
        <v>800</v>
      </c>
      <c r="T10" s="673">
        <f t="shared" si="3"/>
        <v>33.75</v>
      </c>
      <c r="U10" s="678">
        <f t="shared" si="4"/>
        <v>2633.75</v>
      </c>
      <c r="V10" s="675">
        <v>114.39</v>
      </c>
      <c r="W10" s="675">
        <v>900</v>
      </c>
      <c r="X10" s="678">
        <f t="shared" si="5"/>
        <v>9000</v>
      </c>
      <c r="Y10" s="807">
        <f t="shared" si="6"/>
        <v>1260</v>
      </c>
      <c r="Z10" s="673">
        <f>IF(E10="ك",VLOOKUP(C10,TABVACT,'f-travail'!$BG$2+9,FALSE),IF(E10="ج",0))</f>
        <v>714</v>
      </c>
      <c r="AA10" s="673">
        <f>IF(E10="ك",VLOOKUP(C10,TABVACT,'f-travail'!$BG$2+10,FALSE),IF(E10="ج",ROUND((44.42)*AO10,2)))</f>
        <v>7700</v>
      </c>
      <c r="AB10" s="673">
        <f>IF(E10="ك",ROUND(VLOOKUP(C10,TABVACT,'f-travail'!$BG$2+11,FALSE)*(X10+Y10),2),IF(E10="ج",ROUND(((Y10+51.92)*VLOOKUP(C10,TABVACT,'f-travail'!$BG$2+11,FALSE)*AO10),2)))</f>
        <v>0</v>
      </c>
      <c r="AC10" s="673">
        <f>IF(E10="ك",ROUND(VLOOKUP(C10,TABVACT,'f-travail'!$BG$2+12,FALSE)*(X10+Y10),2),IF(E10="ج",ROUND(((Y10+51.92)*VLOOKUP(C10,TABVACT,'f-travail'!$BG$2+12,FALSE)*AO10),2)))</f>
        <v>2565</v>
      </c>
      <c r="AD10" s="673">
        <f>IF(E10="ك",ROUND(VLOOKUP(C10,TABVACT,'f-travail'!$BG$2+13,FALSE)*(X10+Y10),2),IF(E10="ج",ROUND(((Y10+51.92)*VLOOKUP(C10,TABVACT,'f-travail'!$BG$2+13,FALSE)*AO10),2)))</f>
        <v>0</v>
      </c>
      <c r="AE10" s="673">
        <f>IF(E10="ك",ROUND(VLOOKUP(C10,TABVACT,'f-travail'!$BG$2+14,FALSE)*(X10+Y10),2),IF(E10="ج",ROUND(((Y10+51.92)*VLOOKUP(C10,TABVACT,'f-travail'!$BG$2+14,FALSE)*AO10),2)))</f>
        <v>1026</v>
      </c>
      <c r="AF10" s="673">
        <f>IF(E10="ك",ROUND(VLOOKUP(C10,TABVACT,'f-travail'!$BG$2+15,FALSE)*(X10+Y10),2),IF(E10="ج",ROUND(((Y10+51.92)*VLOOKUP(C10,TABVACT,'f-travail'!$BG$2+15,FALSE)*AO10),2)))</f>
        <v>2052</v>
      </c>
      <c r="AG10" s="673">
        <f t="shared" si="7"/>
        <v>11274.39</v>
      </c>
      <c r="AH10" s="673">
        <f t="shared" si="8"/>
        <v>27965.14</v>
      </c>
      <c r="AI10" s="673">
        <f t="shared" si="9"/>
        <v>27165.14</v>
      </c>
      <c r="AJ10" s="673">
        <f t="shared" si="10"/>
        <v>2444.86</v>
      </c>
      <c r="AK10" s="674">
        <f t="shared" si="11"/>
        <v>24000</v>
      </c>
      <c r="AL10" s="673">
        <f t="shared" si="12"/>
        <v>840</v>
      </c>
      <c r="AM10" s="673">
        <f t="shared" si="13"/>
        <v>0</v>
      </c>
      <c r="AN10" s="810" t="str">
        <f t="shared" si="14"/>
        <v>متزوج (ة) / 6 طفل</v>
      </c>
      <c r="AO10" s="817">
        <f>LOOKUP(الرئيسية!$N$8,'ورقة العمل'!$T$1:$T$13,'ورقة العمل'!$V$1:$V$13)</f>
        <v>105</v>
      </c>
      <c r="AP10" s="642" t="s">
        <v>760</v>
      </c>
    </row>
    <row r="11" spans="1:42">
      <c r="A11" s="636">
        <f t="shared" si="15"/>
        <v>10</v>
      </c>
      <c r="B11" s="637" t="s">
        <v>736</v>
      </c>
      <c r="C11" s="803">
        <v>11</v>
      </c>
      <c r="D11" s="802" t="str">
        <f>VLOOKUP(C11,TABVACT,'f-travail'!$BG$2+1,FALSE)</f>
        <v>حارس</v>
      </c>
      <c r="E11" s="804" t="s">
        <v>568</v>
      </c>
      <c r="F11" s="804">
        <v>10</v>
      </c>
      <c r="G11" s="803" t="s">
        <v>544</v>
      </c>
      <c r="H11" s="804">
        <v>5</v>
      </c>
      <c r="I11" s="804"/>
      <c r="J11" s="803">
        <v>0</v>
      </c>
      <c r="K11" s="803"/>
      <c r="L11" s="780">
        <v>1212114</v>
      </c>
      <c r="M11" s="803"/>
      <c r="N11" s="803" t="s">
        <v>561</v>
      </c>
      <c r="O11" s="670" t="str">
        <f>VLOOKUP(C11,TABVACT,'f-travail'!$BG$2+5,FALSE)</f>
        <v>د 1</v>
      </c>
      <c r="P11" s="670">
        <f>VLOOKUP(C11,TABVACT,'f-travail'!$BG$2+6,FALSE)</f>
        <v>200</v>
      </c>
      <c r="Q11" s="811" t="str">
        <f t="shared" si="0"/>
        <v xml:space="preserve">10 X 1,40% </v>
      </c>
      <c r="R11" s="677" t="str">
        <f t="shared" si="16"/>
        <v>ع/ك(5)</v>
      </c>
      <c r="S11" s="678">
        <f t="shared" si="2"/>
        <v>0</v>
      </c>
      <c r="T11" s="673">
        <f t="shared" si="3"/>
        <v>0</v>
      </c>
      <c r="U11" s="678">
        <f t="shared" si="4"/>
        <v>1500</v>
      </c>
      <c r="V11" s="675">
        <v>114.39</v>
      </c>
      <c r="W11" s="675">
        <v>900</v>
      </c>
      <c r="X11" s="678">
        <f t="shared" si="5"/>
        <v>9000</v>
      </c>
      <c r="Y11" s="807">
        <f t="shared" si="6"/>
        <v>1260</v>
      </c>
      <c r="Z11" s="673">
        <f>IF(E11="ك",VLOOKUP(C11,TABVACT,'f-travail'!$BG$2+9,FALSE),IF(E11="ج",0))</f>
        <v>714</v>
      </c>
      <c r="AA11" s="673">
        <f>IF(E11="ك",VLOOKUP(C11,TABVACT,'f-travail'!$BG$2+10,FALSE),IF(E11="ج",ROUND((44.42)*AO11,2)))</f>
        <v>7700</v>
      </c>
      <c r="AB11" s="673">
        <f>IF(E11="ك",ROUND(VLOOKUP(C11,TABVACT,'f-travail'!$BG$2+11,FALSE)*(X11+Y11),2),IF(E11="ج",ROUND(((Y11+51.92)*VLOOKUP(C11,TABVACT,'f-travail'!$BG$2+11,FALSE)*AO11),2)))</f>
        <v>0</v>
      </c>
      <c r="AC11" s="673">
        <f>IF(E11="ك",ROUND(VLOOKUP(C11,TABVACT,'f-travail'!$BG$2+12,FALSE)*(X11+Y11),2),IF(E11="ج",ROUND(((Y11+51.92)*VLOOKUP(C11,TABVACT,'f-travail'!$BG$2+12,FALSE)*AO11),2)))</f>
        <v>2565</v>
      </c>
      <c r="AD11" s="673">
        <f>IF(E11="ك",ROUND(VLOOKUP(C11,TABVACT,'f-travail'!$BG$2+13,FALSE)*(X11+Y11),2),IF(E11="ج",ROUND(((Y11+51.92)*VLOOKUP(C11,TABVACT,'f-travail'!$BG$2+13,FALSE)*AO11),2)))</f>
        <v>0</v>
      </c>
      <c r="AE11" s="673">
        <f>IF(E11="ك",ROUND(VLOOKUP(C11,TABVACT,'f-travail'!$BG$2+14,FALSE)*(X11+Y11),2),IF(E11="ج",ROUND(((Y11+51.92)*VLOOKUP(C11,TABVACT,'f-travail'!$BG$2+14,FALSE)*AO11),2)))</f>
        <v>1026</v>
      </c>
      <c r="AF11" s="673">
        <f>IF(E11="ك",ROUND(VLOOKUP(C11,TABVACT,'f-travail'!$BG$2+15,FALSE)*(X11+Y11),2),IF(E11="ج",ROUND(((Y11+51.92)*VLOOKUP(C11,TABVACT,'f-travail'!$BG$2+15,FALSE)*AO11),2)))</f>
        <v>2052</v>
      </c>
      <c r="AG11" s="673">
        <f t="shared" si="7"/>
        <v>11274.39</v>
      </c>
      <c r="AH11" s="673">
        <f t="shared" si="8"/>
        <v>26831.39</v>
      </c>
      <c r="AI11" s="673">
        <f t="shared" si="9"/>
        <v>26831.39</v>
      </c>
      <c r="AJ11" s="673">
        <f t="shared" si="10"/>
        <v>2414.83</v>
      </c>
      <c r="AK11" s="674">
        <f t="shared" si="11"/>
        <v>23700</v>
      </c>
      <c r="AL11" s="673">
        <f t="shared" si="12"/>
        <v>822</v>
      </c>
      <c r="AM11" s="673">
        <f t="shared" si="13"/>
        <v>0</v>
      </c>
      <c r="AN11" s="810" t="str">
        <f t="shared" si="14"/>
        <v>عازب(ة)كفيل / 5 أخوة</v>
      </c>
      <c r="AO11" s="817">
        <f>LOOKUP(الرئيسية!$N$8,'ورقة العمل'!$T$1:$T$13,'ورقة العمل'!$V$1:$V$13)</f>
        <v>105</v>
      </c>
      <c r="AP11" s="642" t="s">
        <v>760</v>
      </c>
    </row>
    <row r="12" spans="1:42">
      <c r="A12" s="636">
        <f t="shared" si="15"/>
        <v>11</v>
      </c>
      <c r="B12" s="637" t="s">
        <v>737</v>
      </c>
      <c r="C12" s="803">
        <v>11</v>
      </c>
      <c r="D12" s="802" t="str">
        <f>VLOOKUP(C12,TABVACT,'f-travail'!$BG$2+1,FALSE)</f>
        <v>حارس</v>
      </c>
      <c r="E12" s="804" t="s">
        <v>568</v>
      </c>
      <c r="F12" s="804">
        <v>9</v>
      </c>
      <c r="G12" s="803" t="s">
        <v>542</v>
      </c>
      <c r="H12" s="804">
        <v>7</v>
      </c>
      <c r="I12" s="804"/>
      <c r="J12" s="803">
        <v>0</v>
      </c>
      <c r="K12" s="803"/>
      <c r="L12" s="780">
        <v>424242</v>
      </c>
      <c r="M12" s="803"/>
      <c r="N12" s="803" t="s">
        <v>561</v>
      </c>
      <c r="O12" s="670" t="str">
        <f>VLOOKUP(C12,TABVACT,'f-travail'!$BG$2+5,FALSE)</f>
        <v>د 1</v>
      </c>
      <c r="P12" s="670">
        <f>VLOOKUP(C12,TABVACT,'f-travail'!$BG$2+6,FALSE)</f>
        <v>200</v>
      </c>
      <c r="Q12" s="811" t="str">
        <f t="shared" si="0"/>
        <v xml:space="preserve">9 X 1,40% </v>
      </c>
      <c r="R12" s="677" t="str">
        <f t="shared" si="16"/>
        <v>م(7)</v>
      </c>
      <c r="S12" s="678">
        <f t="shared" si="2"/>
        <v>800</v>
      </c>
      <c r="T12" s="673">
        <f t="shared" si="3"/>
        <v>0</v>
      </c>
      <c r="U12" s="678">
        <f t="shared" si="4"/>
        <v>2900</v>
      </c>
      <c r="V12" s="675"/>
      <c r="W12" s="675"/>
      <c r="X12" s="678">
        <f t="shared" si="5"/>
        <v>9000</v>
      </c>
      <c r="Y12" s="807">
        <f t="shared" si="6"/>
        <v>1134</v>
      </c>
      <c r="Z12" s="673">
        <f>IF(E12="ك",VLOOKUP(C12,TABVACT,'f-travail'!$BG$2+9,FALSE),IF(E12="ج",0))</f>
        <v>714</v>
      </c>
      <c r="AA12" s="673">
        <f>IF(E12="ك",VLOOKUP(C12,TABVACT,'f-travail'!$BG$2+10,FALSE),IF(E12="ج",ROUND((44.42)*AO12,2)))</f>
        <v>7700</v>
      </c>
      <c r="AB12" s="673">
        <f>IF(E12="ك",ROUND(VLOOKUP(C12,TABVACT,'f-travail'!$BG$2+11,FALSE)*(X12+Y12),2),IF(E12="ج",ROUND(((Y12+51.92)*VLOOKUP(C12,TABVACT,'f-travail'!$BG$2+11,FALSE)*AO12),2)))</f>
        <v>0</v>
      </c>
      <c r="AC12" s="673">
        <f>IF(E12="ك",ROUND(VLOOKUP(C12,TABVACT,'f-travail'!$BG$2+12,FALSE)*(X12+Y12),2),IF(E12="ج",ROUND(((Y12+51.92)*VLOOKUP(C12,TABVACT,'f-travail'!$BG$2+12,FALSE)*AO12),2)))</f>
        <v>2533.5</v>
      </c>
      <c r="AD12" s="673">
        <f>IF(E12="ك",ROUND(VLOOKUP(C12,TABVACT,'f-travail'!$BG$2+13,FALSE)*(X12+Y12),2),IF(E12="ج",ROUND(((Y12+51.92)*VLOOKUP(C12,TABVACT,'f-travail'!$BG$2+13,FALSE)*AO12),2)))</f>
        <v>0</v>
      </c>
      <c r="AE12" s="673">
        <f>IF(E12="ك",ROUND(VLOOKUP(C12,TABVACT,'f-travail'!$BG$2+14,FALSE)*(X12+Y12),2),IF(E12="ج",ROUND(((Y12+51.92)*VLOOKUP(C12,TABVACT,'f-travail'!$BG$2+14,FALSE)*AO12),2)))</f>
        <v>1013.4</v>
      </c>
      <c r="AF12" s="673">
        <f>IF(E12="ك",ROUND(VLOOKUP(C12,TABVACT,'f-travail'!$BG$2+15,FALSE)*(X12+Y12),2),IF(E12="ج",ROUND(((Y12+51.92)*VLOOKUP(C12,TABVACT,'f-travail'!$BG$2+15,FALSE)*AO12),2)))</f>
        <v>2026.8</v>
      </c>
      <c r="AG12" s="673">
        <f t="shared" si="7"/>
        <v>10134</v>
      </c>
      <c r="AH12" s="673">
        <f t="shared" si="8"/>
        <v>27021.7</v>
      </c>
      <c r="AI12" s="673">
        <f t="shared" si="9"/>
        <v>26221.7</v>
      </c>
      <c r="AJ12" s="673">
        <f t="shared" si="10"/>
        <v>2359.9499999999998</v>
      </c>
      <c r="AK12" s="674">
        <f t="shared" si="11"/>
        <v>23140</v>
      </c>
      <c r="AL12" s="673">
        <f t="shared" si="12"/>
        <v>788.4</v>
      </c>
      <c r="AM12" s="673">
        <f t="shared" si="13"/>
        <v>0</v>
      </c>
      <c r="AN12" s="810" t="str">
        <f t="shared" si="14"/>
        <v>متزوج (ة) / 7 طفل</v>
      </c>
      <c r="AO12" s="817">
        <f>LOOKUP(الرئيسية!$N$8,'ورقة العمل'!$T$1:$T$13,'ورقة العمل'!$V$1:$V$13)</f>
        <v>105</v>
      </c>
      <c r="AP12" s="642" t="s">
        <v>760</v>
      </c>
    </row>
    <row r="13" spans="1:42">
      <c r="A13" s="636">
        <f t="shared" si="15"/>
        <v>12</v>
      </c>
      <c r="B13" s="637" t="s">
        <v>738</v>
      </c>
      <c r="C13" s="803">
        <v>11</v>
      </c>
      <c r="D13" s="802" t="str">
        <f>VLOOKUP(C13,TABVACT,'f-travail'!$BG$2+1,FALSE)</f>
        <v>حارس</v>
      </c>
      <c r="E13" s="804" t="s">
        <v>568</v>
      </c>
      <c r="F13" s="805">
        <v>3</v>
      </c>
      <c r="G13" s="803" t="s">
        <v>542</v>
      </c>
      <c r="H13" s="804">
        <v>7</v>
      </c>
      <c r="I13" s="804">
        <v>1</v>
      </c>
      <c r="J13" s="803">
        <v>0</v>
      </c>
      <c r="K13" s="803"/>
      <c r="L13" s="780">
        <v>42525424</v>
      </c>
      <c r="M13" s="803"/>
      <c r="N13" s="803" t="s">
        <v>561</v>
      </c>
      <c r="O13" s="670" t="str">
        <f>VLOOKUP(C13,TABVACT,'f-travail'!$BG$2+5,FALSE)</f>
        <v>د 1</v>
      </c>
      <c r="P13" s="670">
        <f>VLOOKUP(C13,TABVACT,'f-travail'!$BG$2+6,FALSE)</f>
        <v>200</v>
      </c>
      <c r="Q13" s="811" t="str">
        <f t="shared" si="0"/>
        <v xml:space="preserve">3 X 1,40% </v>
      </c>
      <c r="R13" s="677" t="str">
        <f t="shared" si="16"/>
        <v>م(7)</v>
      </c>
      <c r="S13" s="678">
        <f t="shared" si="2"/>
        <v>800</v>
      </c>
      <c r="T13" s="673">
        <f t="shared" si="3"/>
        <v>11.25</v>
      </c>
      <c r="U13" s="678">
        <f t="shared" si="4"/>
        <v>2911.25</v>
      </c>
      <c r="V13" s="675"/>
      <c r="W13" s="675"/>
      <c r="X13" s="678">
        <f t="shared" si="5"/>
        <v>9000</v>
      </c>
      <c r="Y13" s="807">
        <f t="shared" si="6"/>
        <v>378</v>
      </c>
      <c r="Z13" s="673">
        <f>IF(E13="ك",VLOOKUP(C13,TABVACT,'f-travail'!$BG$2+9,FALSE),IF(E13="ج",0))</f>
        <v>714</v>
      </c>
      <c r="AA13" s="673">
        <f>IF(E13="ك",VLOOKUP(C13,TABVACT,'f-travail'!$BG$2+10,FALSE),IF(E13="ج",ROUND((44.42)*AO13,2)))</f>
        <v>7700</v>
      </c>
      <c r="AB13" s="673">
        <f>IF(E13="ك",ROUND(VLOOKUP(C13,TABVACT,'f-travail'!$BG$2+11,FALSE)*(X13+Y13),2),IF(E13="ج",ROUND(((Y13+51.92)*VLOOKUP(C13,TABVACT,'f-travail'!$BG$2+11,FALSE)*AO13),2)))</f>
        <v>0</v>
      </c>
      <c r="AC13" s="673">
        <f>IF(E13="ك",ROUND(VLOOKUP(C13,TABVACT,'f-travail'!$BG$2+12,FALSE)*(X13+Y13),2),IF(E13="ج",ROUND(((Y13+51.92)*VLOOKUP(C13,TABVACT,'f-travail'!$BG$2+12,FALSE)*AO13),2)))</f>
        <v>2344.5</v>
      </c>
      <c r="AD13" s="673">
        <f>IF(E13="ك",ROUND(VLOOKUP(C13,TABVACT,'f-travail'!$BG$2+13,FALSE)*(X13+Y13),2),IF(E13="ج",ROUND(((Y13+51.92)*VLOOKUP(C13,TABVACT,'f-travail'!$BG$2+13,FALSE)*AO13),2)))</f>
        <v>0</v>
      </c>
      <c r="AE13" s="673">
        <f>IF(E13="ك",ROUND(VLOOKUP(C13,TABVACT,'f-travail'!$BG$2+14,FALSE)*(X13+Y13),2),IF(E13="ج",ROUND(((Y13+51.92)*VLOOKUP(C13,TABVACT,'f-travail'!$BG$2+14,FALSE)*AO13),2)))</f>
        <v>937.8</v>
      </c>
      <c r="AF13" s="673">
        <f>IF(E13="ك",ROUND(VLOOKUP(C13,TABVACT,'f-travail'!$BG$2+15,FALSE)*(X13+Y13),2),IF(E13="ج",ROUND(((Y13+51.92)*VLOOKUP(C13,TABVACT,'f-travail'!$BG$2+15,FALSE)*AO13),2)))</f>
        <v>1875.6</v>
      </c>
      <c r="AG13" s="673">
        <f t="shared" si="7"/>
        <v>9378</v>
      </c>
      <c r="AH13" s="673">
        <f t="shared" si="8"/>
        <v>25861.15</v>
      </c>
      <c r="AI13" s="673">
        <f t="shared" si="9"/>
        <v>25061.15</v>
      </c>
      <c r="AJ13" s="673">
        <f t="shared" si="10"/>
        <v>2255.5</v>
      </c>
      <c r="AK13" s="674">
        <f t="shared" si="11"/>
        <v>22090</v>
      </c>
      <c r="AL13" s="673">
        <f t="shared" si="12"/>
        <v>709</v>
      </c>
      <c r="AM13" s="673">
        <f t="shared" si="13"/>
        <v>0</v>
      </c>
      <c r="AN13" s="810" t="str">
        <f t="shared" si="14"/>
        <v>متزوج (ة) / 7 طفل</v>
      </c>
      <c r="AO13" s="817">
        <f>LOOKUP(الرئيسية!$N$8,'ورقة العمل'!$T$1:$T$13,'ورقة العمل'!$V$1:$V$13)</f>
        <v>105</v>
      </c>
      <c r="AP13" s="642" t="s">
        <v>760</v>
      </c>
    </row>
    <row r="14" spans="1:42">
      <c r="A14" s="636">
        <f t="shared" si="15"/>
        <v>13</v>
      </c>
      <c r="B14" s="637" t="s">
        <v>739</v>
      </c>
      <c r="C14" s="803">
        <v>11</v>
      </c>
      <c r="D14" s="802" t="str">
        <f>VLOOKUP(C14,TABVACT,'f-travail'!$BG$2+1,FALSE)</f>
        <v>حارس</v>
      </c>
      <c r="E14" s="804" t="s">
        <v>568</v>
      </c>
      <c r="F14" s="805">
        <v>12</v>
      </c>
      <c r="G14" s="803" t="s">
        <v>542</v>
      </c>
      <c r="H14" s="804">
        <v>9</v>
      </c>
      <c r="I14" s="804">
        <v>1</v>
      </c>
      <c r="J14" s="803">
        <v>0</v>
      </c>
      <c r="K14" s="803"/>
      <c r="L14" s="780">
        <v>147587587</v>
      </c>
      <c r="M14" s="803"/>
      <c r="N14" s="803" t="s">
        <v>550</v>
      </c>
      <c r="O14" s="670" t="str">
        <f>VLOOKUP(C14,TABVACT,'f-travail'!$BG$2+5,FALSE)</f>
        <v>د 1</v>
      </c>
      <c r="P14" s="670">
        <f>VLOOKUP(C14,TABVACT,'f-travail'!$BG$2+6,FALSE)</f>
        <v>200</v>
      </c>
      <c r="Q14" s="811" t="str">
        <f t="shared" si="0"/>
        <v xml:space="preserve">12 X 1,40% </v>
      </c>
      <c r="R14" s="677" t="str">
        <f t="shared" si="16"/>
        <v>م(9)</v>
      </c>
      <c r="S14" s="678">
        <f t="shared" si="2"/>
        <v>800</v>
      </c>
      <c r="T14" s="673">
        <f t="shared" si="3"/>
        <v>11.25</v>
      </c>
      <c r="U14" s="678">
        <f t="shared" si="4"/>
        <v>3511.25</v>
      </c>
      <c r="V14" s="675">
        <v>15.67</v>
      </c>
      <c r="W14" s="675">
        <v>900</v>
      </c>
      <c r="X14" s="678">
        <f t="shared" si="5"/>
        <v>9000</v>
      </c>
      <c r="Y14" s="807">
        <f t="shared" si="6"/>
        <v>1512</v>
      </c>
      <c r="Z14" s="673">
        <f>IF(E14="ك",VLOOKUP(C14,TABVACT,'f-travail'!$BG$2+9,FALSE),IF(E14="ج",0))</f>
        <v>714</v>
      </c>
      <c r="AA14" s="673">
        <f>IF(E14="ك",VLOOKUP(C14,TABVACT,'f-travail'!$BG$2+10,FALSE),IF(E14="ج",ROUND((44.42)*AO14,2)))</f>
        <v>7700</v>
      </c>
      <c r="AB14" s="673">
        <f>IF(E14="ك",ROUND(VLOOKUP(C14,TABVACT,'f-travail'!$BG$2+11,FALSE)*(X14+Y14),2),IF(E14="ج",ROUND(((Y14+51.92)*VLOOKUP(C14,TABVACT,'f-travail'!$BG$2+11,FALSE)*AO14),2)))</f>
        <v>0</v>
      </c>
      <c r="AC14" s="673">
        <f>IF(E14="ك",ROUND(VLOOKUP(C14,TABVACT,'f-travail'!$BG$2+12,FALSE)*(X14+Y14),2),IF(E14="ج",ROUND(((Y14+51.92)*VLOOKUP(C14,TABVACT,'f-travail'!$BG$2+12,FALSE)*AO14),2)))</f>
        <v>2628</v>
      </c>
      <c r="AD14" s="673">
        <f>IF(E14="ك",ROUND(VLOOKUP(C14,TABVACT,'f-travail'!$BG$2+13,FALSE)*(X14+Y14),2),IF(E14="ج",ROUND(((Y14+51.92)*VLOOKUP(C14,TABVACT,'f-travail'!$BG$2+13,FALSE)*AO14),2)))</f>
        <v>0</v>
      </c>
      <c r="AE14" s="673">
        <f>IF(E14="ك",ROUND(VLOOKUP(C14,TABVACT,'f-travail'!$BG$2+14,FALSE)*(X14+Y14),2),IF(E14="ج",ROUND(((Y14+51.92)*VLOOKUP(C14,TABVACT,'f-travail'!$BG$2+14,FALSE)*AO14),2)))</f>
        <v>1051.2</v>
      </c>
      <c r="AF14" s="673">
        <f>IF(E14="ك",ROUND(VLOOKUP(C14,TABVACT,'f-travail'!$BG$2+15,FALSE)*(X14+Y14),2),IF(E14="ج",ROUND(((Y14+51.92)*VLOOKUP(C14,TABVACT,'f-travail'!$BG$2+15,FALSE)*AO14),2)))</f>
        <v>2102.4</v>
      </c>
      <c r="AG14" s="673">
        <f t="shared" si="7"/>
        <v>11427.67</v>
      </c>
      <c r="AH14" s="673">
        <f t="shared" si="8"/>
        <v>29134.52</v>
      </c>
      <c r="AI14" s="673">
        <f t="shared" si="9"/>
        <v>28334.52</v>
      </c>
      <c r="AJ14" s="673">
        <f t="shared" si="10"/>
        <v>2550.11</v>
      </c>
      <c r="AK14" s="674">
        <f t="shared" si="11"/>
        <v>25070</v>
      </c>
      <c r="AL14" s="673">
        <f t="shared" si="12"/>
        <v>904.2</v>
      </c>
      <c r="AM14" s="673">
        <f t="shared" si="13"/>
        <v>0</v>
      </c>
      <c r="AN14" s="810" t="str">
        <f t="shared" si="14"/>
        <v>متزوج (ة) / 9 طفل</v>
      </c>
      <c r="AO14" s="817">
        <f>LOOKUP(الرئيسية!$N$8,'ورقة العمل'!$T$1:$T$13,'ورقة العمل'!$V$1:$V$13)</f>
        <v>105</v>
      </c>
      <c r="AP14" s="642" t="s">
        <v>761</v>
      </c>
    </row>
    <row r="15" spans="1:42">
      <c r="A15" s="636">
        <f t="shared" si="15"/>
        <v>14</v>
      </c>
      <c r="B15" s="637" t="s">
        <v>740</v>
      </c>
      <c r="C15" s="803">
        <v>11</v>
      </c>
      <c r="D15" s="802" t="str">
        <f>VLOOKUP(C15,TABVACT,'f-travail'!$BG$2+1,FALSE)</f>
        <v>حارس</v>
      </c>
      <c r="E15" s="804" t="s">
        <v>568</v>
      </c>
      <c r="F15" s="805">
        <v>15</v>
      </c>
      <c r="G15" s="803" t="s">
        <v>542</v>
      </c>
      <c r="H15" s="804">
        <v>10</v>
      </c>
      <c r="I15" s="804"/>
      <c r="J15" s="803">
        <v>0</v>
      </c>
      <c r="K15" s="803"/>
      <c r="L15" s="780">
        <v>35434</v>
      </c>
      <c r="M15" s="803"/>
      <c r="N15" s="803" t="s">
        <v>550</v>
      </c>
      <c r="O15" s="670" t="str">
        <f>VLOOKUP(C15,TABVACT,'f-travail'!$BG$2+5,FALSE)</f>
        <v>د 1</v>
      </c>
      <c r="P15" s="670">
        <f>VLOOKUP(C15,TABVACT,'f-travail'!$BG$2+6,FALSE)</f>
        <v>200</v>
      </c>
      <c r="Q15" s="811" t="str">
        <f t="shared" si="0"/>
        <v xml:space="preserve">15 X 1,40% </v>
      </c>
      <c r="R15" s="677" t="str">
        <f t="shared" si="16"/>
        <v>م(10)</v>
      </c>
      <c r="S15" s="678">
        <f t="shared" si="2"/>
        <v>800</v>
      </c>
      <c r="T15" s="673">
        <f t="shared" si="3"/>
        <v>0</v>
      </c>
      <c r="U15" s="678">
        <f t="shared" si="4"/>
        <v>3800</v>
      </c>
      <c r="V15" s="675"/>
      <c r="W15" s="675"/>
      <c r="X15" s="678">
        <f t="shared" si="5"/>
        <v>9000</v>
      </c>
      <c r="Y15" s="807">
        <f t="shared" si="6"/>
        <v>1890</v>
      </c>
      <c r="Z15" s="673">
        <f>IF(E15="ك",VLOOKUP(C15,TABVACT,'f-travail'!$BG$2+9,FALSE),IF(E15="ج",0))</f>
        <v>714</v>
      </c>
      <c r="AA15" s="673">
        <f>IF(E15="ك",VLOOKUP(C15,TABVACT,'f-travail'!$BG$2+10,FALSE),IF(E15="ج",ROUND((44.42)*AO15,2)))</f>
        <v>7700</v>
      </c>
      <c r="AB15" s="673">
        <f>IF(E15="ك",ROUND(VLOOKUP(C15,TABVACT,'f-travail'!$BG$2+11,FALSE)*(X15+Y15),2),IF(E15="ج",ROUND(((Y15+51.92)*VLOOKUP(C15,TABVACT,'f-travail'!$BG$2+11,FALSE)*AO15),2)))</f>
        <v>0</v>
      </c>
      <c r="AC15" s="673">
        <f>IF(E15="ك",ROUND(VLOOKUP(C15,TABVACT,'f-travail'!$BG$2+12,FALSE)*(X15+Y15),2),IF(E15="ج",ROUND(((Y15+51.92)*VLOOKUP(C15,TABVACT,'f-travail'!$BG$2+12,FALSE)*AO15),2)))</f>
        <v>2722.5</v>
      </c>
      <c r="AD15" s="673">
        <f>IF(E15="ك",ROUND(VLOOKUP(C15,TABVACT,'f-travail'!$BG$2+13,FALSE)*(X15+Y15),2),IF(E15="ج",ROUND(((Y15+51.92)*VLOOKUP(C15,TABVACT,'f-travail'!$BG$2+13,FALSE)*AO15),2)))</f>
        <v>0</v>
      </c>
      <c r="AE15" s="673">
        <f>IF(E15="ك",ROUND(VLOOKUP(C15,TABVACT,'f-travail'!$BG$2+14,FALSE)*(X15+Y15),2),IF(E15="ج",ROUND(((Y15+51.92)*VLOOKUP(C15,TABVACT,'f-travail'!$BG$2+14,FALSE)*AO15),2)))</f>
        <v>1089</v>
      </c>
      <c r="AF15" s="673">
        <f>IF(E15="ك",ROUND(VLOOKUP(C15,TABVACT,'f-travail'!$BG$2+15,FALSE)*(X15+Y15),2),IF(E15="ج",ROUND(((Y15+51.92)*VLOOKUP(C15,TABVACT,'f-travail'!$BG$2+15,FALSE)*AO15),2)))</f>
        <v>2178</v>
      </c>
      <c r="AG15" s="673">
        <f t="shared" si="7"/>
        <v>10890</v>
      </c>
      <c r="AH15" s="673">
        <f t="shared" si="8"/>
        <v>29093.5</v>
      </c>
      <c r="AI15" s="673">
        <f t="shared" si="9"/>
        <v>28293.5</v>
      </c>
      <c r="AJ15" s="673">
        <f t="shared" si="10"/>
        <v>2546.42</v>
      </c>
      <c r="AK15" s="674">
        <f t="shared" si="11"/>
        <v>25030</v>
      </c>
      <c r="AL15" s="673">
        <f t="shared" si="12"/>
        <v>901.8</v>
      </c>
      <c r="AM15" s="673">
        <f t="shared" si="13"/>
        <v>0</v>
      </c>
      <c r="AN15" s="810" t="str">
        <f t="shared" si="14"/>
        <v>متزوج (ة) / 10 طفل</v>
      </c>
      <c r="AO15" s="817">
        <f>LOOKUP(الرئيسية!$N$8,'ورقة العمل'!$T$1:$T$13,'ورقة العمل'!$V$1:$V$13)</f>
        <v>105</v>
      </c>
      <c r="AP15" s="642" t="s">
        <v>762</v>
      </c>
    </row>
    <row r="16" spans="1:42">
      <c r="A16" s="636">
        <f t="shared" si="15"/>
        <v>15</v>
      </c>
      <c r="B16" s="637" t="s">
        <v>741</v>
      </c>
      <c r="C16" s="803">
        <v>11</v>
      </c>
      <c r="D16" s="802" t="str">
        <f>VLOOKUP(C16,TABVACT,'f-travail'!$BG$2+1,FALSE)</f>
        <v>حارس</v>
      </c>
      <c r="E16" s="804" t="s">
        <v>568</v>
      </c>
      <c r="F16" s="804">
        <v>8</v>
      </c>
      <c r="G16" s="803" t="s">
        <v>542</v>
      </c>
      <c r="H16" s="804">
        <v>6</v>
      </c>
      <c r="I16" s="804">
        <v>1</v>
      </c>
      <c r="J16" s="803">
        <v>0</v>
      </c>
      <c r="K16" s="803"/>
      <c r="L16" s="780">
        <v>885585885</v>
      </c>
      <c r="M16" s="803"/>
      <c r="N16" s="803" t="s">
        <v>562</v>
      </c>
      <c r="O16" s="670" t="str">
        <f>VLOOKUP(C16,TABVACT,'f-travail'!$BG$2+5,FALSE)</f>
        <v>د 1</v>
      </c>
      <c r="P16" s="670">
        <f>VLOOKUP(C16,TABVACT,'f-travail'!$BG$2+6,FALSE)</f>
        <v>200</v>
      </c>
      <c r="Q16" s="811" t="str">
        <f t="shared" si="0"/>
        <v xml:space="preserve">8 X 1,40% </v>
      </c>
      <c r="R16" s="677" t="str">
        <f t="shared" si="16"/>
        <v>م(6)</v>
      </c>
      <c r="S16" s="678">
        <f t="shared" si="2"/>
        <v>800</v>
      </c>
      <c r="T16" s="673">
        <f t="shared" si="3"/>
        <v>11.25</v>
      </c>
      <c r="U16" s="678">
        <f t="shared" si="4"/>
        <v>2611.25</v>
      </c>
      <c r="V16" s="675"/>
      <c r="W16" s="675"/>
      <c r="X16" s="678">
        <f t="shared" si="5"/>
        <v>9000</v>
      </c>
      <c r="Y16" s="807">
        <f t="shared" si="6"/>
        <v>1008</v>
      </c>
      <c r="Z16" s="673">
        <f>IF(E16="ك",VLOOKUP(C16,TABVACT,'f-travail'!$BG$2+9,FALSE),IF(E16="ج",0))</f>
        <v>714</v>
      </c>
      <c r="AA16" s="673">
        <f>IF(E16="ك",VLOOKUP(C16,TABVACT,'f-travail'!$BG$2+10,FALSE),IF(E16="ج",ROUND((44.42)*AO16,2)))</f>
        <v>7700</v>
      </c>
      <c r="AB16" s="673">
        <f>IF(E16="ك",ROUND(VLOOKUP(C16,TABVACT,'f-travail'!$BG$2+11,FALSE)*(X16+Y16),2),IF(E16="ج",ROUND(((Y16+51.92)*VLOOKUP(C16,TABVACT,'f-travail'!$BG$2+11,FALSE)*AO16),2)))</f>
        <v>0</v>
      </c>
      <c r="AC16" s="673">
        <f>IF(E16="ك",ROUND(VLOOKUP(C16,TABVACT,'f-travail'!$BG$2+12,FALSE)*(X16+Y16),2),IF(E16="ج",ROUND(((Y16+51.92)*VLOOKUP(C16,TABVACT,'f-travail'!$BG$2+12,FALSE)*AO16),2)))</f>
        <v>2502</v>
      </c>
      <c r="AD16" s="673">
        <f>IF(E16="ك",ROUND(VLOOKUP(C16,TABVACT,'f-travail'!$BG$2+13,FALSE)*(X16+Y16),2),IF(E16="ج",ROUND(((Y16+51.92)*VLOOKUP(C16,TABVACT,'f-travail'!$BG$2+13,FALSE)*AO16),2)))</f>
        <v>0</v>
      </c>
      <c r="AE16" s="673">
        <f>IF(E16="ك",ROUND(VLOOKUP(C16,TABVACT,'f-travail'!$BG$2+14,FALSE)*(X16+Y16),2),IF(E16="ج",ROUND(((Y16+51.92)*VLOOKUP(C16,TABVACT,'f-travail'!$BG$2+14,FALSE)*AO16),2)))</f>
        <v>1000.8</v>
      </c>
      <c r="AF16" s="673">
        <f>IF(E16="ك",ROUND(VLOOKUP(C16,TABVACT,'f-travail'!$BG$2+15,FALSE)*(X16+Y16),2),IF(E16="ج",ROUND(((Y16+51.92)*VLOOKUP(C16,TABVACT,'f-travail'!$BG$2+15,FALSE)*AO16),2)))</f>
        <v>2001.6</v>
      </c>
      <c r="AG16" s="673">
        <f t="shared" si="7"/>
        <v>10008</v>
      </c>
      <c r="AH16" s="673">
        <f t="shared" si="8"/>
        <v>26537.65</v>
      </c>
      <c r="AI16" s="673">
        <f t="shared" si="9"/>
        <v>25737.65</v>
      </c>
      <c r="AJ16" s="673">
        <f t="shared" si="10"/>
        <v>2316.39</v>
      </c>
      <c r="AK16" s="674">
        <f t="shared" si="11"/>
        <v>22700</v>
      </c>
      <c r="AL16" s="673">
        <f t="shared" si="12"/>
        <v>762</v>
      </c>
      <c r="AM16" s="673">
        <f t="shared" si="13"/>
        <v>0</v>
      </c>
      <c r="AN16" s="810" t="str">
        <f t="shared" si="14"/>
        <v>متزوج (ة) / 6 طفل</v>
      </c>
      <c r="AO16" s="817">
        <f>LOOKUP(الرئيسية!$N$8,'ورقة العمل'!$T$1:$T$13,'ورقة العمل'!$V$1:$V$13)</f>
        <v>105</v>
      </c>
      <c r="AP16" s="642" t="s">
        <v>763</v>
      </c>
    </row>
    <row r="17" spans="1:42">
      <c r="A17" s="636">
        <f t="shared" si="15"/>
        <v>16</v>
      </c>
      <c r="B17" s="637" t="s">
        <v>742</v>
      </c>
      <c r="C17" s="803">
        <v>11</v>
      </c>
      <c r="D17" s="802" t="str">
        <f>VLOOKUP(C17,TABVACT,'f-travail'!$BG$2+1,FALSE)</f>
        <v>حارس</v>
      </c>
      <c r="E17" s="804" t="s">
        <v>568</v>
      </c>
      <c r="F17" s="805">
        <v>7</v>
      </c>
      <c r="G17" s="803" t="s">
        <v>542</v>
      </c>
      <c r="H17" s="804"/>
      <c r="I17" s="804"/>
      <c r="J17" s="803">
        <v>0</v>
      </c>
      <c r="K17" s="803"/>
      <c r="L17" s="780">
        <v>575757575</v>
      </c>
      <c r="M17" s="803"/>
      <c r="N17" s="803" t="s">
        <v>562</v>
      </c>
      <c r="O17" s="670" t="str">
        <f>VLOOKUP(C17,TABVACT,'f-travail'!$BG$2+5,FALSE)</f>
        <v>د 1</v>
      </c>
      <c r="P17" s="670">
        <f>VLOOKUP(C17,TABVACT,'f-travail'!$BG$2+6,FALSE)</f>
        <v>200</v>
      </c>
      <c r="Q17" s="811" t="str">
        <f t="shared" si="0"/>
        <v xml:space="preserve">7 X 1,40% </v>
      </c>
      <c r="R17" s="677" t="str">
        <f t="shared" si="16"/>
        <v>م()</v>
      </c>
      <c r="S17" s="678">
        <f t="shared" si="2"/>
        <v>5.5</v>
      </c>
      <c r="T17" s="673">
        <f t="shared" si="3"/>
        <v>0</v>
      </c>
      <c r="U17" s="678">
        <f t="shared" si="4"/>
        <v>5.5</v>
      </c>
      <c r="V17" s="675"/>
      <c r="W17" s="675"/>
      <c r="X17" s="678">
        <f t="shared" si="5"/>
        <v>9000</v>
      </c>
      <c r="Y17" s="807">
        <f t="shared" si="6"/>
        <v>882</v>
      </c>
      <c r="Z17" s="673">
        <f>IF(E17="ك",VLOOKUP(C17,TABVACT,'f-travail'!$BG$2+9,FALSE),IF(E17="ج",0))</f>
        <v>714</v>
      </c>
      <c r="AA17" s="673">
        <f>IF(E17="ك",VLOOKUP(C17,TABVACT,'f-travail'!$BG$2+10,FALSE),IF(E17="ج",ROUND((44.42)*AO17,2)))</f>
        <v>7700</v>
      </c>
      <c r="AB17" s="673">
        <f>IF(E17="ك",ROUND(VLOOKUP(C17,TABVACT,'f-travail'!$BG$2+11,FALSE)*(X17+Y17),2),IF(E17="ج",ROUND(((Y17+51.92)*VLOOKUP(C17,TABVACT,'f-travail'!$BG$2+11,FALSE)*AO17),2)))</f>
        <v>0</v>
      </c>
      <c r="AC17" s="673">
        <f>IF(E17="ك",ROUND(VLOOKUP(C17,TABVACT,'f-travail'!$BG$2+12,FALSE)*(X17+Y17),2),IF(E17="ج",ROUND(((Y17+51.92)*VLOOKUP(C17,TABVACT,'f-travail'!$BG$2+12,FALSE)*AO17),2)))</f>
        <v>2470.5</v>
      </c>
      <c r="AD17" s="673">
        <f>IF(E17="ك",ROUND(VLOOKUP(C17,TABVACT,'f-travail'!$BG$2+13,FALSE)*(X17+Y17),2),IF(E17="ج",ROUND(((Y17+51.92)*VLOOKUP(C17,TABVACT,'f-travail'!$BG$2+13,FALSE)*AO17),2)))</f>
        <v>0</v>
      </c>
      <c r="AE17" s="673">
        <f>IF(E17="ك",ROUND(VLOOKUP(C17,TABVACT,'f-travail'!$BG$2+14,FALSE)*(X17+Y17),2),IF(E17="ج",ROUND(((Y17+51.92)*VLOOKUP(C17,TABVACT,'f-travail'!$BG$2+14,FALSE)*AO17),2)))</f>
        <v>988.2</v>
      </c>
      <c r="AF17" s="673">
        <f>IF(E17="ك",ROUND(VLOOKUP(C17,TABVACT,'f-travail'!$BG$2+15,FALSE)*(X17+Y17),2),IF(E17="ج",ROUND(((Y17+51.92)*VLOOKUP(C17,TABVACT,'f-travail'!$BG$2+15,FALSE)*AO17),2)))</f>
        <v>1976.4</v>
      </c>
      <c r="AG17" s="673">
        <f t="shared" si="7"/>
        <v>9882</v>
      </c>
      <c r="AH17" s="673">
        <f t="shared" si="8"/>
        <v>23736.6</v>
      </c>
      <c r="AI17" s="673">
        <f t="shared" si="9"/>
        <v>23731.1</v>
      </c>
      <c r="AJ17" s="673">
        <f t="shared" si="10"/>
        <v>2135.8000000000002</v>
      </c>
      <c r="AK17" s="674">
        <f t="shared" si="11"/>
        <v>20880</v>
      </c>
      <c r="AL17" s="673">
        <f t="shared" si="12"/>
        <v>588</v>
      </c>
      <c r="AM17" s="673">
        <f t="shared" si="13"/>
        <v>0</v>
      </c>
      <c r="AN17" s="810" t="str">
        <f t="shared" si="14"/>
        <v xml:space="preserve">متزوج (ة) </v>
      </c>
      <c r="AO17" s="817">
        <f>LOOKUP(الرئيسية!$N$8,'ورقة العمل'!$T$1:$T$13,'ورقة العمل'!$V$1:$V$13)</f>
        <v>105</v>
      </c>
      <c r="AP17" s="642" t="s">
        <v>764</v>
      </c>
    </row>
    <row r="18" spans="1:42">
      <c r="A18" s="636">
        <f t="shared" si="15"/>
        <v>17</v>
      </c>
      <c r="B18" s="637" t="s">
        <v>743</v>
      </c>
      <c r="C18" s="803">
        <v>11</v>
      </c>
      <c r="D18" s="802" t="str">
        <f>VLOOKUP(C18,TABVACT,'f-travail'!$BG$2+1,FALSE)</f>
        <v>حارس</v>
      </c>
      <c r="E18" s="804" t="s">
        <v>568</v>
      </c>
      <c r="F18" s="805">
        <v>6</v>
      </c>
      <c r="G18" s="803" t="s">
        <v>542</v>
      </c>
      <c r="H18" s="804">
        <v>1</v>
      </c>
      <c r="I18" s="804"/>
      <c r="J18" s="803">
        <v>0</v>
      </c>
      <c r="K18" s="803"/>
      <c r="L18" s="780">
        <v>447747</v>
      </c>
      <c r="M18" s="803"/>
      <c r="N18" s="803" t="s">
        <v>562</v>
      </c>
      <c r="O18" s="670" t="str">
        <f>VLOOKUP(C18,TABVACT,'f-travail'!$BG$2+5,FALSE)</f>
        <v>د 1</v>
      </c>
      <c r="P18" s="670">
        <f>VLOOKUP(C18,TABVACT,'f-travail'!$BG$2+6,FALSE)</f>
        <v>200</v>
      </c>
      <c r="Q18" s="811" t="str">
        <f t="shared" si="0"/>
        <v xml:space="preserve">6 X 1,40% </v>
      </c>
      <c r="R18" s="677" t="str">
        <f t="shared" si="16"/>
        <v>م(1)</v>
      </c>
      <c r="S18" s="678">
        <f t="shared" si="2"/>
        <v>800</v>
      </c>
      <c r="T18" s="673">
        <f t="shared" si="3"/>
        <v>0</v>
      </c>
      <c r="U18" s="678">
        <f t="shared" si="4"/>
        <v>1100</v>
      </c>
      <c r="V18" s="675"/>
      <c r="W18" s="675"/>
      <c r="X18" s="678">
        <f t="shared" si="5"/>
        <v>9000</v>
      </c>
      <c r="Y18" s="807">
        <f t="shared" si="6"/>
        <v>756</v>
      </c>
      <c r="Z18" s="673">
        <f>IF(E18="ك",VLOOKUP(C18,TABVACT,'f-travail'!$BG$2+9,FALSE),IF(E18="ج",0))</f>
        <v>714</v>
      </c>
      <c r="AA18" s="673">
        <f>IF(E18="ك",VLOOKUP(C18,TABVACT,'f-travail'!$BG$2+10,FALSE),IF(E18="ج",ROUND((44.42)*AO18,2)))</f>
        <v>7700</v>
      </c>
      <c r="AB18" s="673">
        <f>IF(E18="ك",ROUND(VLOOKUP(C18,TABVACT,'f-travail'!$BG$2+11,FALSE)*(X18+Y18),2),IF(E18="ج",ROUND(((Y18+51.92)*VLOOKUP(C18,TABVACT,'f-travail'!$BG$2+11,FALSE)*AO18),2)))</f>
        <v>0</v>
      </c>
      <c r="AC18" s="673">
        <f>IF(E18="ك",ROUND(VLOOKUP(C18,TABVACT,'f-travail'!$BG$2+12,FALSE)*(X18+Y18),2),IF(E18="ج",ROUND(((Y18+51.92)*VLOOKUP(C18,TABVACT,'f-travail'!$BG$2+12,FALSE)*AO18),2)))</f>
        <v>2439</v>
      </c>
      <c r="AD18" s="673">
        <f>IF(E18="ك",ROUND(VLOOKUP(C18,TABVACT,'f-travail'!$BG$2+13,FALSE)*(X18+Y18),2),IF(E18="ج",ROUND(((Y18+51.92)*VLOOKUP(C18,TABVACT,'f-travail'!$BG$2+13,FALSE)*AO18),2)))</f>
        <v>0</v>
      </c>
      <c r="AE18" s="673">
        <f>IF(E18="ك",ROUND(VLOOKUP(C18,TABVACT,'f-travail'!$BG$2+14,FALSE)*(X18+Y18),2),IF(E18="ج",ROUND(((Y18+51.92)*VLOOKUP(C18,TABVACT,'f-travail'!$BG$2+14,FALSE)*AO18),2)))</f>
        <v>975.6</v>
      </c>
      <c r="AF18" s="673">
        <f>IF(E18="ك",ROUND(VLOOKUP(C18,TABVACT,'f-travail'!$BG$2+15,FALSE)*(X18+Y18),2),IF(E18="ج",ROUND(((Y18+51.92)*VLOOKUP(C18,TABVACT,'f-travail'!$BG$2+15,FALSE)*AO18),2)))</f>
        <v>1951.2</v>
      </c>
      <c r="AG18" s="673">
        <f t="shared" si="7"/>
        <v>9756</v>
      </c>
      <c r="AH18" s="673">
        <f t="shared" si="8"/>
        <v>24635.8</v>
      </c>
      <c r="AI18" s="673">
        <f t="shared" si="9"/>
        <v>23835.8</v>
      </c>
      <c r="AJ18" s="673">
        <f t="shared" si="10"/>
        <v>2145.2199999999998</v>
      </c>
      <c r="AK18" s="674">
        <f t="shared" si="11"/>
        <v>20970</v>
      </c>
      <c r="AL18" s="673">
        <f t="shared" si="12"/>
        <v>597</v>
      </c>
      <c r="AM18" s="673">
        <f t="shared" si="13"/>
        <v>0</v>
      </c>
      <c r="AN18" s="810" t="str">
        <f t="shared" si="14"/>
        <v>متزوج (ة) / 1 طفل</v>
      </c>
      <c r="AO18" s="817">
        <f>LOOKUP(الرئيسية!$N$8,'ورقة العمل'!$T$1:$T$13,'ورقة العمل'!$V$1:$V$13)</f>
        <v>105</v>
      </c>
      <c r="AP18" s="642" t="s">
        <v>765</v>
      </c>
    </row>
    <row r="19" spans="1:42">
      <c r="A19" s="636">
        <f t="shared" si="15"/>
        <v>18</v>
      </c>
      <c r="B19" s="637" t="s">
        <v>744</v>
      </c>
      <c r="C19" s="803">
        <v>11</v>
      </c>
      <c r="D19" s="802" t="str">
        <f>VLOOKUP(C19,TABVACT,'f-travail'!$BG$2+1,FALSE)</f>
        <v>حارس</v>
      </c>
      <c r="E19" s="804" t="s">
        <v>568</v>
      </c>
      <c r="F19" s="804">
        <v>6</v>
      </c>
      <c r="G19" s="803" t="s">
        <v>563</v>
      </c>
      <c r="H19" s="804"/>
      <c r="I19" s="804"/>
      <c r="J19" s="803">
        <v>0</v>
      </c>
      <c r="K19" s="803"/>
      <c r="L19" s="780">
        <v>4</v>
      </c>
      <c r="M19" s="803"/>
      <c r="N19" s="803" t="s">
        <v>562</v>
      </c>
      <c r="O19" s="670" t="str">
        <f>VLOOKUP(C19,TABVACT,'f-travail'!$BG$2+5,FALSE)</f>
        <v>د 1</v>
      </c>
      <c r="P19" s="670">
        <f>VLOOKUP(C19,TABVACT,'f-travail'!$BG$2+6,FALSE)</f>
        <v>200</v>
      </c>
      <c r="Q19" s="811" t="str">
        <f t="shared" si="0"/>
        <v xml:space="preserve">6 X 1,40% </v>
      </c>
      <c r="R19" s="677" t="str">
        <f>IF(OR(G19="متزوج(ة)",G19="متزوج(ة)ماكثة",G19="متزوج(ة)عاملة"),(CONCATENATE("م","(",H19,")")),IF(G19="مطلق(ة)",(CONCATENATE("مط","(",H19,")")),IF(G19="عازب(ة)","ع",IF(G19="عازب(ة)كفيل",CONCATENATE("ع/ك","(",H19,")")))))</f>
        <v>ع</v>
      </c>
      <c r="S19" s="678">
        <f t="shared" si="2"/>
        <v>0</v>
      </c>
      <c r="T19" s="673">
        <f t="shared" si="3"/>
        <v>0</v>
      </c>
      <c r="U19" s="678">
        <f t="shared" si="4"/>
        <v>0</v>
      </c>
      <c r="V19" s="675"/>
      <c r="W19" s="675"/>
      <c r="X19" s="678">
        <f t="shared" si="5"/>
        <v>9000</v>
      </c>
      <c r="Y19" s="807">
        <f t="shared" si="6"/>
        <v>756</v>
      </c>
      <c r="Z19" s="673">
        <f>IF(E19="ك",VLOOKUP(C19,TABVACT,'f-travail'!$BG$2+9,FALSE),IF(E19="ج",0))</f>
        <v>714</v>
      </c>
      <c r="AA19" s="673">
        <f>IF(E19="ك",VLOOKUP(C19,TABVACT,'f-travail'!$BG$2+10,FALSE),IF(E19="ج",ROUND((44.42)*AO19,2)))</f>
        <v>7700</v>
      </c>
      <c r="AB19" s="673">
        <f>IF(E19="ك",ROUND(VLOOKUP(C19,TABVACT,'f-travail'!$BG$2+11,FALSE)*(X19+Y19),2),IF(E19="ج",ROUND(((Y19+51.92)*VLOOKUP(C19,TABVACT,'f-travail'!$BG$2+11,FALSE)*AO19),2)))</f>
        <v>0</v>
      </c>
      <c r="AC19" s="673">
        <f>IF(E19="ك",ROUND(VLOOKUP(C19,TABVACT,'f-travail'!$BG$2+12,FALSE)*(X19+Y19),2),IF(E19="ج",ROUND(((Y19+51.92)*VLOOKUP(C19,TABVACT,'f-travail'!$BG$2+12,FALSE)*AO19),2)))</f>
        <v>2439</v>
      </c>
      <c r="AD19" s="673">
        <f>IF(E19="ك",ROUND(VLOOKUP(C19,TABVACT,'f-travail'!$BG$2+13,FALSE)*(X19+Y19),2),IF(E19="ج",ROUND(((Y19+51.92)*VLOOKUP(C19,TABVACT,'f-travail'!$BG$2+13,FALSE)*AO19),2)))</f>
        <v>0</v>
      </c>
      <c r="AE19" s="673">
        <f>IF(E19="ك",ROUND(VLOOKUP(C19,TABVACT,'f-travail'!$BG$2+14,FALSE)*(X19+Y19),2),IF(E19="ج",ROUND(((Y19+51.92)*VLOOKUP(C19,TABVACT,'f-travail'!$BG$2+14,FALSE)*AO19),2)))</f>
        <v>975.6</v>
      </c>
      <c r="AF19" s="673">
        <f>IF(E19="ك",ROUND(VLOOKUP(C19,TABVACT,'f-travail'!$BG$2+15,FALSE)*(X19+Y19),2),IF(E19="ج",ROUND(((Y19+51.92)*VLOOKUP(C19,TABVACT,'f-travail'!$BG$2+15,FALSE)*AO19),2)))</f>
        <v>1951.2</v>
      </c>
      <c r="AG19" s="673">
        <f t="shared" si="7"/>
        <v>9756</v>
      </c>
      <c r="AH19" s="673">
        <f t="shared" si="8"/>
        <v>23535.8</v>
      </c>
      <c r="AI19" s="673">
        <f t="shared" si="9"/>
        <v>23535.8</v>
      </c>
      <c r="AJ19" s="673">
        <f t="shared" si="10"/>
        <v>2118.2199999999998</v>
      </c>
      <c r="AK19" s="674">
        <f t="shared" si="11"/>
        <v>20700</v>
      </c>
      <c r="AL19" s="673">
        <f t="shared" si="12"/>
        <v>570</v>
      </c>
      <c r="AM19" s="673">
        <f t="shared" si="13"/>
        <v>0</v>
      </c>
      <c r="AN19" s="810" t="str">
        <f t="shared" si="14"/>
        <v>عازب(ة)</v>
      </c>
      <c r="AO19" s="817">
        <f>LOOKUP(الرئيسية!$N$8,'ورقة العمل'!$T$1:$T$13,'ورقة العمل'!$V$1:$V$13)</f>
        <v>105</v>
      </c>
      <c r="AP19" s="642" t="s">
        <v>765</v>
      </c>
    </row>
    <row r="20" spans="1:42">
      <c r="A20" s="636">
        <f t="shared" si="15"/>
        <v>19</v>
      </c>
      <c r="B20" s="637" t="s">
        <v>745</v>
      </c>
      <c r="C20" s="803">
        <v>11</v>
      </c>
      <c r="D20" s="802" t="str">
        <f>VLOOKUP(C20,TABVACT,'f-travail'!$BG$2+1,FALSE)</f>
        <v>حارس</v>
      </c>
      <c r="E20" s="804" t="s">
        <v>568</v>
      </c>
      <c r="F20" s="804">
        <v>5</v>
      </c>
      <c r="G20" s="803" t="s">
        <v>563</v>
      </c>
      <c r="H20" s="804"/>
      <c r="I20" s="804"/>
      <c r="J20" s="803">
        <v>0</v>
      </c>
      <c r="K20" s="803"/>
      <c r="L20" s="780">
        <v>7474</v>
      </c>
      <c r="M20" s="803"/>
      <c r="N20" s="803" t="s">
        <v>562</v>
      </c>
      <c r="O20" s="670" t="str">
        <f>VLOOKUP(C20,TABVACT,'f-travail'!$BG$2+5,FALSE)</f>
        <v>د 1</v>
      </c>
      <c r="P20" s="670">
        <f>VLOOKUP(C20,TABVACT,'f-travail'!$BG$2+6,FALSE)</f>
        <v>200</v>
      </c>
      <c r="Q20" s="811" t="str">
        <f t="shared" si="0"/>
        <v xml:space="preserve">5 X 1,40% </v>
      </c>
      <c r="R20" s="677" t="str">
        <f t="shared" ref="R20:R48" si="17">IF(OR(G20="متزوج(ة)",G20="متزوج(ة)ماكثة",G20="متزوج(ة)عاملة"),(CONCATENATE("م","(",H20,")")),IF(G20="مطلق(ة)",(CONCATENATE("مط","(",H20,")")),IF(G20="عازب(ة)","ع",IF(G20="عازب(ة)كفيل",CONCATENATE("ع/ك","(",H20,")")))))</f>
        <v>ع</v>
      </c>
      <c r="S20" s="678">
        <f t="shared" si="2"/>
        <v>0</v>
      </c>
      <c r="T20" s="673">
        <f t="shared" si="3"/>
        <v>0</v>
      </c>
      <c r="U20" s="678">
        <f t="shared" si="4"/>
        <v>0</v>
      </c>
      <c r="V20" s="675"/>
      <c r="W20" s="675"/>
      <c r="X20" s="678">
        <f t="shared" si="5"/>
        <v>9000</v>
      </c>
      <c r="Y20" s="807">
        <f t="shared" si="6"/>
        <v>630</v>
      </c>
      <c r="Z20" s="673">
        <f>IF(E20="ك",VLOOKUP(C20,TABVACT,'f-travail'!$BG$2+9,FALSE),IF(E20="ج",0))</f>
        <v>714</v>
      </c>
      <c r="AA20" s="673">
        <f>IF(E20="ك",VLOOKUP(C20,TABVACT,'f-travail'!$BG$2+10,FALSE),IF(E20="ج",ROUND((44.42)*AO20,2)))</f>
        <v>7700</v>
      </c>
      <c r="AB20" s="673">
        <f>IF(E20="ك",ROUND(VLOOKUP(C20,TABVACT,'f-travail'!$BG$2+11,FALSE)*(X20+Y20),2),IF(E20="ج",ROUND(((Y20+51.92)*VLOOKUP(C20,TABVACT,'f-travail'!$BG$2+11,FALSE)*AO20),2)))</f>
        <v>0</v>
      </c>
      <c r="AC20" s="673">
        <f>IF(E20="ك",ROUND(VLOOKUP(C20,TABVACT,'f-travail'!$BG$2+12,FALSE)*(X20+Y20),2),IF(E20="ج",ROUND(((Y20+51.92)*VLOOKUP(C20,TABVACT,'f-travail'!$BG$2+12,FALSE)*AO20),2)))</f>
        <v>2407.5</v>
      </c>
      <c r="AD20" s="673">
        <f>IF(E20="ك",ROUND(VLOOKUP(C20,TABVACT,'f-travail'!$BG$2+13,FALSE)*(X20+Y20),2),IF(E20="ج",ROUND(((Y20+51.92)*VLOOKUP(C20,TABVACT,'f-travail'!$BG$2+13,FALSE)*AO20),2)))</f>
        <v>0</v>
      </c>
      <c r="AE20" s="673">
        <f>IF(E20="ك",ROUND(VLOOKUP(C20,TABVACT,'f-travail'!$BG$2+14,FALSE)*(X20+Y20),2),IF(E20="ج",ROUND(((Y20+51.92)*VLOOKUP(C20,TABVACT,'f-travail'!$BG$2+14,FALSE)*AO20),2)))</f>
        <v>963</v>
      </c>
      <c r="AF20" s="673">
        <f>IF(E20="ك",ROUND(VLOOKUP(C20,TABVACT,'f-travail'!$BG$2+15,FALSE)*(X20+Y20),2),IF(E20="ج",ROUND(((Y20+51.92)*VLOOKUP(C20,TABVACT,'f-travail'!$BG$2+15,FALSE)*AO20),2)))</f>
        <v>1926</v>
      </c>
      <c r="AG20" s="673">
        <f t="shared" si="7"/>
        <v>9630</v>
      </c>
      <c r="AH20" s="673">
        <f t="shared" si="8"/>
        <v>23340.5</v>
      </c>
      <c r="AI20" s="673">
        <f t="shared" si="9"/>
        <v>23340.5</v>
      </c>
      <c r="AJ20" s="673">
        <f t="shared" si="10"/>
        <v>2100.65</v>
      </c>
      <c r="AK20" s="674">
        <f t="shared" si="11"/>
        <v>20520</v>
      </c>
      <c r="AL20" s="673">
        <f t="shared" si="12"/>
        <v>552</v>
      </c>
      <c r="AM20" s="673">
        <f t="shared" si="13"/>
        <v>0</v>
      </c>
      <c r="AN20" s="810" t="str">
        <f t="shared" si="14"/>
        <v>عازب(ة)</v>
      </c>
      <c r="AO20" s="817">
        <f>LOOKUP(الرئيسية!$N$8,'ورقة العمل'!$T$1:$T$13,'ورقة العمل'!$V$1:$V$13)</f>
        <v>105</v>
      </c>
      <c r="AP20" s="642" t="s">
        <v>765</v>
      </c>
    </row>
    <row r="21" spans="1:42">
      <c r="A21" s="636">
        <f t="shared" si="15"/>
        <v>20</v>
      </c>
      <c r="B21" s="637" t="s">
        <v>746</v>
      </c>
      <c r="C21" s="803">
        <v>11</v>
      </c>
      <c r="D21" s="802" t="str">
        <f>VLOOKUP(C21,TABVACT,'f-travail'!$BG$2+1,FALSE)</f>
        <v>حارس</v>
      </c>
      <c r="E21" s="804" t="s">
        <v>568</v>
      </c>
      <c r="F21" s="804">
        <v>10</v>
      </c>
      <c r="G21" s="803" t="s">
        <v>542</v>
      </c>
      <c r="H21" s="804">
        <v>8</v>
      </c>
      <c r="I21" s="804"/>
      <c r="J21" s="803">
        <v>0</v>
      </c>
      <c r="K21" s="803"/>
      <c r="L21" s="780">
        <v>7</v>
      </c>
      <c r="M21" s="803"/>
      <c r="N21" s="803" t="s">
        <v>562</v>
      </c>
      <c r="O21" s="670" t="str">
        <f>VLOOKUP(C21,TABVACT,'f-travail'!$BG$2+5,FALSE)</f>
        <v>د 1</v>
      </c>
      <c r="P21" s="670">
        <f>VLOOKUP(C21,TABVACT,'f-travail'!$BG$2+6,FALSE)</f>
        <v>200</v>
      </c>
      <c r="Q21" s="811" t="str">
        <f t="shared" si="0"/>
        <v xml:space="preserve">10 X 1,40% </v>
      </c>
      <c r="R21" s="677" t="str">
        <f t="shared" si="17"/>
        <v>م(8)</v>
      </c>
      <c r="S21" s="678">
        <f t="shared" si="2"/>
        <v>800</v>
      </c>
      <c r="T21" s="673">
        <f t="shared" si="3"/>
        <v>0</v>
      </c>
      <c r="U21" s="678">
        <f t="shared" si="4"/>
        <v>3200</v>
      </c>
      <c r="V21" s="675"/>
      <c r="W21" s="675"/>
      <c r="X21" s="678">
        <f t="shared" si="5"/>
        <v>9000</v>
      </c>
      <c r="Y21" s="807">
        <f t="shared" si="6"/>
        <v>1260</v>
      </c>
      <c r="Z21" s="673">
        <f>IF(E21="ك",VLOOKUP(C21,TABVACT,'f-travail'!$BG$2+9,FALSE),IF(E21="ج",0))</f>
        <v>714</v>
      </c>
      <c r="AA21" s="673">
        <f>IF(E21="ك",VLOOKUP(C21,TABVACT,'f-travail'!$BG$2+10,FALSE),IF(E21="ج",ROUND((44.42)*AO21,2)))</f>
        <v>7700</v>
      </c>
      <c r="AB21" s="673">
        <f>IF(E21="ك",ROUND(VLOOKUP(C21,TABVACT,'f-travail'!$BG$2+11,FALSE)*(X21+Y21),2),IF(E21="ج",ROUND(((Y21+51.92)*VLOOKUP(C21,TABVACT,'f-travail'!$BG$2+11,FALSE)*AO21),2)))</f>
        <v>0</v>
      </c>
      <c r="AC21" s="673">
        <f>IF(E21="ك",ROUND(VLOOKUP(C21,TABVACT,'f-travail'!$BG$2+12,FALSE)*(X21+Y21),2),IF(E21="ج",ROUND(((Y21+51.92)*VLOOKUP(C21,TABVACT,'f-travail'!$BG$2+12,FALSE)*AO21),2)))</f>
        <v>2565</v>
      </c>
      <c r="AD21" s="673">
        <f>IF(E21="ك",ROUND(VLOOKUP(C21,TABVACT,'f-travail'!$BG$2+13,FALSE)*(X21+Y21),2),IF(E21="ج",ROUND(((Y21+51.92)*VLOOKUP(C21,TABVACT,'f-travail'!$BG$2+13,FALSE)*AO21),2)))</f>
        <v>0</v>
      </c>
      <c r="AE21" s="673">
        <f>IF(E21="ك",ROUND(VLOOKUP(C21,TABVACT,'f-travail'!$BG$2+14,FALSE)*(X21+Y21),2),IF(E21="ج",ROUND(((Y21+51.92)*VLOOKUP(C21,TABVACT,'f-travail'!$BG$2+14,FALSE)*AO21),2)))</f>
        <v>1026</v>
      </c>
      <c r="AF21" s="673">
        <f>IF(E21="ك",ROUND(VLOOKUP(C21,TABVACT,'f-travail'!$BG$2+15,FALSE)*(X21+Y21),2),IF(E21="ج",ROUND(((Y21+51.92)*VLOOKUP(C21,TABVACT,'f-travail'!$BG$2+15,FALSE)*AO21),2)))</f>
        <v>2052</v>
      </c>
      <c r="AG21" s="673">
        <f t="shared" si="7"/>
        <v>10260</v>
      </c>
      <c r="AH21" s="673">
        <f t="shared" si="8"/>
        <v>27517</v>
      </c>
      <c r="AI21" s="673">
        <f t="shared" si="9"/>
        <v>26717</v>
      </c>
      <c r="AJ21" s="673">
        <f t="shared" si="10"/>
        <v>2404.5300000000002</v>
      </c>
      <c r="AK21" s="674">
        <f t="shared" si="11"/>
        <v>23590</v>
      </c>
      <c r="AL21" s="673">
        <f t="shared" si="12"/>
        <v>815.4</v>
      </c>
      <c r="AM21" s="673">
        <f t="shared" si="13"/>
        <v>0</v>
      </c>
      <c r="AN21" s="810" t="str">
        <f t="shared" si="14"/>
        <v>متزوج (ة) / 8 طفل</v>
      </c>
      <c r="AO21" s="817">
        <f>LOOKUP(الرئيسية!$N$8,'ورقة العمل'!$T$1:$T$13,'ورقة العمل'!$V$1:$V$13)</f>
        <v>105</v>
      </c>
      <c r="AP21" s="642" t="s">
        <v>765</v>
      </c>
    </row>
    <row r="22" spans="1:42">
      <c r="A22" s="636">
        <f t="shared" si="15"/>
        <v>21</v>
      </c>
      <c r="B22" s="637" t="s">
        <v>747</v>
      </c>
      <c r="C22" s="803">
        <v>11</v>
      </c>
      <c r="D22" s="802" t="str">
        <f>VLOOKUP(C22,TABVACT,'f-travail'!$BG$2+1,FALSE)</f>
        <v>حارس</v>
      </c>
      <c r="E22" s="804" t="s">
        <v>568</v>
      </c>
      <c r="F22" s="805">
        <v>16</v>
      </c>
      <c r="G22" s="803" t="s">
        <v>542</v>
      </c>
      <c r="H22" s="804">
        <v>4</v>
      </c>
      <c r="I22" s="804">
        <v>2</v>
      </c>
      <c r="J22" s="803">
        <v>0</v>
      </c>
      <c r="K22" s="803"/>
      <c r="L22" s="780">
        <v>77</v>
      </c>
      <c r="M22" s="803"/>
      <c r="N22" s="803" t="s">
        <v>550</v>
      </c>
      <c r="O22" s="670" t="str">
        <f>VLOOKUP(C22,TABVACT,'f-travail'!$BG$2+5,FALSE)</f>
        <v>د 1</v>
      </c>
      <c r="P22" s="670">
        <f>VLOOKUP(C22,TABVACT,'f-travail'!$BG$2+6,FALSE)</f>
        <v>200</v>
      </c>
      <c r="Q22" s="811" t="str">
        <f t="shared" si="0"/>
        <v xml:space="preserve">16 X 1,40% </v>
      </c>
      <c r="R22" s="677" t="str">
        <f t="shared" si="17"/>
        <v>م(4)</v>
      </c>
      <c r="S22" s="678">
        <f t="shared" si="2"/>
        <v>800</v>
      </c>
      <c r="T22" s="673">
        <f t="shared" si="3"/>
        <v>22.5</v>
      </c>
      <c r="U22" s="678">
        <f t="shared" si="4"/>
        <v>2022.5</v>
      </c>
      <c r="V22" s="675"/>
      <c r="W22" s="675"/>
      <c r="X22" s="678">
        <f t="shared" si="5"/>
        <v>9000</v>
      </c>
      <c r="Y22" s="807">
        <f t="shared" si="6"/>
        <v>2016</v>
      </c>
      <c r="Z22" s="673">
        <f>IF(E22="ك",VLOOKUP(C22,TABVACT,'f-travail'!$BG$2+9,FALSE),IF(E22="ج",0))</f>
        <v>714</v>
      </c>
      <c r="AA22" s="673">
        <f>IF(E22="ك",VLOOKUP(C22,TABVACT,'f-travail'!$BG$2+10,FALSE),IF(E22="ج",ROUND((44.42)*AO22,2)))</f>
        <v>7700</v>
      </c>
      <c r="AB22" s="673">
        <f>IF(E22="ك",ROUND(VLOOKUP(C22,TABVACT,'f-travail'!$BG$2+11,FALSE)*(X22+Y22),2),IF(E22="ج",ROUND(((Y22+51.92)*VLOOKUP(C22,TABVACT,'f-travail'!$BG$2+11,FALSE)*AO22),2)))</f>
        <v>0</v>
      </c>
      <c r="AC22" s="673">
        <f>IF(E22="ك",ROUND(VLOOKUP(C22,TABVACT,'f-travail'!$BG$2+12,FALSE)*(X22+Y22),2),IF(E22="ج",ROUND(((Y22+51.92)*VLOOKUP(C22,TABVACT,'f-travail'!$BG$2+12,FALSE)*AO22),2)))</f>
        <v>2754</v>
      </c>
      <c r="AD22" s="673">
        <f>IF(E22="ك",ROUND(VLOOKUP(C22,TABVACT,'f-travail'!$BG$2+13,FALSE)*(X22+Y22),2),IF(E22="ج",ROUND(((Y22+51.92)*VLOOKUP(C22,TABVACT,'f-travail'!$BG$2+13,FALSE)*AO22),2)))</f>
        <v>0</v>
      </c>
      <c r="AE22" s="673">
        <f>IF(E22="ك",ROUND(VLOOKUP(C22,TABVACT,'f-travail'!$BG$2+14,FALSE)*(X22+Y22),2),IF(E22="ج",ROUND(((Y22+51.92)*VLOOKUP(C22,TABVACT,'f-travail'!$BG$2+14,FALSE)*AO22),2)))</f>
        <v>1101.5999999999999</v>
      </c>
      <c r="AF22" s="673">
        <f>IF(E22="ك",ROUND(VLOOKUP(C22,TABVACT,'f-travail'!$BG$2+15,FALSE)*(X22+Y22),2),IF(E22="ج",ROUND(((Y22+51.92)*VLOOKUP(C22,TABVACT,'f-travail'!$BG$2+15,FALSE)*AO22),2)))</f>
        <v>2203.1999999999998</v>
      </c>
      <c r="AG22" s="673">
        <f t="shared" si="7"/>
        <v>11016</v>
      </c>
      <c r="AH22" s="673">
        <f t="shared" si="8"/>
        <v>27511.3</v>
      </c>
      <c r="AI22" s="673">
        <f t="shared" si="9"/>
        <v>26711.3</v>
      </c>
      <c r="AJ22" s="673">
        <f t="shared" si="10"/>
        <v>2404.02</v>
      </c>
      <c r="AK22" s="674">
        <f t="shared" si="11"/>
        <v>23590</v>
      </c>
      <c r="AL22" s="673">
        <f t="shared" si="12"/>
        <v>815.4</v>
      </c>
      <c r="AM22" s="673">
        <f t="shared" si="13"/>
        <v>0</v>
      </c>
      <c r="AN22" s="810" t="str">
        <f t="shared" si="14"/>
        <v>متزوج (ة) / 4 طفل</v>
      </c>
      <c r="AO22" s="817">
        <f>LOOKUP(الرئيسية!$N$8,'ورقة العمل'!$T$1:$T$13,'ورقة العمل'!$V$1:$V$13)</f>
        <v>105</v>
      </c>
      <c r="AP22" s="642" t="s">
        <v>765</v>
      </c>
    </row>
    <row r="23" spans="1:42">
      <c r="A23" s="636">
        <f t="shared" si="15"/>
        <v>22</v>
      </c>
      <c r="B23" s="637" t="s">
        <v>748</v>
      </c>
      <c r="C23" s="803">
        <v>11</v>
      </c>
      <c r="D23" s="802" t="str">
        <f>VLOOKUP(C23,TABVACT,'f-travail'!$BG$2+1,FALSE)</f>
        <v>حارس</v>
      </c>
      <c r="E23" s="804" t="s">
        <v>568</v>
      </c>
      <c r="F23" s="804"/>
      <c r="G23" s="803" t="s">
        <v>542</v>
      </c>
      <c r="H23" s="804">
        <v>2</v>
      </c>
      <c r="I23" s="804">
        <v>2</v>
      </c>
      <c r="J23" s="803">
        <v>0</v>
      </c>
      <c r="K23" s="803"/>
      <c r="L23" s="780">
        <v>43454</v>
      </c>
      <c r="M23" s="803"/>
      <c r="N23" s="803" t="s">
        <v>562</v>
      </c>
      <c r="O23" s="670" t="str">
        <f>VLOOKUP(C23,TABVACT,'f-travail'!$BG$2+5,FALSE)</f>
        <v>د 1</v>
      </c>
      <c r="P23" s="670">
        <f>VLOOKUP(C23,TABVACT,'f-travail'!$BG$2+6,FALSE)</f>
        <v>200</v>
      </c>
      <c r="Q23" s="811" t="str">
        <f t="shared" si="0"/>
        <v/>
      </c>
      <c r="R23" s="677" t="str">
        <f t="shared" si="17"/>
        <v>م(2)</v>
      </c>
      <c r="S23" s="678">
        <f t="shared" si="2"/>
        <v>800</v>
      </c>
      <c r="T23" s="673">
        <f t="shared" si="3"/>
        <v>22.5</v>
      </c>
      <c r="U23" s="678">
        <f t="shared" si="4"/>
        <v>1422.5</v>
      </c>
      <c r="V23" s="675"/>
      <c r="W23" s="675"/>
      <c r="X23" s="678">
        <f t="shared" si="5"/>
        <v>9000</v>
      </c>
      <c r="Y23" s="807">
        <f t="shared" si="6"/>
        <v>0</v>
      </c>
      <c r="Z23" s="673">
        <f>IF(E23="ك",VLOOKUP(C23,TABVACT,'f-travail'!$BG$2+9,FALSE),IF(E23="ج",0))</f>
        <v>714</v>
      </c>
      <c r="AA23" s="673">
        <f>IF(E23="ك",VLOOKUP(C23,TABVACT,'f-travail'!$BG$2+10,FALSE),IF(E23="ج",ROUND((44.42)*AO23,2)))</f>
        <v>7700</v>
      </c>
      <c r="AB23" s="673">
        <f>IF(E23="ك",ROUND(VLOOKUP(C23,TABVACT,'f-travail'!$BG$2+11,FALSE)*(X23+Y23),2),IF(E23="ج",ROUND(((Y23+51.92)*VLOOKUP(C23,TABVACT,'f-travail'!$BG$2+11,FALSE)*AO23),2)))</f>
        <v>0</v>
      </c>
      <c r="AC23" s="673">
        <f>IF(E23="ك",ROUND(VLOOKUP(C23,TABVACT,'f-travail'!$BG$2+12,FALSE)*(X23+Y23),2),IF(E23="ج",ROUND(((Y23+51.92)*VLOOKUP(C23,TABVACT,'f-travail'!$BG$2+12,FALSE)*AO23),2)))</f>
        <v>2250</v>
      </c>
      <c r="AD23" s="673">
        <f>IF(E23="ك",ROUND(VLOOKUP(C23,TABVACT,'f-travail'!$BG$2+13,FALSE)*(X23+Y23),2),IF(E23="ج",ROUND(((Y23+51.92)*VLOOKUP(C23,TABVACT,'f-travail'!$BG$2+13,FALSE)*AO23),2)))</f>
        <v>0</v>
      </c>
      <c r="AE23" s="673">
        <f>IF(E23="ك",ROUND(VLOOKUP(C23,TABVACT,'f-travail'!$BG$2+14,FALSE)*(X23+Y23),2),IF(E23="ج",ROUND(((Y23+51.92)*VLOOKUP(C23,TABVACT,'f-travail'!$BG$2+14,FALSE)*AO23),2)))</f>
        <v>900</v>
      </c>
      <c r="AF23" s="673">
        <f>IF(E23="ك",ROUND(VLOOKUP(C23,TABVACT,'f-travail'!$BG$2+15,FALSE)*(X23+Y23),2),IF(E23="ج",ROUND(((Y23+51.92)*VLOOKUP(C23,TABVACT,'f-travail'!$BG$2+15,FALSE)*AO23),2)))</f>
        <v>1800</v>
      </c>
      <c r="AG23" s="673">
        <f t="shared" si="7"/>
        <v>9000</v>
      </c>
      <c r="AH23" s="673">
        <f t="shared" si="8"/>
        <v>23786.5</v>
      </c>
      <c r="AI23" s="673">
        <f t="shared" si="9"/>
        <v>22986.5</v>
      </c>
      <c r="AJ23" s="673">
        <f t="shared" si="10"/>
        <v>2068.79</v>
      </c>
      <c r="AK23" s="674">
        <f t="shared" si="11"/>
        <v>20200</v>
      </c>
      <c r="AL23" s="673">
        <f t="shared" si="12"/>
        <v>520</v>
      </c>
      <c r="AM23" s="673">
        <f t="shared" si="13"/>
        <v>0</v>
      </c>
      <c r="AN23" s="810" t="str">
        <f t="shared" si="14"/>
        <v>متزوج (ة) / 2 طفل</v>
      </c>
      <c r="AO23" s="817">
        <f>LOOKUP(الرئيسية!$N$8,'ورقة العمل'!$T$1:$T$13,'ورقة العمل'!$V$1:$V$13)</f>
        <v>105</v>
      </c>
      <c r="AP23" s="642" t="s">
        <v>765</v>
      </c>
    </row>
    <row r="24" spans="1:42">
      <c r="A24" s="636">
        <f t="shared" si="15"/>
        <v>23</v>
      </c>
      <c r="B24" s="781" t="s">
        <v>749</v>
      </c>
      <c r="C24" s="803">
        <v>13</v>
      </c>
      <c r="D24" s="802" t="str">
        <f>VLOOKUP(C24,TABVACT,'f-travail'!$BG$2+1,FALSE)</f>
        <v>عامل مهني من المستوى الأول</v>
      </c>
      <c r="E24" s="804" t="s">
        <v>425</v>
      </c>
      <c r="F24" s="804">
        <v>19</v>
      </c>
      <c r="G24" s="803" t="s">
        <v>541</v>
      </c>
      <c r="H24" s="804">
        <v>1</v>
      </c>
      <c r="I24" s="804">
        <v>1</v>
      </c>
      <c r="J24" s="803">
        <v>0</v>
      </c>
      <c r="K24" s="803"/>
      <c r="L24" s="780">
        <v>768766876</v>
      </c>
      <c r="M24" s="803" t="s">
        <v>549</v>
      </c>
      <c r="N24" s="803"/>
      <c r="O24" s="670" t="str">
        <f>VLOOKUP(C24,TABVACT,'f-travail'!$BG$2+5,FALSE)</f>
        <v>د 1</v>
      </c>
      <c r="P24" s="670">
        <f>VLOOKUP(C24,TABVACT,'f-travail'!$BG$2+6,FALSE)</f>
        <v>200</v>
      </c>
      <c r="Q24" s="811" t="str">
        <f t="shared" si="0"/>
        <v xml:space="preserve">19 X 1,40% </v>
      </c>
      <c r="R24" s="677" t="str">
        <f t="shared" si="17"/>
        <v>م(1)</v>
      </c>
      <c r="S24" s="678">
        <f t="shared" si="2"/>
        <v>0</v>
      </c>
      <c r="T24" s="673">
        <f t="shared" si="3"/>
        <v>11.25</v>
      </c>
      <c r="U24" s="678">
        <f t="shared" si="4"/>
        <v>311.25</v>
      </c>
      <c r="V24" s="675"/>
      <c r="W24" s="675">
        <v>5.19</v>
      </c>
      <c r="X24" s="678">
        <f t="shared" si="5"/>
        <v>5451.6</v>
      </c>
      <c r="Y24" s="807">
        <f t="shared" si="6"/>
        <v>13.81</v>
      </c>
      <c r="Z24" s="673">
        <f>IF(E24="ك",VLOOKUP(C24,TABVACT,'f-travail'!$BG$2+9,FALSE),IF(E24="ج",0))</f>
        <v>0</v>
      </c>
      <c r="AA24" s="673">
        <f>IF(E24="ك",VLOOKUP(C24,TABVACT,'f-travail'!$BG$2+10,FALSE),IF(E24="ج",ROUND((44.42)*AO24,2)))</f>
        <v>4664.1000000000004</v>
      </c>
      <c r="AB24" s="673">
        <f>IF(E24="ك",ROUND(VLOOKUP(C24,TABVACT,'f-travail'!$BG$2+11,FALSE)*(X24+Y24),2),IF(E24="ج",ROUND(((Y24+51.92)*VLOOKUP(C24,TABVACT,'f-travail'!$BG$2+11,FALSE)*AO24),2)))</f>
        <v>1725.41</v>
      </c>
      <c r="AC24" s="673">
        <f>IF(E24="ك",ROUND(VLOOKUP(C24,TABVACT,'f-travail'!$BG$2+12,FALSE)*(X24+Y24),2),IF(E24="ج",ROUND(((Y24+51.92)*VLOOKUP(C24,TABVACT,'f-travail'!$BG$2+12,FALSE)*AO24),2)))</f>
        <v>0</v>
      </c>
      <c r="AD24" s="673">
        <f>IF(E24="ك",ROUND(VLOOKUP(C24,TABVACT,'f-travail'!$BG$2+13,FALSE)*(X24+Y24),2),IF(E24="ج",ROUND(((Y24+51.92)*VLOOKUP(C24,TABVACT,'f-travail'!$BG$2+13,FALSE)*AO24),2)))</f>
        <v>0</v>
      </c>
      <c r="AE24" s="673">
        <f>IF(E24="ك",ROUND(VLOOKUP(C24,TABVACT,'f-travail'!$BG$2+14,FALSE)*(X24+Y24),2),IF(E24="ج",ROUND(((Y24+51.92)*VLOOKUP(C24,TABVACT,'f-travail'!$BG$2+14,FALSE)*AO24),2)))</f>
        <v>690.17</v>
      </c>
      <c r="AF24" s="673">
        <f>IF(E24="ك",ROUND(VLOOKUP(C24,TABVACT,'f-travail'!$BG$2+15,FALSE)*(X24+Y24),2),IF(E24="ج",ROUND(((Y24+51.92)*VLOOKUP(C24,TABVACT,'f-travail'!$BG$2+15,FALSE)*AO24),2)))</f>
        <v>1380.33</v>
      </c>
      <c r="AG24" s="673">
        <f t="shared" si="7"/>
        <v>7446.6</v>
      </c>
      <c r="AH24" s="673">
        <f t="shared" si="8"/>
        <v>16217.86</v>
      </c>
      <c r="AI24" s="673">
        <f t="shared" si="9"/>
        <v>16217.86</v>
      </c>
      <c r="AJ24" s="673">
        <f t="shared" si="10"/>
        <v>1459.61</v>
      </c>
      <c r="AK24" s="674">
        <f t="shared" si="11"/>
        <v>0</v>
      </c>
      <c r="AL24" s="673">
        <f>IF(AK24=0,0,(IF((AK24&gt;1500),(IF(OR(AK24&gt;22500),IF(AND(AK24&gt;22500),(AK24-22500)*12%)+IF(AND(AK24&gt;28750),(AK24-28750)*8%)+IF(AND(AK24&gt;30000),(AK24-30000)*10%)+1500,IF(AND((AK24&gt;1500),(AK24&lt;=22500)),(AK24-15000)*20%))),0)/2))</f>
        <v>0</v>
      </c>
      <c r="AM24" s="673">
        <f t="shared" si="13"/>
        <v>0</v>
      </c>
      <c r="AN24" s="810" t="str">
        <f t="shared" si="14"/>
        <v>متزوج (ة) / 1 طفل</v>
      </c>
      <c r="AO24" s="817">
        <f>LOOKUP(الرئيسية!$N$8,'ورقة العمل'!$T$1:$T$13,'ورقة العمل'!$V$1:$V$13)</f>
        <v>105</v>
      </c>
      <c r="AP24" s="642" t="s">
        <v>756</v>
      </c>
    </row>
    <row r="25" spans="1:42">
      <c r="A25" s="636">
        <f t="shared" si="15"/>
        <v>24</v>
      </c>
      <c r="B25" s="781" t="s">
        <v>750</v>
      </c>
      <c r="C25" s="803">
        <v>13</v>
      </c>
      <c r="D25" s="802" t="str">
        <f>VLOOKUP(C25,TABVACT,'f-travail'!$BG$2+1,FALSE)</f>
        <v>عامل مهني من المستوى الأول</v>
      </c>
      <c r="E25" s="804" t="s">
        <v>425</v>
      </c>
      <c r="F25" s="804">
        <v>19</v>
      </c>
      <c r="G25" s="803" t="s">
        <v>541</v>
      </c>
      <c r="H25" s="804"/>
      <c r="I25" s="804"/>
      <c r="J25" s="803">
        <v>0</v>
      </c>
      <c r="K25" s="803"/>
      <c r="L25" s="780">
        <v>5777888888</v>
      </c>
      <c r="M25" s="803" t="s">
        <v>561</v>
      </c>
      <c r="N25" s="803"/>
      <c r="O25" s="670" t="str">
        <f>VLOOKUP(C25,TABVACT,'f-travail'!$BG$2+5,FALSE)</f>
        <v>د 1</v>
      </c>
      <c r="P25" s="670">
        <f>VLOOKUP(C25,TABVACT,'f-travail'!$BG$2+6,FALSE)</f>
        <v>200</v>
      </c>
      <c r="Q25" s="811" t="str">
        <f t="shared" si="0"/>
        <v xml:space="preserve">19 X 1,40% </v>
      </c>
      <c r="R25" s="677" t="str">
        <f t="shared" si="17"/>
        <v>م()</v>
      </c>
      <c r="S25" s="678">
        <f t="shared" si="2"/>
        <v>0</v>
      </c>
      <c r="T25" s="673">
        <f t="shared" si="3"/>
        <v>0</v>
      </c>
      <c r="U25" s="678">
        <f t="shared" si="4"/>
        <v>0</v>
      </c>
      <c r="V25" s="675"/>
      <c r="W25" s="675">
        <v>5.19</v>
      </c>
      <c r="X25" s="678">
        <f t="shared" si="5"/>
        <v>5451.6</v>
      </c>
      <c r="Y25" s="807">
        <f t="shared" si="6"/>
        <v>13.81</v>
      </c>
      <c r="Z25" s="673">
        <f>IF(E25="ك",VLOOKUP(C25,TABVACT,'f-travail'!$BG$2+9,FALSE),IF(E25="ج",0))</f>
        <v>0</v>
      </c>
      <c r="AA25" s="673">
        <f>IF(E25="ك",VLOOKUP(C25,TABVACT,'f-travail'!$BG$2+10,FALSE),IF(E25="ج",ROUND((44.42)*AO25,2)))</f>
        <v>4664.1000000000004</v>
      </c>
      <c r="AB25" s="673">
        <f>IF(E25="ك",ROUND(VLOOKUP(C25,TABVACT,'f-travail'!$BG$2+11,FALSE)*(X25+Y25),2),IF(E25="ج",ROUND(((Y25+51.92)*VLOOKUP(C25,TABVACT,'f-travail'!$BG$2+11,FALSE)*AO25),2)))</f>
        <v>1725.41</v>
      </c>
      <c r="AC25" s="673">
        <f>IF(E25="ك",ROUND(VLOOKUP(C25,TABVACT,'f-travail'!$BG$2+12,FALSE)*(X25+Y25),2),IF(E25="ج",ROUND(((Y25+51.92)*VLOOKUP(C25,TABVACT,'f-travail'!$BG$2+12,FALSE)*AO25),2)))</f>
        <v>0</v>
      </c>
      <c r="AD25" s="673">
        <f>IF(E25="ك",ROUND(VLOOKUP(C25,TABVACT,'f-travail'!$BG$2+13,FALSE)*(X25+Y25),2),IF(E25="ج",ROUND(((Y25+51.92)*VLOOKUP(C25,TABVACT,'f-travail'!$BG$2+13,FALSE)*AO25),2)))</f>
        <v>0</v>
      </c>
      <c r="AE25" s="673">
        <f>IF(E25="ك",ROUND(VLOOKUP(C25,TABVACT,'f-travail'!$BG$2+14,FALSE)*(X25+Y25),2),IF(E25="ج",ROUND(((Y25+51.92)*VLOOKUP(C25,TABVACT,'f-travail'!$BG$2+14,FALSE)*AO25),2)))</f>
        <v>690.17</v>
      </c>
      <c r="AF25" s="673">
        <f>IF(E25="ك",ROUND(VLOOKUP(C25,TABVACT,'f-travail'!$BG$2+15,FALSE)*(X25+Y25),2),IF(E25="ج",ROUND(((Y25+51.92)*VLOOKUP(C25,TABVACT,'f-travail'!$BG$2+15,FALSE)*AO25),2)))</f>
        <v>1380.33</v>
      </c>
      <c r="AG25" s="673">
        <f t="shared" si="7"/>
        <v>7446.6</v>
      </c>
      <c r="AH25" s="673">
        <f t="shared" si="8"/>
        <v>15906.61</v>
      </c>
      <c r="AI25" s="673">
        <f t="shared" si="9"/>
        <v>15906.61</v>
      </c>
      <c r="AJ25" s="673">
        <f t="shared" si="10"/>
        <v>1431.59</v>
      </c>
      <c r="AK25" s="674">
        <f>IF((ROUNDDOWN(((AI25)-AJ25-Z25),-1))&lt;15000,0,(ROUNDDOWN(((AI25)-AJ25-Z25),-1)))</f>
        <v>0</v>
      </c>
      <c r="AL25" s="673">
        <f t="shared" si="12"/>
        <v>0</v>
      </c>
      <c r="AM25" s="673">
        <f t="shared" si="13"/>
        <v>0</v>
      </c>
      <c r="AN25" s="810" t="str">
        <f t="shared" si="14"/>
        <v xml:space="preserve">متزوج (ة) </v>
      </c>
      <c r="AO25" s="817">
        <f>LOOKUP(الرئيسية!$N$8,'ورقة العمل'!$T$1:$T$13,'ورقة العمل'!$V$1:$V$13)</f>
        <v>105</v>
      </c>
      <c r="AP25" s="642" t="s">
        <v>757</v>
      </c>
    </row>
    <row r="26" spans="1:42">
      <c r="A26" s="636">
        <f t="shared" si="15"/>
        <v>25</v>
      </c>
      <c r="B26" s="781" t="s">
        <v>751</v>
      </c>
      <c r="C26" s="803">
        <v>13</v>
      </c>
      <c r="D26" s="802" t="str">
        <f>VLOOKUP(C26,TABVACT,'f-travail'!$BG$2+1,FALSE)</f>
        <v>عامل مهني من المستوى الأول</v>
      </c>
      <c r="E26" s="804" t="s">
        <v>425</v>
      </c>
      <c r="F26" s="804">
        <v>8</v>
      </c>
      <c r="G26" s="803" t="s">
        <v>541</v>
      </c>
      <c r="H26" s="804"/>
      <c r="I26" s="804"/>
      <c r="J26" s="803">
        <v>0</v>
      </c>
      <c r="K26" s="803"/>
      <c r="L26" s="780">
        <v>4355435373</v>
      </c>
      <c r="M26" s="803" t="s">
        <v>561</v>
      </c>
      <c r="N26" s="803"/>
      <c r="O26" s="670" t="str">
        <f>VLOOKUP(C26,TABVACT,'f-travail'!$BG$2+5,FALSE)</f>
        <v>د 1</v>
      </c>
      <c r="P26" s="670">
        <f>VLOOKUP(C26,TABVACT,'f-travail'!$BG$2+6,FALSE)</f>
        <v>200</v>
      </c>
      <c r="Q26" s="811" t="str">
        <f t="shared" si="0"/>
        <v xml:space="preserve">8 X 1,40% </v>
      </c>
      <c r="R26" s="677" t="str">
        <f t="shared" si="17"/>
        <v>م()</v>
      </c>
      <c r="S26" s="678">
        <f t="shared" si="2"/>
        <v>0</v>
      </c>
      <c r="T26" s="673">
        <f t="shared" si="3"/>
        <v>0</v>
      </c>
      <c r="U26" s="678">
        <f t="shared" si="4"/>
        <v>0</v>
      </c>
      <c r="V26" s="675"/>
      <c r="W26" s="675">
        <v>5.19</v>
      </c>
      <c r="X26" s="678">
        <f t="shared" si="5"/>
        <v>5451.6</v>
      </c>
      <c r="Y26" s="807">
        <f t="shared" si="6"/>
        <v>5.82</v>
      </c>
      <c r="Z26" s="673">
        <f>IF(E26="ك",VLOOKUP(C26,TABVACT,'f-travail'!$BG$2+9,FALSE),IF(E26="ج",0))</f>
        <v>0</v>
      </c>
      <c r="AA26" s="673">
        <f>IF(E26="ك",VLOOKUP(C26,TABVACT,'f-travail'!$BG$2+10,FALSE),IF(E26="ج",ROUND((44.42)*AO26,2)))</f>
        <v>4664.1000000000004</v>
      </c>
      <c r="AB26" s="673">
        <f>IF(E26="ك",ROUND(VLOOKUP(C26,TABVACT,'f-travail'!$BG$2+11,FALSE)*(X26+Y26),2),IF(E26="ج",ROUND(((Y26+51.92)*VLOOKUP(C26,TABVACT,'f-travail'!$BG$2+11,FALSE)*AO26),2)))</f>
        <v>1515.68</v>
      </c>
      <c r="AC26" s="673">
        <f>IF(E26="ك",ROUND(VLOOKUP(C26,TABVACT,'f-travail'!$BG$2+12,FALSE)*(X26+Y26),2),IF(E26="ج",ROUND(((Y26+51.92)*VLOOKUP(C26,TABVACT,'f-travail'!$BG$2+12,FALSE)*AO26),2)))</f>
        <v>0</v>
      </c>
      <c r="AD26" s="673">
        <f>IF(E26="ك",ROUND(VLOOKUP(C26,TABVACT,'f-travail'!$BG$2+13,FALSE)*(X26+Y26),2),IF(E26="ج",ROUND(((Y26+51.92)*VLOOKUP(C26,TABVACT,'f-travail'!$BG$2+13,FALSE)*AO26),2)))</f>
        <v>0</v>
      </c>
      <c r="AE26" s="673">
        <f>IF(E26="ك",ROUND(VLOOKUP(C26,TABVACT,'f-travail'!$BG$2+14,FALSE)*(X26+Y26),2),IF(E26="ج",ROUND(((Y26+51.92)*VLOOKUP(C26,TABVACT,'f-travail'!$BG$2+14,FALSE)*AO26),2)))</f>
        <v>606.27</v>
      </c>
      <c r="AF26" s="673">
        <f>IF(E26="ك",ROUND(VLOOKUP(C26,TABVACT,'f-travail'!$BG$2+15,FALSE)*(X26+Y26),2),IF(E26="ج",ROUND(((Y26+51.92)*VLOOKUP(C26,TABVACT,'f-travail'!$BG$2+15,FALSE)*AO26),2)))</f>
        <v>1212.54</v>
      </c>
      <c r="AG26" s="673">
        <f t="shared" si="7"/>
        <v>6607.65</v>
      </c>
      <c r="AH26" s="673">
        <f t="shared" si="8"/>
        <v>14606.24</v>
      </c>
      <c r="AI26" s="673">
        <f t="shared" si="9"/>
        <v>14606.24</v>
      </c>
      <c r="AJ26" s="673">
        <f t="shared" si="10"/>
        <v>1314.56</v>
      </c>
      <c r="AK26" s="674">
        <f t="shared" si="11"/>
        <v>0</v>
      </c>
      <c r="AL26" s="673">
        <f t="shared" si="12"/>
        <v>0</v>
      </c>
      <c r="AM26" s="673">
        <f t="shared" si="13"/>
        <v>0</v>
      </c>
      <c r="AN26" s="810" t="str">
        <f t="shared" si="14"/>
        <v xml:space="preserve">متزوج (ة) </v>
      </c>
      <c r="AO26" s="817">
        <f>LOOKUP(الرئيسية!$N$8,'ورقة العمل'!$T$1:$T$13,'ورقة العمل'!$V$1:$V$13)</f>
        <v>105</v>
      </c>
      <c r="AP26" s="642" t="s">
        <v>758</v>
      </c>
    </row>
    <row r="27" spans="1:42">
      <c r="A27" s="636">
        <f t="shared" si="15"/>
        <v>26</v>
      </c>
      <c r="B27" s="781" t="s">
        <v>752</v>
      </c>
      <c r="C27" s="803">
        <v>13</v>
      </c>
      <c r="D27" s="802" t="str">
        <f>VLOOKUP(C27,TABVACT,'f-travail'!$BG$2+1,FALSE)</f>
        <v>عامل مهني من المستوى الأول</v>
      </c>
      <c r="E27" s="804" t="s">
        <v>425</v>
      </c>
      <c r="F27" s="804">
        <v>4</v>
      </c>
      <c r="G27" s="803" t="s">
        <v>541</v>
      </c>
      <c r="H27" s="804"/>
      <c r="I27" s="804"/>
      <c r="J27" s="803">
        <v>0</v>
      </c>
      <c r="K27" s="803"/>
      <c r="L27" s="780">
        <v>4355435373</v>
      </c>
      <c r="M27" s="803" t="s">
        <v>562</v>
      </c>
      <c r="N27" s="803"/>
      <c r="O27" s="670" t="str">
        <f>VLOOKUP(C27,TABVACT,'f-travail'!$BG$2+5,FALSE)</f>
        <v>د 1</v>
      </c>
      <c r="P27" s="670">
        <f>VLOOKUP(C27,TABVACT,'f-travail'!$BG$2+6,FALSE)</f>
        <v>200</v>
      </c>
      <c r="Q27" s="811" t="str">
        <f t="shared" si="0"/>
        <v xml:space="preserve">4 X 1,40% </v>
      </c>
      <c r="R27" s="677" t="str">
        <f t="shared" si="17"/>
        <v>م()</v>
      </c>
      <c r="S27" s="678">
        <f t="shared" si="2"/>
        <v>0</v>
      </c>
      <c r="T27" s="673">
        <f t="shared" si="3"/>
        <v>0</v>
      </c>
      <c r="U27" s="678">
        <f t="shared" si="4"/>
        <v>0</v>
      </c>
      <c r="V27" s="675"/>
      <c r="W27" s="675"/>
      <c r="X27" s="678">
        <f t="shared" si="5"/>
        <v>5451.6</v>
      </c>
      <c r="Y27" s="807">
        <f t="shared" si="6"/>
        <v>2.91</v>
      </c>
      <c r="Z27" s="673">
        <f>IF(E27="ك",VLOOKUP(C27,TABVACT,'f-travail'!$BG$2+9,FALSE),IF(E27="ج",0))</f>
        <v>0</v>
      </c>
      <c r="AA27" s="673">
        <f>IF(E27="ك",VLOOKUP(C27,TABVACT,'f-travail'!$BG$2+10,FALSE),IF(E27="ج",ROUND((44.42)*AO27,2)))</f>
        <v>4664.1000000000004</v>
      </c>
      <c r="AB27" s="673">
        <f>IF(E27="ك",ROUND(VLOOKUP(C27,TABVACT,'f-travail'!$BG$2+11,FALSE)*(X27+Y27),2),IF(E27="ج",ROUND(((Y27+51.92)*VLOOKUP(C27,TABVACT,'f-travail'!$BG$2+11,FALSE)*AO27),2)))</f>
        <v>1439.29</v>
      </c>
      <c r="AC27" s="673">
        <f>IF(E27="ك",ROUND(VLOOKUP(C27,TABVACT,'f-travail'!$BG$2+12,FALSE)*(X27+Y27),2),IF(E27="ج",ROUND(((Y27+51.92)*VLOOKUP(C27,TABVACT,'f-travail'!$BG$2+12,FALSE)*AO27),2)))</f>
        <v>0</v>
      </c>
      <c r="AD27" s="673">
        <f>IF(E27="ك",ROUND(VLOOKUP(C27,TABVACT,'f-travail'!$BG$2+13,FALSE)*(X27+Y27),2),IF(E27="ج",ROUND(((Y27+51.92)*VLOOKUP(C27,TABVACT,'f-travail'!$BG$2+13,FALSE)*AO27),2)))</f>
        <v>0</v>
      </c>
      <c r="AE27" s="673">
        <f>IF(E27="ك",ROUND(VLOOKUP(C27,TABVACT,'f-travail'!$BG$2+14,FALSE)*(X27+Y27),2),IF(E27="ج",ROUND(((Y27+51.92)*VLOOKUP(C27,TABVACT,'f-travail'!$BG$2+14,FALSE)*AO27),2)))</f>
        <v>575.72</v>
      </c>
      <c r="AF27" s="673">
        <f>IF(E27="ك",ROUND(VLOOKUP(C27,TABVACT,'f-travail'!$BG$2+15,FALSE)*(X27+Y27),2),IF(E27="ج",ROUND(((Y27+51.92)*VLOOKUP(C27,TABVACT,'f-travail'!$BG$2+15,FALSE)*AO27),2)))</f>
        <v>1151.43</v>
      </c>
      <c r="AG27" s="673">
        <f t="shared" si="7"/>
        <v>5757.15</v>
      </c>
      <c r="AH27" s="673">
        <f t="shared" si="8"/>
        <v>13587.69</v>
      </c>
      <c r="AI27" s="673">
        <f t="shared" si="9"/>
        <v>13587.69</v>
      </c>
      <c r="AJ27" s="673">
        <f t="shared" si="10"/>
        <v>1222.8900000000001</v>
      </c>
      <c r="AK27" s="674">
        <f t="shared" si="11"/>
        <v>0</v>
      </c>
      <c r="AL27" s="673">
        <f t="shared" si="12"/>
        <v>0</v>
      </c>
      <c r="AM27" s="673">
        <f t="shared" si="13"/>
        <v>0</v>
      </c>
      <c r="AN27" s="810" t="str">
        <f t="shared" si="14"/>
        <v xml:space="preserve">متزوج (ة) </v>
      </c>
      <c r="AO27" s="817">
        <f>LOOKUP(الرئيسية!$N$8,'ورقة العمل'!$T$1:$T$13,'ورقة العمل'!$V$1:$V$13)</f>
        <v>105</v>
      </c>
      <c r="AP27" s="642" t="s">
        <v>759</v>
      </c>
    </row>
    <row r="28" spans="1:42">
      <c r="A28" s="636">
        <f t="shared" si="15"/>
        <v>27</v>
      </c>
      <c r="B28" s="781" t="s">
        <v>753</v>
      </c>
      <c r="C28" s="803">
        <v>13</v>
      </c>
      <c r="D28" s="802" t="str">
        <f>VLOOKUP(C28,TABVACT,'f-travail'!$BG$2+1,FALSE)</f>
        <v>عامل مهني من المستوى الأول</v>
      </c>
      <c r="E28" s="804" t="s">
        <v>425</v>
      </c>
      <c r="F28" s="804">
        <v>4</v>
      </c>
      <c r="G28" s="803" t="s">
        <v>541</v>
      </c>
      <c r="H28" s="804"/>
      <c r="I28" s="804"/>
      <c r="J28" s="803">
        <v>0</v>
      </c>
      <c r="K28" s="803"/>
      <c r="L28" s="780">
        <v>4355435373</v>
      </c>
      <c r="M28" s="803" t="s">
        <v>562</v>
      </c>
      <c r="N28" s="803"/>
      <c r="O28" s="670" t="str">
        <f>VLOOKUP(C28,TABVACT,'f-travail'!$BG$2+5,FALSE)</f>
        <v>د 1</v>
      </c>
      <c r="P28" s="670">
        <f>VLOOKUP(C28,TABVACT,'f-travail'!$BG$2+6,FALSE)</f>
        <v>200</v>
      </c>
      <c r="Q28" s="811" t="str">
        <f t="shared" si="0"/>
        <v xml:space="preserve">4 X 1,40% </v>
      </c>
      <c r="R28" s="677" t="str">
        <f t="shared" si="17"/>
        <v>م()</v>
      </c>
      <c r="S28" s="678">
        <f t="shared" si="2"/>
        <v>0</v>
      </c>
      <c r="T28" s="673">
        <f t="shared" si="3"/>
        <v>0</v>
      </c>
      <c r="U28" s="678">
        <f t="shared" si="4"/>
        <v>0</v>
      </c>
      <c r="V28" s="675"/>
      <c r="W28" s="675"/>
      <c r="X28" s="678">
        <f t="shared" si="5"/>
        <v>5451.6</v>
      </c>
      <c r="Y28" s="807">
        <f t="shared" si="6"/>
        <v>2.91</v>
      </c>
      <c r="Z28" s="673">
        <f>IF(E28="ك",VLOOKUP(C28,TABVACT,'f-travail'!$BG$2+9,FALSE),IF(E28="ج",0))</f>
        <v>0</v>
      </c>
      <c r="AA28" s="673">
        <f>IF(E28="ك",VLOOKUP(C28,TABVACT,'f-travail'!$BG$2+10,FALSE),IF(E28="ج",ROUND((44.42)*AO28,2)))</f>
        <v>4664.1000000000004</v>
      </c>
      <c r="AB28" s="673">
        <f>IF(E28="ك",ROUND(VLOOKUP(C28,TABVACT,'f-travail'!$BG$2+11,FALSE)*(X28+Y28),2),IF(E28="ج",ROUND(((Y28+51.92)*VLOOKUP(C28,TABVACT,'f-travail'!$BG$2+11,FALSE)*AO28),2)))</f>
        <v>1439.29</v>
      </c>
      <c r="AC28" s="673">
        <f>IF(E28="ك",ROUND(VLOOKUP(C28,TABVACT,'f-travail'!$BG$2+12,FALSE)*(X28+Y28),2),IF(E28="ج",ROUND(((Y28+51.92)*VLOOKUP(C28,TABVACT,'f-travail'!$BG$2+12,FALSE)*AO28),2)))</f>
        <v>0</v>
      </c>
      <c r="AD28" s="673">
        <f>IF(E28="ك",ROUND(VLOOKUP(C28,TABVACT,'f-travail'!$BG$2+13,FALSE)*(X28+Y28),2),IF(E28="ج",ROUND(((Y28+51.92)*VLOOKUP(C28,TABVACT,'f-travail'!$BG$2+13,FALSE)*AO28),2)))</f>
        <v>0</v>
      </c>
      <c r="AE28" s="673">
        <f>IF(E28="ك",ROUND(VLOOKUP(C28,TABVACT,'f-travail'!$BG$2+14,FALSE)*(X28+Y28),2),IF(E28="ج",ROUND(((Y28+51.92)*VLOOKUP(C28,TABVACT,'f-travail'!$BG$2+14,FALSE)*AO28),2)))</f>
        <v>575.72</v>
      </c>
      <c r="AF28" s="673">
        <f>IF(E28="ك",ROUND(VLOOKUP(C28,TABVACT,'f-travail'!$BG$2+15,FALSE)*(X28+Y28),2),IF(E28="ج",ROUND(((Y28+51.92)*VLOOKUP(C28,TABVACT,'f-travail'!$BG$2+15,FALSE)*AO28),2)))</f>
        <v>1151.43</v>
      </c>
      <c r="AG28" s="673">
        <f t="shared" si="7"/>
        <v>5757.15</v>
      </c>
      <c r="AH28" s="673">
        <f t="shared" si="8"/>
        <v>13587.69</v>
      </c>
      <c r="AI28" s="673">
        <f t="shared" si="9"/>
        <v>13587.69</v>
      </c>
      <c r="AJ28" s="673">
        <f t="shared" si="10"/>
        <v>1222.8900000000001</v>
      </c>
      <c r="AK28" s="674">
        <f t="shared" si="11"/>
        <v>0</v>
      </c>
      <c r="AL28" s="673">
        <f t="shared" si="12"/>
        <v>0</v>
      </c>
      <c r="AM28" s="673">
        <f t="shared" si="13"/>
        <v>0</v>
      </c>
      <c r="AN28" s="810" t="str">
        <f t="shared" si="14"/>
        <v xml:space="preserve">متزوج (ة) </v>
      </c>
      <c r="AO28" s="817">
        <f>LOOKUP(الرئيسية!$N$8,'ورقة العمل'!$T$1:$T$13,'ورقة العمل'!$V$1:$V$13)</f>
        <v>105</v>
      </c>
      <c r="AP28" s="642" t="s">
        <v>756</v>
      </c>
    </row>
    <row r="29" spans="1:42">
      <c r="A29" s="636">
        <f t="shared" si="15"/>
        <v>28</v>
      </c>
      <c r="B29" s="781" t="s">
        <v>754</v>
      </c>
      <c r="C29" s="803">
        <v>13</v>
      </c>
      <c r="D29" s="802" t="str">
        <f>VLOOKUP(C29,TABVACT,'f-travail'!$BG$2+1,FALSE)</f>
        <v>عامل مهني من المستوى الأول</v>
      </c>
      <c r="E29" s="804" t="s">
        <v>425</v>
      </c>
      <c r="F29" s="804">
        <v>3</v>
      </c>
      <c r="G29" s="803" t="s">
        <v>541</v>
      </c>
      <c r="H29" s="804"/>
      <c r="I29" s="804"/>
      <c r="J29" s="803">
        <v>0</v>
      </c>
      <c r="K29" s="803"/>
      <c r="L29" s="780">
        <v>4355435373</v>
      </c>
      <c r="M29" s="803" t="s">
        <v>562</v>
      </c>
      <c r="N29" s="803"/>
      <c r="O29" s="670" t="str">
        <f>VLOOKUP(C29,TABVACT,'f-travail'!$BG$2+5,FALSE)</f>
        <v>د 1</v>
      </c>
      <c r="P29" s="670">
        <f>VLOOKUP(C29,TABVACT,'f-travail'!$BG$2+6,FALSE)</f>
        <v>200</v>
      </c>
      <c r="Q29" s="811" t="str">
        <f t="shared" si="0"/>
        <v xml:space="preserve">3 X 1,40% </v>
      </c>
      <c r="R29" s="677" t="str">
        <f t="shared" si="17"/>
        <v>م()</v>
      </c>
      <c r="S29" s="678">
        <f t="shared" si="2"/>
        <v>0</v>
      </c>
      <c r="T29" s="673">
        <f t="shared" si="3"/>
        <v>0</v>
      </c>
      <c r="U29" s="678">
        <f t="shared" si="4"/>
        <v>0</v>
      </c>
      <c r="V29" s="675"/>
      <c r="W29" s="675"/>
      <c r="X29" s="678">
        <f t="shared" si="5"/>
        <v>5451.6</v>
      </c>
      <c r="Y29" s="807">
        <f t="shared" si="6"/>
        <v>2.1800000000000002</v>
      </c>
      <c r="Z29" s="673">
        <f>IF(E29="ك",VLOOKUP(C29,TABVACT,'f-travail'!$BG$2+9,FALSE),IF(E29="ج",0))</f>
        <v>0</v>
      </c>
      <c r="AA29" s="673">
        <f>IF(E29="ك",VLOOKUP(C29,TABVACT,'f-travail'!$BG$2+10,FALSE),IF(E29="ج",ROUND((44.42)*AO29,2)))</f>
        <v>4664.1000000000004</v>
      </c>
      <c r="AB29" s="673">
        <f>IF(E29="ك",ROUND(VLOOKUP(C29,TABVACT,'f-travail'!$BG$2+11,FALSE)*(X29+Y29),2),IF(E29="ج",ROUND(((Y29+51.92)*VLOOKUP(C29,TABVACT,'f-travail'!$BG$2+11,FALSE)*AO29),2)))</f>
        <v>1420.13</v>
      </c>
      <c r="AC29" s="673">
        <f>IF(E29="ك",ROUND(VLOOKUP(C29,TABVACT,'f-travail'!$BG$2+12,FALSE)*(X29+Y29),2),IF(E29="ج",ROUND(((Y29+51.92)*VLOOKUP(C29,TABVACT,'f-travail'!$BG$2+12,FALSE)*AO29),2)))</f>
        <v>0</v>
      </c>
      <c r="AD29" s="673">
        <f>IF(E29="ك",ROUND(VLOOKUP(C29,TABVACT,'f-travail'!$BG$2+13,FALSE)*(X29+Y29),2),IF(E29="ج",ROUND(((Y29+51.92)*VLOOKUP(C29,TABVACT,'f-travail'!$BG$2+13,FALSE)*AO29),2)))</f>
        <v>0</v>
      </c>
      <c r="AE29" s="673">
        <f>IF(E29="ك",ROUND(VLOOKUP(C29,TABVACT,'f-travail'!$BG$2+14,FALSE)*(X29+Y29),2),IF(E29="ج",ROUND(((Y29+51.92)*VLOOKUP(C29,TABVACT,'f-travail'!$BG$2+14,FALSE)*AO29),2)))</f>
        <v>568.04999999999995</v>
      </c>
      <c r="AF29" s="673">
        <f>IF(E29="ك",ROUND(VLOOKUP(C29,TABVACT,'f-travail'!$BG$2+15,FALSE)*(X29+Y29),2),IF(E29="ج",ROUND(((Y29+51.92)*VLOOKUP(C29,TABVACT,'f-travail'!$BG$2+15,FALSE)*AO29),2)))</f>
        <v>1136.0999999999999</v>
      </c>
      <c r="AG29" s="673">
        <f t="shared" si="7"/>
        <v>5680.5</v>
      </c>
      <c r="AH29" s="673">
        <f t="shared" si="8"/>
        <v>13468.88</v>
      </c>
      <c r="AI29" s="673">
        <f t="shared" si="9"/>
        <v>13468.88</v>
      </c>
      <c r="AJ29" s="673">
        <f t="shared" si="10"/>
        <v>1212.2</v>
      </c>
      <c r="AK29" s="674">
        <f t="shared" si="11"/>
        <v>0</v>
      </c>
      <c r="AL29" s="673">
        <f t="shared" si="12"/>
        <v>0</v>
      </c>
      <c r="AM29" s="673">
        <f t="shared" si="13"/>
        <v>0</v>
      </c>
      <c r="AN29" s="810" t="str">
        <f t="shared" si="14"/>
        <v xml:space="preserve">متزوج (ة) </v>
      </c>
      <c r="AO29" s="817">
        <f>LOOKUP(الرئيسية!$N$8,'ورقة العمل'!$T$1:$T$13,'ورقة العمل'!$V$1:$V$13)</f>
        <v>105</v>
      </c>
      <c r="AP29" s="642" t="s">
        <v>757</v>
      </c>
    </row>
    <row r="30" spans="1:42">
      <c r="A30" s="636">
        <f t="shared" si="15"/>
        <v>29</v>
      </c>
      <c r="B30" s="781" t="s">
        <v>755</v>
      </c>
      <c r="C30" s="803">
        <v>13</v>
      </c>
      <c r="D30" s="802" t="str">
        <f>VLOOKUP(C30,TABVACT,'f-travail'!$BG$2+1,FALSE)</f>
        <v>عامل مهني من المستوى الأول</v>
      </c>
      <c r="E30" s="804" t="s">
        <v>425</v>
      </c>
      <c r="F30" s="804">
        <v>3</v>
      </c>
      <c r="G30" s="803" t="s">
        <v>541</v>
      </c>
      <c r="H30" s="804"/>
      <c r="I30" s="804"/>
      <c r="J30" s="803">
        <v>0</v>
      </c>
      <c r="K30" s="803"/>
      <c r="L30" s="780">
        <v>4355435373</v>
      </c>
      <c r="M30" s="803" t="s">
        <v>562</v>
      </c>
      <c r="N30" s="803"/>
      <c r="O30" s="670" t="str">
        <f>VLOOKUP(C30,TABVACT,'f-travail'!$BG$2+5,FALSE)</f>
        <v>د 1</v>
      </c>
      <c r="P30" s="670">
        <f>VLOOKUP(C30,TABVACT,'f-travail'!$BG$2+6,FALSE)</f>
        <v>200</v>
      </c>
      <c r="Q30" s="811" t="str">
        <f t="shared" si="0"/>
        <v xml:space="preserve">3 X 1,40% </v>
      </c>
      <c r="R30" s="677" t="str">
        <f t="shared" si="17"/>
        <v>م()</v>
      </c>
      <c r="S30" s="678">
        <f t="shared" si="2"/>
        <v>0</v>
      </c>
      <c r="T30" s="673">
        <f t="shared" si="3"/>
        <v>0</v>
      </c>
      <c r="U30" s="678">
        <f t="shared" si="4"/>
        <v>0</v>
      </c>
      <c r="V30" s="675"/>
      <c r="W30" s="675"/>
      <c r="X30" s="678">
        <f t="shared" si="5"/>
        <v>5451.6</v>
      </c>
      <c r="Y30" s="807">
        <f t="shared" si="6"/>
        <v>2.1800000000000002</v>
      </c>
      <c r="Z30" s="673">
        <f>IF(E30="ك",VLOOKUP(C30,TABVACT,'f-travail'!$BG$2+9,FALSE),IF(E30="ج",0))</f>
        <v>0</v>
      </c>
      <c r="AA30" s="673">
        <f>IF(E30="ك",VLOOKUP(C30,TABVACT,'f-travail'!$BG$2+10,FALSE),IF(E30="ج",ROUND((44.42)*AO30,2)))</f>
        <v>4664.1000000000004</v>
      </c>
      <c r="AB30" s="673">
        <f>IF(E30="ك",ROUND(VLOOKUP(C30,TABVACT,'f-travail'!$BG$2+11,FALSE)*(X30+Y30),2),IF(E30="ج",ROUND(((Y30+51.92)*VLOOKUP(C30,TABVACT,'f-travail'!$BG$2+11,FALSE)*AO30),2)))</f>
        <v>1420.13</v>
      </c>
      <c r="AC30" s="673">
        <f>IF(E30="ك",ROUND(VLOOKUP(C30,TABVACT,'f-travail'!$BG$2+12,FALSE)*(X30+Y30),2),IF(E30="ج",ROUND(((Y30+51.92)*VLOOKUP(C30,TABVACT,'f-travail'!$BG$2+12,FALSE)*AO30),2)))</f>
        <v>0</v>
      </c>
      <c r="AD30" s="673">
        <f>IF(E30="ك",ROUND(VLOOKUP(C30,TABVACT,'f-travail'!$BG$2+13,FALSE)*(X30+Y30),2),IF(E30="ج",ROUND(((Y30+51.92)*VLOOKUP(C30,TABVACT,'f-travail'!$BG$2+13,FALSE)*AO30),2)))</f>
        <v>0</v>
      </c>
      <c r="AE30" s="673">
        <f>IF(E30="ك",ROUND(VLOOKUP(C30,TABVACT,'f-travail'!$BG$2+14,FALSE)*(X30+Y30),2),IF(E30="ج",ROUND(((Y30+51.92)*VLOOKUP(C30,TABVACT,'f-travail'!$BG$2+14,FALSE)*AO30),2)))</f>
        <v>568.04999999999995</v>
      </c>
      <c r="AF30" s="673">
        <f>IF(E30="ك",ROUND(VLOOKUP(C30,TABVACT,'f-travail'!$BG$2+15,FALSE)*(X30+Y30),2),IF(E30="ج",ROUND(((Y30+51.92)*VLOOKUP(C30,TABVACT,'f-travail'!$BG$2+15,FALSE)*AO30),2)))</f>
        <v>1136.0999999999999</v>
      </c>
      <c r="AG30" s="673">
        <f t="shared" si="7"/>
        <v>5680.5</v>
      </c>
      <c r="AH30" s="673">
        <f t="shared" si="8"/>
        <v>13468.88</v>
      </c>
      <c r="AI30" s="673">
        <f t="shared" si="9"/>
        <v>13468.88</v>
      </c>
      <c r="AJ30" s="673">
        <f t="shared" si="10"/>
        <v>1212.2</v>
      </c>
      <c r="AK30" s="674">
        <f t="shared" si="11"/>
        <v>0</v>
      </c>
      <c r="AL30" s="673">
        <f t="shared" si="12"/>
        <v>0</v>
      </c>
      <c r="AM30" s="673">
        <f t="shared" si="13"/>
        <v>0</v>
      </c>
      <c r="AN30" s="810" t="str">
        <f t="shared" si="14"/>
        <v xml:space="preserve">متزوج (ة) </v>
      </c>
      <c r="AO30" s="817">
        <f>LOOKUP(الرئيسية!$N$8,'ورقة العمل'!$T$1:$T$13,'ورقة العمل'!$V$1:$V$13)</f>
        <v>105</v>
      </c>
      <c r="AP30" s="642" t="s">
        <v>758</v>
      </c>
    </row>
    <row r="31" spans="1:42" s="645" customFormat="1">
      <c r="A31" s="636">
        <f t="shared" si="15"/>
        <v>30</v>
      </c>
      <c r="B31" s="637"/>
      <c r="C31" s="803"/>
      <c r="D31" s="802" t="e">
        <f>VLOOKUP(C31,TABVACT,'f-travail'!$BG$2+1,FALSE)</f>
        <v>#N/A</v>
      </c>
      <c r="E31" s="804"/>
      <c r="F31" s="804"/>
      <c r="G31" s="803"/>
      <c r="H31" s="804"/>
      <c r="I31" s="804"/>
      <c r="J31" s="803"/>
      <c r="K31" s="803"/>
      <c r="L31" s="647"/>
      <c r="M31" s="803"/>
      <c r="N31" s="803"/>
      <c r="O31" s="670" t="e">
        <f>VLOOKUP(C31,TABVACT,'f-travail'!$BG$2+5,FALSE)</f>
        <v>#N/A</v>
      </c>
      <c r="P31" s="670" t="e">
        <f>VLOOKUP(C31,TABVACT,'f-travail'!$BG$2+6,FALSE)</f>
        <v>#N/A</v>
      </c>
      <c r="Q31" s="811" t="str">
        <f t="shared" si="0"/>
        <v/>
      </c>
      <c r="R31" s="677" t="b">
        <f t="shared" si="17"/>
        <v>0</v>
      </c>
      <c r="S31" s="678">
        <f t="shared" si="2"/>
        <v>0</v>
      </c>
      <c r="T31" s="673">
        <f t="shared" si="3"/>
        <v>0</v>
      </c>
      <c r="U31" s="678">
        <f t="shared" si="4"/>
        <v>0</v>
      </c>
      <c r="V31" s="675"/>
      <c r="W31" s="675"/>
      <c r="X31" s="678" t="b">
        <f t="shared" si="5"/>
        <v>0</v>
      </c>
      <c r="Y31" s="807" t="b">
        <f t="shared" si="6"/>
        <v>0</v>
      </c>
      <c r="Z31" s="673" t="b">
        <f>IF(E31="ك",VLOOKUP(C31,TABVACT,'f-travail'!$BG$2+9,FALSE),IF(E31="ج",0))</f>
        <v>0</v>
      </c>
      <c r="AA31" s="673" t="b">
        <f>IF(E31="ك",VLOOKUP(C31,TABVACT,'f-travail'!$BG$2+10,FALSE),IF(E31="ج",ROUND((44.42)*AO31,2)))</f>
        <v>0</v>
      </c>
      <c r="AB31" s="673" t="b">
        <f>IF(E31="ك",ROUND(VLOOKUP(C31,TABVACT,'f-travail'!$BG$2+11,FALSE)*(X31+Y31),2),IF(E31="ج",ROUND(((Y31+51.92)*VLOOKUP(C31,TABVACT,'f-travail'!$BG$2+11,FALSE)*AO31),2)))</f>
        <v>0</v>
      </c>
      <c r="AC31" s="673" t="b">
        <f>IF(E31="ك",ROUND(VLOOKUP(C31,TABVACT,'f-travail'!$BG$2+12,FALSE)*(X31+Y31),2),IF(E31="ج",ROUND(((Y31+51.92)*VLOOKUP(C31,TABVACT,'f-travail'!$BG$2+12,FALSE)*AO31),2)))</f>
        <v>0</v>
      </c>
      <c r="AD31" s="673" t="b">
        <f>IF(E31="ك",ROUND(VLOOKUP(C31,TABVACT,'f-travail'!$BG$2+13,FALSE)*(X31+Y31),2),IF(E31="ج",ROUND(((Y31+51.92)*VLOOKUP(C31,TABVACT,'f-travail'!$BG$2+13,FALSE)*AO31),2)))</f>
        <v>0</v>
      </c>
      <c r="AE31" s="673" t="b">
        <f>IF(E31="ك",ROUND(VLOOKUP(C31,TABVACT,'f-travail'!$BG$2+14,FALSE)*(X31+Y31),2),IF(E31="ج",ROUND(((Y31+51.92)*VLOOKUP(C31,TABVACT,'f-travail'!$BG$2+14,FALSE)*AO31),2)))</f>
        <v>0</v>
      </c>
      <c r="AF31" s="673" t="b">
        <f>IF(E31="ك",ROUND(VLOOKUP(C31,TABVACT,'f-travail'!$BG$2+15,FALSE)*(X31+Y31),2),IF(E31="ج",ROUND(((Y31+51.92)*VLOOKUP(C31,TABVACT,'f-travail'!$BG$2+15,FALSE)*AO31),2)))</f>
        <v>0</v>
      </c>
      <c r="AG31" s="673" t="b">
        <f t="shared" si="7"/>
        <v>0</v>
      </c>
      <c r="AH31" s="673">
        <f t="shared" si="8"/>
        <v>0</v>
      </c>
      <c r="AI31" s="673">
        <f t="shared" si="9"/>
        <v>0</v>
      </c>
      <c r="AJ31" s="673">
        <f t="shared" si="10"/>
        <v>0</v>
      </c>
      <c r="AK31" s="674">
        <f t="shared" si="11"/>
        <v>0</v>
      </c>
      <c r="AL31" s="673">
        <f t="shared" si="12"/>
        <v>0</v>
      </c>
      <c r="AM31" s="673">
        <f t="shared" si="13"/>
        <v>0</v>
      </c>
      <c r="AN31" s="810" t="str">
        <f t="shared" si="14"/>
        <v>عازب(ة)</v>
      </c>
      <c r="AO31" s="817">
        <f>LOOKUP(الرئيسية!$N$8,'ورقة العمل'!$T$1:$T$13,'ورقة العمل'!$V$1:$V$13)</f>
        <v>105</v>
      </c>
      <c r="AP31" s="642"/>
    </row>
    <row r="32" spans="1:42" s="645" customFormat="1">
      <c r="A32" s="636">
        <f t="shared" si="15"/>
        <v>31</v>
      </c>
      <c r="B32" s="637"/>
      <c r="C32" s="803"/>
      <c r="D32" s="802" t="e">
        <f>VLOOKUP(C32,TABVACT,'f-travail'!$BG$2+1,FALSE)</f>
        <v>#N/A</v>
      </c>
      <c r="E32" s="804"/>
      <c r="F32" s="804"/>
      <c r="G32" s="803"/>
      <c r="H32" s="804"/>
      <c r="I32" s="804"/>
      <c r="J32" s="803"/>
      <c r="K32" s="803"/>
      <c r="L32" s="647"/>
      <c r="M32" s="803"/>
      <c r="N32" s="803"/>
      <c r="O32" s="670" t="e">
        <f>VLOOKUP(C32,TABVACT,'f-travail'!$BG$2+5,FALSE)</f>
        <v>#N/A</v>
      </c>
      <c r="P32" s="670" t="e">
        <f>VLOOKUP(C32,TABVACT,'f-travail'!$BG$2+6,FALSE)</f>
        <v>#N/A</v>
      </c>
      <c r="Q32" s="811" t="str">
        <f t="shared" si="0"/>
        <v/>
      </c>
      <c r="R32" s="677" t="b">
        <f t="shared" si="17"/>
        <v>0</v>
      </c>
      <c r="S32" s="678">
        <f t="shared" si="2"/>
        <v>0</v>
      </c>
      <c r="T32" s="673">
        <f t="shared" si="3"/>
        <v>0</v>
      </c>
      <c r="U32" s="678">
        <f t="shared" si="4"/>
        <v>0</v>
      </c>
      <c r="V32" s="675"/>
      <c r="W32" s="675"/>
      <c r="X32" s="678" t="b">
        <f t="shared" si="5"/>
        <v>0</v>
      </c>
      <c r="Y32" s="807" t="b">
        <f t="shared" si="6"/>
        <v>0</v>
      </c>
      <c r="Z32" s="673" t="b">
        <f>IF(E32="ك",VLOOKUP(C32,TABVACT,'f-travail'!$BG$2+9,FALSE),IF(E32="ج",0))</f>
        <v>0</v>
      </c>
      <c r="AA32" s="673" t="b">
        <f>IF(E32="ك",VLOOKUP(C32,TABVACT,'f-travail'!$BG$2+10,FALSE),IF(E32="ج",ROUND((44.42)*AO32,2)))</f>
        <v>0</v>
      </c>
      <c r="AB32" s="673" t="b">
        <f>IF(E32="ك",ROUND(VLOOKUP(C32,TABVACT,'f-travail'!$BG$2+11,FALSE)*(X32+Y32),2),IF(E32="ج",ROUND(((Y32+51.92)*VLOOKUP(C32,TABVACT,'f-travail'!$BG$2+11,FALSE)*AO32),2)))</f>
        <v>0</v>
      </c>
      <c r="AC32" s="673" t="b">
        <f>IF(E32="ك",ROUND(VLOOKUP(C32,TABVACT,'f-travail'!$BG$2+12,FALSE)*(X32+Y32),2),IF(E32="ج",ROUND(((Y32+51.92)*VLOOKUP(C32,TABVACT,'f-travail'!$BG$2+12,FALSE)*AO32),2)))</f>
        <v>0</v>
      </c>
      <c r="AD32" s="673" t="b">
        <f>IF(E32="ك",ROUND(VLOOKUP(C32,TABVACT,'f-travail'!$BG$2+13,FALSE)*(X32+Y32),2),IF(E32="ج",ROUND(((Y32+51.92)*VLOOKUP(C32,TABVACT,'f-travail'!$BG$2+13,FALSE)*AO32),2)))</f>
        <v>0</v>
      </c>
      <c r="AE32" s="673" t="b">
        <f>IF(E32="ك",ROUND(VLOOKUP(C32,TABVACT,'f-travail'!$BG$2+14,FALSE)*(X32+Y32),2),IF(E32="ج",ROUND(((Y32+51.92)*VLOOKUP(C32,TABVACT,'f-travail'!$BG$2+14,FALSE)*AO32),2)))</f>
        <v>0</v>
      </c>
      <c r="AF32" s="673" t="b">
        <f>IF(E32="ك",ROUND(VLOOKUP(C32,TABVACT,'f-travail'!$BG$2+15,FALSE)*(X32+Y32),2),IF(E32="ج",ROUND(((Y32+51.92)*VLOOKUP(C32,TABVACT,'f-travail'!$BG$2+15,FALSE)*AO32),2)))</f>
        <v>0</v>
      </c>
      <c r="AG32" s="673" t="b">
        <f t="shared" si="7"/>
        <v>0</v>
      </c>
      <c r="AH32" s="673">
        <f t="shared" si="8"/>
        <v>0</v>
      </c>
      <c r="AI32" s="673">
        <f t="shared" si="9"/>
        <v>0</v>
      </c>
      <c r="AJ32" s="673">
        <f t="shared" si="10"/>
        <v>0</v>
      </c>
      <c r="AK32" s="674">
        <f t="shared" si="11"/>
        <v>0</v>
      </c>
      <c r="AL32" s="673">
        <f t="shared" si="12"/>
        <v>0</v>
      </c>
      <c r="AM32" s="673">
        <f t="shared" si="13"/>
        <v>0</v>
      </c>
      <c r="AN32" s="810" t="str">
        <f t="shared" si="14"/>
        <v>عازب(ة)</v>
      </c>
      <c r="AO32" s="817">
        <f>LOOKUP(الرئيسية!$N$8,'ورقة العمل'!$T$1:$T$13,'ورقة العمل'!$V$1:$V$13)</f>
        <v>105</v>
      </c>
    </row>
    <row r="33" spans="1:41" s="645" customFormat="1">
      <c r="A33" s="636">
        <f t="shared" si="15"/>
        <v>32</v>
      </c>
      <c r="B33" s="637"/>
      <c r="C33" s="803"/>
      <c r="D33" s="802" t="e">
        <f>VLOOKUP(C33,TABVACT,'f-travail'!$BG$2+1,FALSE)</f>
        <v>#N/A</v>
      </c>
      <c r="E33" s="804"/>
      <c r="F33" s="804"/>
      <c r="G33" s="803"/>
      <c r="H33" s="804"/>
      <c r="I33" s="804"/>
      <c r="J33" s="803"/>
      <c r="K33" s="803"/>
      <c r="L33" s="647"/>
      <c r="M33" s="803"/>
      <c r="N33" s="803"/>
      <c r="O33" s="670" t="e">
        <f>VLOOKUP(C33,TABVACT,'f-travail'!$BG$2+5,FALSE)</f>
        <v>#N/A</v>
      </c>
      <c r="P33" s="670" t="e">
        <f>VLOOKUP(C33,TABVACT,'f-travail'!$BG$2+6,FALSE)</f>
        <v>#N/A</v>
      </c>
      <c r="Q33" s="811" t="str">
        <f t="shared" si="0"/>
        <v/>
      </c>
      <c r="R33" s="677" t="b">
        <f t="shared" si="17"/>
        <v>0</v>
      </c>
      <c r="S33" s="678">
        <f t="shared" si="2"/>
        <v>0</v>
      </c>
      <c r="T33" s="673">
        <f t="shared" si="3"/>
        <v>0</v>
      </c>
      <c r="U33" s="678">
        <f t="shared" si="4"/>
        <v>0</v>
      </c>
      <c r="V33" s="675"/>
      <c r="W33" s="675"/>
      <c r="X33" s="678" t="b">
        <f t="shared" si="5"/>
        <v>0</v>
      </c>
      <c r="Y33" s="807" t="b">
        <f t="shared" si="6"/>
        <v>0</v>
      </c>
      <c r="Z33" s="673" t="b">
        <f>IF(E33="ك",VLOOKUP(C33,TABVACT,'f-travail'!$BG$2+9,FALSE),IF(E33="ج",0))</f>
        <v>0</v>
      </c>
      <c r="AA33" s="673" t="b">
        <f>IF(E33="ك",VLOOKUP(C33,TABVACT,'f-travail'!$BG$2+10,FALSE),IF(E33="ج",ROUND((44.42)*AO33,2)))</f>
        <v>0</v>
      </c>
      <c r="AB33" s="673" t="b">
        <f>IF(E33="ك",ROUND(VLOOKUP(C33,TABVACT,'f-travail'!$BG$2+11,FALSE)*(X33+Y33),2),IF(E33="ج",ROUND(((Y33+51.92)*VLOOKUP(C33,TABVACT,'f-travail'!$BG$2+11,FALSE)*AO33),2)))</f>
        <v>0</v>
      </c>
      <c r="AC33" s="673" t="b">
        <f>IF(E33="ك",ROUND(VLOOKUP(C33,TABVACT,'f-travail'!$BG$2+12,FALSE)*(X33+Y33),2),IF(E33="ج",ROUND(((Y33+51.92)*VLOOKUP(C33,TABVACT,'f-travail'!$BG$2+12,FALSE)*AO33),2)))</f>
        <v>0</v>
      </c>
      <c r="AD33" s="673" t="b">
        <f>IF(E33="ك",ROUND(VLOOKUP(C33,TABVACT,'f-travail'!$BG$2+13,FALSE)*(X33+Y33),2),IF(E33="ج",ROUND(((Y33+51.92)*VLOOKUP(C33,TABVACT,'f-travail'!$BG$2+13,FALSE)*AO33),2)))</f>
        <v>0</v>
      </c>
      <c r="AE33" s="673" t="b">
        <f>IF(E33="ك",ROUND(VLOOKUP(C33,TABVACT,'f-travail'!$BG$2+14,FALSE)*(X33+Y33),2),IF(E33="ج",ROUND(((Y33+51.92)*VLOOKUP(C33,TABVACT,'f-travail'!$BG$2+14,FALSE)*AO33),2)))</f>
        <v>0</v>
      </c>
      <c r="AF33" s="673" t="b">
        <f>IF(E33="ك",ROUND(VLOOKUP(C33,TABVACT,'f-travail'!$BG$2+15,FALSE)*(X33+Y33),2),IF(E33="ج",ROUND(((Y33+51.92)*VLOOKUP(C33,TABVACT,'f-travail'!$BG$2+15,FALSE)*AO33),2)))</f>
        <v>0</v>
      </c>
      <c r="AG33" s="673" t="b">
        <f t="shared" si="7"/>
        <v>0</v>
      </c>
      <c r="AH33" s="673">
        <f t="shared" si="8"/>
        <v>0</v>
      </c>
      <c r="AI33" s="673">
        <f t="shared" si="9"/>
        <v>0</v>
      </c>
      <c r="AJ33" s="673">
        <f t="shared" si="10"/>
        <v>0</v>
      </c>
      <c r="AK33" s="674">
        <f t="shared" si="11"/>
        <v>0</v>
      </c>
      <c r="AL33" s="673">
        <f t="shared" si="12"/>
        <v>0</v>
      </c>
      <c r="AM33" s="673">
        <f t="shared" si="13"/>
        <v>0</v>
      </c>
      <c r="AN33" s="810" t="str">
        <f t="shared" si="14"/>
        <v>عازب(ة)</v>
      </c>
      <c r="AO33" s="817">
        <f>LOOKUP(الرئيسية!$N$8,'ورقة العمل'!$T$1:$T$13,'ورقة العمل'!$V$1:$V$13)</f>
        <v>105</v>
      </c>
    </row>
    <row r="34" spans="1:41" s="645" customFormat="1">
      <c r="A34" s="636">
        <f t="shared" si="15"/>
        <v>33</v>
      </c>
      <c r="B34" s="637"/>
      <c r="C34" s="803"/>
      <c r="D34" s="802" t="e">
        <f>VLOOKUP(C34,TABVACT,'f-travail'!$BG$2+1,FALSE)</f>
        <v>#N/A</v>
      </c>
      <c r="E34" s="804"/>
      <c r="F34" s="804"/>
      <c r="G34" s="803"/>
      <c r="H34" s="804"/>
      <c r="I34" s="804"/>
      <c r="J34" s="803"/>
      <c r="K34" s="803"/>
      <c r="L34" s="647"/>
      <c r="M34" s="803"/>
      <c r="N34" s="803"/>
      <c r="O34" s="670" t="e">
        <f>VLOOKUP(C34,TABVACT,'f-travail'!$BG$2+5,FALSE)</f>
        <v>#N/A</v>
      </c>
      <c r="P34" s="670" t="e">
        <f>VLOOKUP(C34,TABVACT,'f-travail'!$BG$2+6,FALSE)</f>
        <v>#N/A</v>
      </c>
      <c r="Q34" s="811" t="str">
        <f t="shared" ref="Q34:Q65" si="18">IF(OR(F34="",F34=0),"",CONCATENATE(F34," X 1,40% "))</f>
        <v/>
      </c>
      <c r="R34" s="677" t="b">
        <f t="shared" si="17"/>
        <v>0</v>
      </c>
      <c r="S34" s="678">
        <f t="shared" si="2"/>
        <v>0</v>
      </c>
      <c r="T34" s="673">
        <f t="shared" si="3"/>
        <v>0</v>
      </c>
      <c r="U34" s="678">
        <f t="shared" si="4"/>
        <v>0</v>
      </c>
      <c r="V34" s="675"/>
      <c r="W34" s="675"/>
      <c r="X34" s="678" t="b">
        <f t="shared" si="5"/>
        <v>0</v>
      </c>
      <c r="Y34" s="807" t="b">
        <f t="shared" si="6"/>
        <v>0</v>
      </c>
      <c r="Z34" s="673" t="b">
        <f>IF(E34="ك",VLOOKUP(C34,TABVACT,'f-travail'!$BG$2+9,FALSE),IF(E34="ج",0))</f>
        <v>0</v>
      </c>
      <c r="AA34" s="673" t="b">
        <f>IF(E34="ك",VLOOKUP(C34,TABVACT,'f-travail'!$BG$2+10,FALSE),IF(E34="ج",ROUND((44.42)*AO34,2)))</f>
        <v>0</v>
      </c>
      <c r="AB34" s="673" t="b">
        <f>IF(E34="ك",ROUND(VLOOKUP(C34,TABVACT,'f-travail'!$BG$2+11,FALSE)*(X34+Y34),2),IF(E34="ج",ROUND(((Y34+51.92)*VLOOKUP(C34,TABVACT,'f-travail'!$BG$2+11,FALSE)*AO34),2)))</f>
        <v>0</v>
      </c>
      <c r="AC34" s="673" t="b">
        <f>IF(E34="ك",ROUND(VLOOKUP(C34,TABVACT,'f-travail'!$BG$2+12,FALSE)*(X34+Y34),2),IF(E34="ج",ROUND(((Y34+51.92)*VLOOKUP(C34,TABVACT,'f-travail'!$BG$2+12,FALSE)*AO34),2)))</f>
        <v>0</v>
      </c>
      <c r="AD34" s="673" t="b">
        <f>IF(E34="ك",ROUND(VLOOKUP(C34,TABVACT,'f-travail'!$BG$2+13,FALSE)*(X34+Y34),2),IF(E34="ج",ROUND(((Y34+51.92)*VLOOKUP(C34,TABVACT,'f-travail'!$BG$2+13,FALSE)*AO34),2)))</f>
        <v>0</v>
      </c>
      <c r="AE34" s="673" t="b">
        <f>IF(E34="ك",ROUND(VLOOKUP(C34,TABVACT,'f-travail'!$BG$2+14,FALSE)*(X34+Y34),2),IF(E34="ج",ROUND(((Y34+51.92)*VLOOKUP(C34,TABVACT,'f-travail'!$BG$2+14,FALSE)*AO34),2)))</f>
        <v>0</v>
      </c>
      <c r="AF34" s="673" t="b">
        <f>IF(E34="ك",ROUND(VLOOKUP(C34,TABVACT,'f-travail'!$BG$2+15,FALSE)*(X34+Y34),2),IF(E34="ج",ROUND(((Y34+51.92)*VLOOKUP(C34,TABVACT,'f-travail'!$BG$2+15,FALSE)*AO34),2)))</f>
        <v>0</v>
      </c>
      <c r="AG34" s="673" t="b">
        <f t="shared" si="7"/>
        <v>0</v>
      </c>
      <c r="AH34" s="673">
        <f t="shared" si="8"/>
        <v>0</v>
      </c>
      <c r="AI34" s="673">
        <f t="shared" si="9"/>
        <v>0</v>
      </c>
      <c r="AJ34" s="673">
        <f t="shared" si="10"/>
        <v>0</v>
      </c>
      <c r="AK34" s="674">
        <f t="shared" si="11"/>
        <v>0</v>
      </c>
      <c r="AL34" s="673">
        <f t="shared" si="12"/>
        <v>0</v>
      </c>
      <c r="AM34" s="673">
        <f t="shared" si="13"/>
        <v>0</v>
      </c>
      <c r="AN34" s="810" t="str">
        <f t="shared" si="14"/>
        <v>عازب(ة)</v>
      </c>
      <c r="AO34" s="817">
        <f>LOOKUP(الرئيسية!$N$8,'ورقة العمل'!$T$1:$T$13,'ورقة العمل'!$V$1:$V$13)</f>
        <v>105</v>
      </c>
    </row>
    <row r="35" spans="1:41" s="645" customFormat="1">
      <c r="A35" s="636">
        <f t="shared" si="15"/>
        <v>34</v>
      </c>
      <c r="B35" s="637"/>
      <c r="C35" s="803"/>
      <c r="D35" s="802" t="e">
        <f>VLOOKUP(C35,TABVACT,'f-travail'!$BG$2+1,FALSE)</f>
        <v>#N/A</v>
      </c>
      <c r="E35" s="804"/>
      <c r="F35" s="804"/>
      <c r="G35" s="803"/>
      <c r="H35" s="804"/>
      <c r="I35" s="804"/>
      <c r="J35" s="803"/>
      <c r="K35" s="803"/>
      <c r="L35" s="647"/>
      <c r="M35" s="803"/>
      <c r="N35" s="803"/>
      <c r="O35" s="670" t="e">
        <f>VLOOKUP(C35,TABVACT,'f-travail'!$BG$2+5,FALSE)</f>
        <v>#N/A</v>
      </c>
      <c r="P35" s="670" t="e">
        <f>VLOOKUP(C35,TABVACT,'f-travail'!$BG$2+6,FALSE)</f>
        <v>#N/A</v>
      </c>
      <c r="Q35" s="811" t="str">
        <f t="shared" si="18"/>
        <v/>
      </c>
      <c r="R35" s="677" t="b">
        <f t="shared" si="17"/>
        <v>0</v>
      </c>
      <c r="S35" s="678">
        <f t="shared" si="2"/>
        <v>0</v>
      </c>
      <c r="T35" s="673">
        <f t="shared" si="3"/>
        <v>0</v>
      </c>
      <c r="U35" s="678">
        <f t="shared" si="4"/>
        <v>0</v>
      </c>
      <c r="V35" s="675"/>
      <c r="W35" s="675"/>
      <c r="X35" s="678" t="b">
        <f t="shared" si="5"/>
        <v>0</v>
      </c>
      <c r="Y35" s="807" t="b">
        <f t="shared" si="6"/>
        <v>0</v>
      </c>
      <c r="Z35" s="673" t="b">
        <f>IF(E35="ك",VLOOKUP(C35,TABVACT,'f-travail'!$BG$2+9,FALSE),IF(E35="ج",0))</f>
        <v>0</v>
      </c>
      <c r="AA35" s="673" t="b">
        <f>IF(E35="ك",VLOOKUP(C35,TABVACT,'f-travail'!$BG$2+10,FALSE),IF(E35="ج",ROUND((44.42)*AO35,2)))</f>
        <v>0</v>
      </c>
      <c r="AB35" s="673" t="b">
        <f>IF(E35="ك",ROUND(VLOOKUP(C35,TABVACT,'f-travail'!$BG$2+11,FALSE)*(X35+Y35),2),IF(E35="ج",ROUND(((Y35+51.92)*VLOOKUP(C35,TABVACT,'f-travail'!$BG$2+11,FALSE)*AO35),2)))</f>
        <v>0</v>
      </c>
      <c r="AC35" s="673" t="b">
        <f>IF(E35="ك",ROUND(VLOOKUP(C35,TABVACT,'f-travail'!$BG$2+12,FALSE)*(X35+Y35),2),IF(E35="ج",ROUND(((Y35+51.92)*VLOOKUP(C35,TABVACT,'f-travail'!$BG$2+12,FALSE)*AO35),2)))</f>
        <v>0</v>
      </c>
      <c r="AD35" s="673" t="b">
        <f>IF(E35="ك",ROUND(VLOOKUP(C35,TABVACT,'f-travail'!$BG$2+13,FALSE)*(X35+Y35),2),IF(E35="ج",ROUND(((Y35+51.92)*VLOOKUP(C35,TABVACT,'f-travail'!$BG$2+13,FALSE)*AO35),2)))</f>
        <v>0</v>
      </c>
      <c r="AE35" s="673" t="b">
        <f>IF(E35="ك",ROUND(VLOOKUP(C35,TABVACT,'f-travail'!$BG$2+14,FALSE)*(X35+Y35),2),IF(E35="ج",ROUND(((Y35+51.92)*VLOOKUP(C35,TABVACT,'f-travail'!$BG$2+14,FALSE)*AO35),2)))</f>
        <v>0</v>
      </c>
      <c r="AF35" s="673" t="b">
        <f>IF(E35="ك",ROUND(VLOOKUP(C35,TABVACT,'f-travail'!$BG$2+15,FALSE)*(X35+Y35),2),IF(E35="ج",ROUND(((Y35+51.92)*VLOOKUP(C35,TABVACT,'f-travail'!$BG$2+15,FALSE)*AO35),2)))</f>
        <v>0</v>
      </c>
      <c r="AG35" s="673" t="b">
        <f t="shared" si="7"/>
        <v>0</v>
      </c>
      <c r="AH35" s="673">
        <f t="shared" si="8"/>
        <v>0</v>
      </c>
      <c r="AI35" s="673">
        <f t="shared" si="9"/>
        <v>0</v>
      </c>
      <c r="AJ35" s="673">
        <f t="shared" si="10"/>
        <v>0</v>
      </c>
      <c r="AK35" s="674">
        <f t="shared" si="11"/>
        <v>0</v>
      </c>
      <c r="AL35" s="673">
        <f t="shared" si="12"/>
        <v>0</v>
      </c>
      <c r="AM35" s="673">
        <f t="shared" si="13"/>
        <v>0</v>
      </c>
      <c r="AN35" s="810" t="str">
        <f t="shared" si="14"/>
        <v>عازب(ة)</v>
      </c>
      <c r="AO35" s="817">
        <f>LOOKUP(الرئيسية!$N$8,'ورقة العمل'!$T$1:$T$13,'ورقة العمل'!$V$1:$V$13)</f>
        <v>105</v>
      </c>
    </row>
    <row r="36" spans="1:41" s="645" customFormat="1">
      <c r="A36" s="636">
        <f t="shared" si="15"/>
        <v>35</v>
      </c>
      <c r="B36" s="637"/>
      <c r="C36" s="803"/>
      <c r="D36" s="802" t="e">
        <f>VLOOKUP(C36,TABVACT,'f-travail'!$BG$2+1,FALSE)</f>
        <v>#N/A</v>
      </c>
      <c r="E36" s="804"/>
      <c r="F36" s="804"/>
      <c r="G36" s="803"/>
      <c r="H36" s="804"/>
      <c r="I36" s="804"/>
      <c r="J36" s="803"/>
      <c r="K36" s="803"/>
      <c r="L36" s="647"/>
      <c r="M36" s="803"/>
      <c r="N36" s="803"/>
      <c r="O36" s="670" t="e">
        <f>VLOOKUP(C36,TABVACT,'f-travail'!$BG$2+5,FALSE)</f>
        <v>#N/A</v>
      </c>
      <c r="P36" s="670" t="e">
        <f>VLOOKUP(C36,TABVACT,'f-travail'!$BG$2+6,FALSE)</f>
        <v>#N/A</v>
      </c>
      <c r="Q36" s="811" t="str">
        <f t="shared" si="18"/>
        <v/>
      </c>
      <c r="R36" s="677" t="b">
        <f t="shared" si="17"/>
        <v>0</v>
      </c>
      <c r="S36" s="678">
        <f t="shared" si="2"/>
        <v>0</v>
      </c>
      <c r="T36" s="673">
        <f t="shared" si="3"/>
        <v>0</v>
      </c>
      <c r="U36" s="678">
        <f t="shared" si="4"/>
        <v>0</v>
      </c>
      <c r="V36" s="675"/>
      <c r="W36" s="675"/>
      <c r="X36" s="678" t="b">
        <f t="shared" si="5"/>
        <v>0</v>
      </c>
      <c r="Y36" s="807" t="b">
        <f t="shared" si="6"/>
        <v>0</v>
      </c>
      <c r="Z36" s="673" t="b">
        <f>IF(E36="ك",VLOOKUP(C36,TABVACT,'f-travail'!$BG$2+9,FALSE),IF(E36="ج",0))</f>
        <v>0</v>
      </c>
      <c r="AA36" s="673" t="b">
        <f>IF(E36="ك",VLOOKUP(C36,TABVACT,'f-travail'!$BG$2+10,FALSE),IF(E36="ج",ROUND((44.42)*AO36,2)))</f>
        <v>0</v>
      </c>
      <c r="AB36" s="673" t="b">
        <f>IF(E36="ك",ROUND(VLOOKUP(C36,TABVACT,'f-travail'!$BG$2+11,FALSE)*(X36+Y36),2),IF(E36="ج",ROUND(((Y36+51.92)*VLOOKUP(C36,TABVACT,'f-travail'!$BG$2+11,FALSE)*AO36),2)))</f>
        <v>0</v>
      </c>
      <c r="AC36" s="673" t="b">
        <f>IF(E36="ك",ROUND(VLOOKUP(C36,TABVACT,'f-travail'!$BG$2+12,FALSE)*(X36+Y36),2),IF(E36="ج",ROUND(((Y36+51.92)*VLOOKUP(C36,TABVACT,'f-travail'!$BG$2+12,FALSE)*AO36),2)))</f>
        <v>0</v>
      </c>
      <c r="AD36" s="673" t="b">
        <f>IF(E36="ك",ROUND(VLOOKUP(C36,TABVACT,'f-travail'!$BG$2+13,FALSE)*(X36+Y36),2),IF(E36="ج",ROUND(((Y36+51.92)*VLOOKUP(C36,TABVACT,'f-travail'!$BG$2+13,FALSE)*AO36),2)))</f>
        <v>0</v>
      </c>
      <c r="AE36" s="673" t="b">
        <f>IF(E36="ك",ROUND(VLOOKUP(C36,TABVACT,'f-travail'!$BG$2+14,FALSE)*(X36+Y36),2),IF(E36="ج",ROUND(((Y36+51.92)*VLOOKUP(C36,TABVACT,'f-travail'!$BG$2+14,FALSE)*AO36),2)))</f>
        <v>0</v>
      </c>
      <c r="AF36" s="673" t="b">
        <f>IF(E36="ك",ROUND(VLOOKUP(C36,TABVACT,'f-travail'!$BG$2+15,FALSE)*(X36+Y36),2),IF(E36="ج",ROUND(((Y36+51.92)*VLOOKUP(C36,TABVACT,'f-travail'!$BG$2+15,FALSE)*AO36),2)))</f>
        <v>0</v>
      </c>
      <c r="AG36" s="673" t="b">
        <f t="shared" si="7"/>
        <v>0</v>
      </c>
      <c r="AH36" s="673">
        <f t="shared" si="8"/>
        <v>0</v>
      </c>
      <c r="AI36" s="673">
        <f t="shared" si="9"/>
        <v>0</v>
      </c>
      <c r="AJ36" s="673">
        <f t="shared" si="10"/>
        <v>0</v>
      </c>
      <c r="AK36" s="674">
        <f t="shared" si="11"/>
        <v>0</v>
      </c>
      <c r="AL36" s="673">
        <f t="shared" si="12"/>
        <v>0</v>
      </c>
      <c r="AM36" s="673">
        <f t="shared" si="13"/>
        <v>0</v>
      </c>
      <c r="AN36" s="810" t="str">
        <f t="shared" si="14"/>
        <v>عازب(ة)</v>
      </c>
      <c r="AO36" s="817">
        <f>LOOKUP(الرئيسية!$N$8,'ورقة العمل'!$T$1:$T$13,'ورقة العمل'!$V$1:$V$13)</f>
        <v>105</v>
      </c>
    </row>
    <row r="37" spans="1:41" s="645" customFormat="1">
      <c r="A37" s="636">
        <f t="shared" si="15"/>
        <v>36</v>
      </c>
      <c r="B37" s="637"/>
      <c r="C37" s="803"/>
      <c r="D37" s="802" t="e">
        <f>VLOOKUP(C37,TABVACT,'f-travail'!$BG$2+1,FALSE)</f>
        <v>#N/A</v>
      </c>
      <c r="E37" s="804"/>
      <c r="F37" s="804"/>
      <c r="G37" s="803"/>
      <c r="H37" s="804"/>
      <c r="I37" s="804"/>
      <c r="J37" s="803"/>
      <c r="K37" s="803"/>
      <c r="L37" s="647"/>
      <c r="M37" s="803"/>
      <c r="N37" s="803"/>
      <c r="O37" s="670" t="e">
        <f>VLOOKUP(C37,TABVACT,'f-travail'!$BG$2+5,FALSE)</f>
        <v>#N/A</v>
      </c>
      <c r="P37" s="670" t="e">
        <f>VLOOKUP(C37,TABVACT,'f-travail'!$BG$2+6,FALSE)</f>
        <v>#N/A</v>
      </c>
      <c r="Q37" s="811" t="str">
        <f t="shared" si="18"/>
        <v/>
      </c>
      <c r="R37" s="677" t="b">
        <f t="shared" si="17"/>
        <v>0</v>
      </c>
      <c r="S37" s="678">
        <f t="shared" si="2"/>
        <v>0</v>
      </c>
      <c r="T37" s="673">
        <f t="shared" si="3"/>
        <v>0</v>
      </c>
      <c r="U37" s="678">
        <f t="shared" si="4"/>
        <v>0</v>
      </c>
      <c r="V37" s="675"/>
      <c r="W37" s="675"/>
      <c r="X37" s="678" t="b">
        <f t="shared" si="5"/>
        <v>0</v>
      </c>
      <c r="Y37" s="807" t="b">
        <f t="shared" si="6"/>
        <v>0</v>
      </c>
      <c r="Z37" s="673" t="b">
        <f>IF(E37="ك",VLOOKUP(C37,TABVACT,'f-travail'!$BG$2+9,FALSE),IF(E37="ج",0))</f>
        <v>0</v>
      </c>
      <c r="AA37" s="673" t="b">
        <f>IF(E37="ك",VLOOKUP(C37,TABVACT,'f-travail'!$BG$2+10,FALSE),IF(E37="ج",ROUND((44.42)*AO37,2)))</f>
        <v>0</v>
      </c>
      <c r="AB37" s="673" t="b">
        <f>IF(E37="ك",ROUND(VLOOKUP(C37,TABVACT,'f-travail'!$BG$2+11,FALSE)*(X37+Y37),2),IF(E37="ج",ROUND(((Y37+51.92)*VLOOKUP(C37,TABVACT,'f-travail'!$BG$2+11,FALSE)*AO37),2)))</f>
        <v>0</v>
      </c>
      <c r="AC37" s="673" t="b">
        <f>IF(E37="ك",ROUND(VLOOKUP(C37,TABVACT,'f-travail'!$BG$2+12,FALSE)*(X37+Y37),2),IF(E37="ج",ROUND(((Y37+51.92)*VLOOKUP(C37,TABVACT,'f-travail'!$BG$2+12,FALSE)*AO37),2)))</f>
        <v>0</v>
      </c>
      <c r="AD37" s="673" t="b">
        <f>IF(E37="ك",ROUND(VLOOKUP(C37,TABVACT,'f-travail'!$BG$2+13,FALSE)*(X37+Y37),2),IF(E37="ج",ROUND(((Y37+51.92)*VLOOKUP(C37,TABVACT,'f-travail'!$BG$2+13,FALSE)*AO37),2)))</f>
        <v>0</v>
      </c>
      <c r="AE37" s="673" t="b">
        <f>IF(E37="ك",ROUND(VLOOKUP(C37,TABVACT,'f-travail'!$BG$2+14,FALSE)*(X37+Y37),2),IF(E37="ج",ROUND(((Y37+51.92)*VLOOKUP(C37,TABVACT,'f-travail'!$BG$2+14,FALSE)*AO37),2)))</f>
        <v>0</v>
      </c>
      <c r="AF37" s="673" t="b">
        <f>IF(E37="ك",ROUND(VLOOKUP(C37,TABVACT,'f-travail'!$BG$2+15,FALSE)*(X37+Y37),2),IF(E37="ج",ROUND(((Y37+51.92)*VLOOKUP(C37,TABVACT,'f-travail'!$BG$2+15,FALSE)*AO37),2)))</f>
        <v>0</v>
      </c>
      <c r="AG37" s="673" t="b">
        <f t="shared" si="7"/>
        <v>0</v>
      </c>
      <c r="AH37" s="673">
        <f t="shared" si="8"/>
        <v>0</v>
      </c>
      <c r="AI37" s="673">
        <f t="shared" si="9"/>
        <v>0</v>
      </c>
      <c r="AJ37" s="673">
        <f t="shared" si="10"/>
        <v>0</v>
      </c>
      <c r="AK37" s="674">
        <f t="shared" si="11"/>
        <v>0</v>
      </c>
      <c r="AL37" s="673">
        <f t="shared" si="12"/>
        <v>0</v>
      </c>
      <c r="AM37" s="673">
        <f t="shared" si="13"/>
        <v>0</v>
      </c>
      <c r="AN37" s="810" t="str">
        <f t="shared" si="14"/>
        <v>عازب(ة)</v>
      </c>
      <c r="AO37" s="817">
        <f>LOOKUP(الرئيسية!$N$8,'ورقة العمل'!$T$1:$T$13,'ورقة العمل'!$V$1:$V$13)</f>
        <v>105</v>
      </c>
    </row>
    <row r="38" spans="1:41" s="645" customFormat="1">
      <c r="A38" s="636">
        <f t="shared" si="15"/>
        <v>37</v>
      </c>
      <c r="B38" s="637"/>
      <c r="C38" s="803"/>
      <c r="D38" s="802" t="e">
        <f>VLOOKUP(C38,TABVACT,'f-travail'!$BG$2+1,FALSE)</f>
        <v>#N/A</v>
      </c>
      <c r="E38" s="804"/>
      <c r="F38" s="804"/>
      <c r="G38" s="803"/>
      <c r="H38" s="804"/>
      <c r="I38" s="804"/>
      <c r="J38" s="803"/>
      <c r="K38" s="803"/>
      <c r="L38" s="647"/>
      <c r="M38" s="803"/>
      <c r="N38" s="803"/>
      <c r="O38" s="670" t="e">
        <f>VLOOKUP(C38,TABVACT,'f-travail'!$BG$2+5,FALSE)</f>
        <v>#N/A</v>
      </c>
      <c r="P38" s="670" t="e">
        <f>VLOOKUP(C38,TABVACT,'f-travail'!$BG$2+6,FALSE)</f>
        <v>#N/A</v>
      </c>
      <c r="Q38" s="811" t="str">
        <f t="shared" si="18"/>
        <v/>
      </c>
      <c r="R38" s="677" t="b">
        <f t="shared" si="17"/>
        <v>0</v>
      </c>
      <c r="S38" s="678">
        <f t="shared" si="2"/>
        <v>0</v>
      </c>
      <c r="T38" s="673">
        <f t="shared" si="3"/>
        <v>0</v>
      </c>
      <c r="U38" s="678">
        <f t="shared" si="4"/>
        <v>0</v>
      </c>
      <c r="V38" s="675"/>
      <c r="W38" s="675"/>
      <c r="X38" s="678" t="b">
        <f t="shared" si="5"/>
        <v>0</v>
      </c>
      <c r="Y38" s="807" t="b">
        <f t="shared" si="6"/>
        <v>0</v>
      </c>
      <c r="Z38" s="673" t="b">
        <f>IF(E38="ك",VLOOKUP(C38,TABVACT,'f-travail'!$BG$2+9,FALSE),IF(E38="ج",0))</f>
        <v>0</v>
      </c>
      <c r="AA38" s="673" t="b">
        <f>IF(E38="ك",VLOOKUP(C38,TABVACT,'f-travail'!$BG$2+10,FALSE),IF(E38="ج",ROUND((44.42)*AO38,2)))</f>
        <v>0</v>
      </c>
      <c r="AB38" s="673" t="b">
        <f>IF(E38="ك",ROUND(VLOOKUP(C38,TABVACT,'f-travail'!$BG$2+11,FALSE)*(X38+Y38),2),IF(E38="ج",ROUND(((Y38+51.92)*VLOOKUP(C38,TABVACT,'f-travail'!$BG$2+11,FALSE)*AO38),2)))</f>
        <v>0</v>
      </c>
      <c r="AC38" s="673" t="b">
        <f>IF(E38="ك",ROUND(VLOOKUP(C38,TABVACT,'f-travail'!$BG$2+12,FALSE)*(X38+Y38),2),IF(E38="ج",ROUND(((Y38+51.92)*VLOOKUP(C38,TABVACT,'f-travail'!$BG$2+12,FALSE)*AO38),2)))</f>
        <v>0</v>
      </c>
      <c r="AD38" s="673" t="b">
        <f>IF(E38="ك",ROUND(VLOOKUP(C38,TABVACT,'f-travail'!$BG$2+13,FALSE)*(X38+Y38),2),IF(E38="ج",ROUND(((Y38+51.92)*VLOOKUP(C38,TABVACT,'f-travail'!$BG$2+13,FALSE)*AO38),2)))</f>
        <v>0</v>
      </c>
      <c r="AE38" s="673" t="b">
        <f>IF(E38="ك",ROUND(VLOOKUP(C38,TABVACT,'f-travail'!$BG$2+14,FALSE)*(X38+Y38),2),IF(E38="ج",ROUND(((Y38+51.92)*VLOOKUP(C38,TABVACT,'f-travail'!$BG$2+14,FALSE)*AO38),2)))</f>
        <v>0</v>
      </c>
      <c r="AF38" s="673" t="b">
        <f>IF(E38="ك",ROUND(VLOOKUP(C38,TABVACT,'f-travail'!$BG$2+15,FALSE)*(X38+Y38),2),IF(E38="ج",ROUND(((Y38+51.92)*VLOOKUP(C38,TABVACT,'f-travail'!$BG$2+15,FALSE)*AO38),2)))</f>
        <v>0</v>
      </c>
      <c r="AG38" s="673" t="b">
        <f t="shared" si="7"/>
        <v>0</v>
      </c>
      <c r="AH38" s="673">
        <f t="shared" si="8"/>
        <v>0</v>
      </c>
      <c r="AI38" s="673">
        <f t="shared" si="9"/>
        <v>0</v>
      </c>
      <c r="AJ38" s="673">
        <f t="shared" si="10"/>
        <v>0</v>
      </c>
      <c r="AK38" s="674">
        <f t="shared" si="11"/>
        <v>0</v>
      </c>
      <c r="AL38" s="673">
        <f t="shared" si="12"/>
        <v>0</v>
      </c>
      <c r="AM38" s="673">
        <f t="shared" si="13"/>
        <v>0</v>
      </c>
      <c r="AN38" s="810" t="str">
        <f t="shared" si="14"/>
        <v>عازب(ة)</v>
      </c>
      <c r="AO38" s="817">
        <f>LOOKUP(الرئيسية!$N$8,'ورقة العمل'!$T$1:$T$13,'ورقة العمل'!$V$1:$V$13)</f>
        <v>105</v>
      </c>
    </row>
    <row r="39" spans="1:41">
      <c r="A39" s="636">
        <f t="shared" si="15"/>
        <v>38</v>
      </c>
      <c r="B39" s="637"/>
      <c r="C39" s="803"/>
      <c r="D39" s="802" t="e">
        <f>VLOOKUP(C39,TABVACT,'f-travail'!$BG$2+1,FALSE)</f>
        <v>#N/A</v>
      </c>
      <c r="E39" s="804"/>
      <c r="F39" s="804"/>
      <c r="G39" s="803"/>
      <c r="H39" s="804"/>
      <c r="I39" s="804"/>
      <c r="J39" s="803"/>
      <c r="K39" s="803"/>
      <c r="M39" s="803"/>
      <c r="N39" s="803"/>
      <c r="O39" s="670" t="e">
        <f>VLOOKUP(C39,TABVACT,'f-travail'!$BG$2+5,FALSE)</f>
        <v>#N/A</v>
      </c>
      <c r="P39" s="670" t="e">
        <f>VLOOKUP(C39,TABVACT,'f-travail'!$BG$2+6,FALSE)</f>
        <v>#N/A</v>
      </c>
      <c r="Q39" s="811" t="str">
        <f t="shared" si="18"/>
        <v/>
      </c>
      <c r="R39" s="677" t="b">
        <f t="shared" si="17"/>
        <v>0</v>
      </c>
      <c r="S39" s="678">
        <f t="shared" si="2"/>
        <v>0</v>
      </c>
      <c r="T39" s="673">
        <f t="shared" si="3"/>
        <v>0</v>
      </c>
      <c r="U39" s="678">
        <f t="shared" si="4"/>
        <v>0</v>
      </c>
      <c r="V39" s="675"/>
      <c r="W39" s="675"/>
      <c r="X39" s="678" t="b">
        <f t="shared" si="5"/>
        <v>0</v>
      </c>
      <c r="Y39" s="807" t="b">
        <f t="shared" si="6"/>
        <v>0</v>
      </c>
      <c r="Z39" s="673" t="b">
        <f>IF(E39="ك",VLOOKUP(C39,TABVACT,'f-travail'!$BG$2+9,FALSE),IF(E39="ج",0))</f>
        <v>0</v>
      </c>
      <c r="AA39" s="673" t="b">
        <f>IF(E39="ك",VLOOKUP(C39,TABVACT,'f-travail'!$BG$2+10,FALSE),IF(E39="ج",ROUND((44.42)*AO39,2)))</f>
        <v>0</v>
      </c>
      <c r="AB39" s="673" t="b">
        <f>IF(E39="ك",ROUND(VLOOKUP(C39,TABVACT,'f-travail'!$BG$2+11,FALSE)*(X39+Y39),2),IF(E39="ج",ROUND(((Y39+51.92)*VLOOKUP(C39,TABVACT,'f-travail'!$BG$2+11,FALSE)*AO39),2)))</f>
        <v>0</v>
      </c>
      <c r="AC39" s="673" t="b">
        <f>IF(E39="ك",ROUND(VLOOKUP(C39,TABVACT,'f-travail'!$BG$2+12,FALSE)*(X39+Y39),2),IF(E39="ج",ROUND(((Y39+51.92)*VLOOKUP(C39,TABVACT,'f-travail'!$BG$2+12,FALSE)*AO39),2)))</f>
        <v>0</v>
      </c>
      <c r="AD39" s="673" t="b">
        <f>IF(E39="ك",ROUND(VLOOKUP(C39,TABVACT,'f-travail'!$BG$2+13,FALSE)*(X39+Y39),2),IF(E39="ج",ROUND(((Y39+51.92)*VLOOKUP(C39,TABVACT,'f-travail'!$BG$2+13,FALSE)*AO39),2)))</f>
        <v>0</v>
      </c>
      <c r="AE39" s="673" t="b">
        <f>IF(E39="ك",ROUND(VLOOKUP(C39,TABVACT,'f-travail'!$BG$2+14,FALSE)*(X39+Y39),2),IF(E39="ج",ROUND(((Y39+51.92)*VLOOKUP(C39,TABVACT,'f-travail'!$BG$2+14,FALSE)*AO39),2)))</f>
        <v>0</v>
      </c>
      <c r="AF39" s="673" t="b">
        <f>IF(E39="ك",ROUND(VLOOKUP(C39,TABVACT,'f-travail'!$BG$2+15,FALSE)*(X39+Y39),2),IF(E39="ج",ROUND(((Y39+51.92)*VLOOKUP(C39,TABVACT,'f-travail'!$BG$2+15,FALSE)*AO39),2)))</f>
        <v>0</v>
      </c>
      <c r="AG39" s="673" t="b">
        <f t="shared" si="7"/>
        <v>0</v>
      </c>
      <c r="AH39" s="673">
        <f t="shared" si="8"/>
        <v>0</v>
      </c>
      <c r="AI39" s="673">
        <f t="shared" si="9"/>
        <v>0</v>
      </c>
      <c r="AJ39" s="673">
        <f t="shared" si="10"/>
        <v>0</v>
      </c>
      <c r="AK39" s="674">
        <f t="shared" si="11"/>
        <v>0</v>
      </c>
      <c r="AL39" s="673">
        <f t="shared" si="12"/>
        <v>0</v>
      </c>
      <c r="AM39" s="673">
        <f t="shared" si="13"/>
        <v>0</v>
      </c>
      <c r="AN39" s="810" t="str">
        <f t="shared" si="14"/>
        <v>عازب(ة)</v>
      </c>
      <c r="AO39" s="817">
        <f>LOOKUP(الرئيسية!$N$8,'ورقة العمل'!$T$1:$T$13,'ورقة العمل'!$V$1:$V$13)</f>
        <v>105</v>
      </c>
    </row>
    <row r="40" spans="1:41">
      <c r="A40" s="636">
        <f t="shared" si="15"/>
        <v>39</v>
      </c>
      <c r="B40" s="637"/>
      <c r="C40" s="803"/>
      <c r="D40" s="802" t="e">
        <f>VLOOKUP(C40,TABVACT,'f-travail'!$BG$2+1,FALSE)</f>
        <v>#N/A</v>
      </c>
      <c r="E40" s="804"/>
      <c r="F40" s="804"/>
      <c r="G40" s="803"/>
      <c r="H40" s="804"/>
      <c r="I40" s="804"/>
      <c r="J40" s="803"/>
      <c r="K40" s="803"/>
      <c r="M40" s="803"/>
      <c r="N40" s="803"/>
      <c r="O40" s="670" t="e">
        <f>VLOOKUP(C40,TABVACT,'f-travail'!$BG$2+5,FALSE)</f>
        <v>#N/A</v>
      </c>
      <c r="P40" s="670" t="e">
        <f>VLOOKUP(C40,TABVACT,'f-travail'!$BG$2+6,FALSE)</f>
        <v>#N/A</v>
      </c>
      <c r="Q40" s="811" t="str">
        <f t="shared" si="18"/>
        <v/>
      </c>
      <c r="R40" s="677" t="b">
        <f t="shared" si="17"/>
        <v>0</v>
      </c>
      <c r="S40" s="678">
        <f t="shared" si="2"/>
        <v>0</v>
      </c>
      <c r="T40" s="673">
        <f t="shared" si="3"/>
        <v>0</v>
      </c>
      <c r="U40" s="678">
        <f t="shared" si="4"/>
        <v>0</v>
      </c>
      <c r="V40" s="675"/>
      <c r="W40" s="675"/>
      <c r="X40" s="678" t="b">
        <f t="shared" si="5"/>
        <v>0</v>
      </c>
      <c r="Y40" s="807" t="b">
        <f t="shared" si="6"/>
        <v>0</v>
      </c>
      <c r="Z40" s="673" t="b">
        <f>IF(E40="ك",VLOOKUP(C40,TABVACT,'f-travail'!$BG$2+9,FALSE),IF(E40="ج",0))</f>
        <v>0</v>
      </c>
      <c r="AA40" s="673" t="b">
        <f>IF(E40="ك",VLOOKUP(C40,TABVACT,'f-travail'!$BG$2+10,FALSE),IF(E40="ج",ROUND((44.42)*AO40,2)))</f>
        <v>0</v>
      </c>
      <c r="AB40" s="673" t="b">
        <f>IF(E40="ك",ROUND(VLOOKUP(C40,TABVACT,'f-travail'!$BG$2+11,FALSE)*(X40+Y40),2),IF(E40="ج",ROUND(((Y40+51.92)*VLOOKUP(C40,TABVACT,'f-travail'!$BG$2+11,FALSE)*AO40),2)))</f>
        <v>0</v>
      </c>
      <c r="AC40" s="673" t="b">
        <f>IF(E40="ك",ROUND(VLOOKUP(C40,TABVACT,'f-travail'!$BG$2+12,FALSE)*(X40+Y40),2),IF(E40="ج",ROUND(((Y40+51.92)*VLOOKUP(C40,TABVACT,'f-travail'!$BG$2+12,FALSE)*AO40),2)))</f>
        <v>0</v>
      </c>
      <c r="AD40" s="673" t="b">
        <f>IF(E40="ك",ROUND(VLOOKUP(C40,TABVACT,'f-travail'!$BG$2+13,FALSE)*(X40+Y40),2),IF(E40="ج",ROUND(((Y40+51.92)*VLOOKUP(C40,TABVACT,'f-travail'!$BG$2+13,FALSE)*AO40),2)))</f>
        <v>0</v>
      </c>
      <c r="AE40" s="673" t="b">
        <f>IF(E40="ك",ROUND(VLOOKUP(C40,TABVACT,'f-travail'!$BG$2+14,FALSE)*(X40+Y40),2),IF(E40="ج",ROUND(((Y40+51.92)*VLOOKUP(C40,TABVACT,'f-travail'!$BG$2+14,FALSE)*AO40),2)))</f>
        <v>0</v>
      </c>
      <c r="AF40" s="673" t="b">
        <f>IF(E40="ك",ROUND(VLOOKUP(C40,TABVACT,'f-travail'!$BG$2+15,FALSE)*(X40+Y40),2),IF(E40="ج",ROUND(((Y40+51.92)*VLOOKUP(C40,TABVACT,'f-travail'!$BG$2+15,FALSE)*AO40),2)))</f>
        <v>0</v>
      </c>
      <c r="AG40" s="673" t="b">
        <f t="shared" si="7"/>
        <v>0</v>
      </c>
      <c r="AH40" s="673">
        <f t="shared" si="8"/>
        <v>0</v>
      </c>
      <c r="AI40" s="673">
        <f t="shared" si="9"/>
        <v>0</v>
      </c>
      <c r="AJ40" s="673">
        <f t="shared" si="10"/>
        <v>0</v>
      </c>
      <c r="AK40" s="674">
        <f t="shared" si="11"/>
        <v>0</v>
      </c>
      <c r="AL40" s="673">
        <f t="shared" si="12"/>
        <v>0</v>
      </c>
      <c r="AM40" s="673">
        <f t="shared" si="13"/>
        <v>0</v>
      </c>
      <c r="AN40" s="810" t="str">
        <f t="shared" si="14"/>
        <v>عازب(ة)</v>
      </c>
      <c r="AO40" s="817">
        <f>LOOKUP(الرئيسية!$N$8,'ورقة العمل'!$T$1:$T$13,'ورقة العمل'!$V$1:$V$13)</f>
        <v>105</v>
      </c>
    </row>
    <row r="41" spans="1:41">
      <c r="A41" s="636">
        <f t="shared" si="15"/>
        <v>40</v>
      </c>
      <c r="B41" s="637"/>
      <c r="C41" s="803"/>
      <c r="D41" s="802" t="e">
        <f>VLOOKUP(C41,TABVACT,'f-travail'!$BG$2+1,FALSE)</f>
        <v>#N/A</v>
      </c>
      <c r="E41" s="804"/>
      <c r="F41" s="804"/>
      <c r="G41" s="803"/>
      <c r="H41" s="804"/>
      <c r="I41" s="804"/>
      <c r="J41" s="803"/>
      <c r="K41" s="803"/>
      <c r="M41" s="803"/>
      <c r="N41" s="803"/>
      <c r="O41" s="670" t="e">
        <f>VLOOKUP(C41,TABVACT,'f-travail'!$BG$2+5,FALSE)</f>
        <v>#N/A</v>
      </c>
      <c r="P41" s="670" t="e">
        <f>VLOOKUP(C41,TABVACT,'f-travail'!$BG$2+6,FALSE)</f>
        <v>#N/A</v>
      </c>
      <c r="Q41" s="811" t="str">
        <f t="shared" si="18"/>
        <v/>
      </c>
      <c r="R41" s="677" t="b">
        <f t="shared" si="17"/>
        <v>0</v>
      </c>
      <c r="S41" s="678">
        <f t="shared" si="2"/>
        <v>0</v>
      </c>
      <c r="T41" s="673">
        <f t="shared" si="3"/>
        <v>0</v>
      </c>
      <c r="U41" s="678">
        <f t="shared" si="4"/>
        <v>0</v>
      </c>
      <c r="V41" s="675"/>
      <c r="W41" s="675"/>
      <c r="X41" s="678" t="b">
        <f t="shared" si="5"/>
        <v>0</v>
      </c>
      <c r="Y41" s="807" t="b">
        <f t="shared" si="6"/>
        <v>0</v>
      </c>
      <c r="Z41" s="673" t="b">
        <f>IF(E41="ك",VLOOKUP(C41,TABVACT,'f-travail'!$BG$2+9,FALSE),IF(E41="ج",0))</f>
        <v>0</v>
      </c>
      <c r="AA41" s="673" t="b">
        <f>IF(E41="ك",VLOOKUP(C41,TABVACT,'f-travail'!$BG$2+10,FALSE),IF(E41="ج",ROUND((44.42)*AO41,2)))</f>
        <v>0</v>
      </c>
      <c r="AB41" s="673" t="b">
        <f>IF(E41="ك",ROUND(VLOOKUP(C41,TABVACT,'f-travail'!$BG$2+11,FALSE)*(X41+Y41),2),IF(E41="ج",ROUND(((Y41+51.92)*VLOOKUP(C41,TABVACT,'f-travail'!$BG$2+11,FALSE)*AO41),2)))</f>
        <v>0</v>
      </c>
      <c r="AC41" s="673" t="b">
        <f>IF(E41="ك",ROUND(VLOOKUP(C41,TABVACT,'f-travail'!$BG$2+12,FALSE)*(X41+Y41),2),IF(E41="ج",ROUND(((Y41+51.92)*VLOOKUP(C41,TABVACT,'f-travail'!$BG$2+12,FALSE)*AO41),2)))</f>
        <v>0</v>
      </c>
      <c r="AD41" s="673" t="b">
        <f>IF(E41="ك",ROUND(VLOOKUP(C41,TABVACT,'f-travail'!$BG$2+13,FALSE)*(X41+Y41),2),IF(E41="ج",ROUND(((Y41+51.92)*VLOOKUP(C41,TABVACT,'f-travail'!$BG$2+13,FALSE)*AO41),2)))</f>
        <v>0</v>
      </c>
      <c r="AE41" s="673" t="b">
        <f>IF(E41="ك",ROUND(VLOOKUP(C41,TABVACT,'f-travail'!$BG$2+14,FALSE)*(X41+Y41),2),IF(E41="ج",ROUND(((Y41+51.92)*VLOOKUP(C41,TABVACT,'f-travail'!$BG$2+14,FALSE)*AO41),2)))</f>
        <v>0</v>
      </c>
      <c r="AF41" s="673" t="b">
        <f>IF(E41="ك",ROUND(VLOOKUP(C41,TABVACT,'f-travail'!$BG$2+15,FALSE)*(X41+Y41),2),IF(E41="ج",ROUND(((Y41+51.92)*VLOOKUP(C41,TABVACT,'f-travail'!$BG$2+15,FALSE)*AO41),2)))</f>
        <v>0</v>
      </c>
      <c r="AG41" s="673" t="b">
        <f t="shared" si="7"/>
        <v>0</v>
      </c>
      <c r="AH41" s="673">
        <f t="shared" si="8"/>
        <v>0</v>
      </c>
      <c r="AI41" s="673">
        <f t="shared" si="9"/>
        <v>0</v>
      </c>
      <c r="AJ41" s="673">
        <f t="shared" si="10"/>
        <v>0</v>
      </c>
      <c r="AK41" s="674">
        <f t="shared" si="11"/>
        <v>0</v>
      </c>
      <c r="AL41" s="673">
        <f t="shared" si="12"/>
        <v>0</v>
      </c>
      <c r="AM41" s="673">
        <f t="shared" si="13"/>
        <v>0</v>
      </c>
      <c r="AN41" s="810" t="str">
        <f t="shared" si="14"/>
        <v>عازب(ة)</v>
      </c>
      <c r="AO41" s="817">
        <f>LOOKUP(الرئيسية!$N$8,'ورقة العمل'!$T$1:$T$13,'ورقة العمل'!$V$1:$V$13)</f>
        <v>105</v>
      </c>
    </row>
    <row r="42" spans="1:41">
      <c r="A42" s="636">
        <f t="shared" si="15"/>
        <v>41</v>
      </c>
      <c r="B42" s="637"/>
      <c r="C42" s="803"/>
      <c r="D42" s="802" t="e">
        <f>VLOOKUP(C42,TABVACT,'f-travail'!$BG$2+1,FALSE)</f>
        <v>#N/A</v>
      </c>
      <c r="E42" s="804"/>
      <c r="F42" s="804"/>
      <c r="G42" s="803"/>
      <c r="H42" s="804"/>
      <c r="I42" s="804"/>
      <c r="J42" s="803"/>
      <c r="K42" s="803"/>
      <c r="M42" s="803"/>
      <c r="N42" s="803"/>
      <c r="O42" s="670" t="e">
        <f>VLOOKUP(C42,TABVACT,'f-travail'!$BG$2+5,FALSE)</f>
        <v>#N/A</v>
      </c>
      <c r="P42" s="670" t="e">
        <f>VLOOKUP(C42,TABVACT,'f-travail'!$BG$2+6,FALSE)</f>
        <v>#N/A</v>
      </c>
      <c r="Q42" s="811" t="str">
        <f t="shared" si="18"/>
        <v/>
      </c>
      <c r="R42" s="677" t="b">
        <f t="shared" si="17"/>
        <v>0</v>
      </c>
      <c r="S42" s="678">
        <f t="shared" si="2"/>
        <v>0</v>
      </c>
      <c r="T42" s="673">
        <f t="shared" si="3"/>
        <v>0</v>
      </c>
      <c r="U42" s="678">
        <f t="shared" si="4"/>
        <v>0</v>
      </c>
      <c r="V42" s="675"/>
      <c r="W42" s="675"/>
      <c r="X42" s="678" t="b">
        <f t="shared" si="5"/>
        <v>0</v>
      </c>
      <c r="Y42" s="807" t="b">
        <f t="shared" si="6"/>
        <v>0</v>
      </c>
      <c r="Z42" s="673" t="b">
        <f>IF(E42="ك",VLOOKUP(C42,TABVACT,'f-travail'!$BG$2+9,FALSE),IF(E42="ج",0))</f>
        <v>0</v>
      </c>
      <c r="AA42" s="673" t="b">
        <f>IF(E42="ك",VLOOKUP(C42,TABVACT,'f-travail'!$BG$2+10,FALSE),IF(E42="ج",ROUND((44.42)*AO42,2)))</f>
        <v>0</v>
      </c>
      <c r="AB42" s="673" t="b">
        <f>IF(E42="ك",ROUND(VLOOKUP(C42,TABVACT,'f-travail'!$BG$2+11,FALSE)*(X42+Y42),2),IF(E42="ج",ROUND(((Y42+51.92)*VLOOKUP(C42,TABVACT,'f-travail'!$BG$2+11,FALSE)*AO42),2)))</f>
        <v>0</v>
      </c>
      <c r="AC42" s="673" t="b">
        <f>IF(E42="ك",ROUND(VLOOKUP(C42,TABVACT,'f-travail'!$BG$2+12,FALSE)*(X42+Y42),2),IF(E42="ج",ROUND(((Y42+51.92)*VLOOKUP(C42,TABVACT,'f-travail'!$BG$2+12,FALSE)*AO42),2)))</f>
        <v>0</v>
      </c>
      <c r="AD42" s="673" t="b">
        <f>IF(E42="ك",ROUND(VLOOKUP(C42,TABVACT,'f-travail'!$BG$2+13,FALSE)*(X42+Y42),2),IF(E42="ج",ROUND(((Y42+51.92)*VLOOKUP(C42,TABVACT,'f-travail'!$BG$2+13,FALSE)*AO42),2)))</f>
        <v>0</v>
      </c>
      <c r="AE42" s="673" t="b">
        <f>IF(E42="ك",ROUND(VLOOKUP(C42,TABVACT,'f-travail'!$BG$2+14,FALSE)*(X42+Y42),2),IF(E42="ج",ROUND(((Y42+51.92)*VLOOKUP(C42,TABVACT,'f-travail'!$BG$2+14,FALSE)*AO42),2)))</f>
        <v>0</v>
      </c>
      <c r="AF42" s="673" t="b">
        <f>IF(E42="ك",ROUND(VLOOKUP(C42,TABVACT,'f-travail'!$BG$2+15,FALSE)*(X42+Y42),2),IF(E42="ج",ROUND(((Y42+51.92)*VLOOKUP(C42,TABVACT,'f-travail'!$BG$2+15,FALSE)*AO42),2)))</f>
        <v>0</v>
      </c>
      <c r="AG42" s="673" t="b">
        <f t="shared" si="7"/>
        <v>0</v>
      </c>
      <c r="AH42" s="673">
        <f t="shared" si="8"/>
        <v>0</v>
      </c>
      <c r="AI42" s="673">
        <f t="shared" si="9"/>
        <v>0</v>
      </c>
      <c r="AJ42" s="673">
        <f t="shared" si="10"/>
        <v>0</v>
      </c>
      <c r="AK42" s="674">
        <f t="shared" si="11"/>
        <v>0</v>
      </c>
      <c r="AL42" s="673">
        <f t="shared" si="12"/>
        <v>0</v>
      </c>
      <c r="AM42" s="673">
        <f t="shared" si="13"/>
        <v>0</v>
      </c>
      <c r="AN42" s="810" t="str">
        <f t="shared" si="14"/>
        <v>عازب(ة)</v>
      </c>
      <c r="AO42" s="817">
        <f>LOOKUP(الرئيسية!$N$8,'ورقة العمل'!$T$1:$T$13,'ورقة العمل'!$V$1:$V$13)</f>
        <v>105</v>
      </c>
    </row>
    <row r="43" spans="1:41">
      <c r="A43" s="636">
        <f t="shared" si="15"/>
        <v>42</v>
      </c>
      <c r="B43" s="637"/>
      <c r="C43" s="803"/>
      <c r="D43" s="802" t="e">
        <f>VLOOKUP(C43,TABVACT,'f-travail'!$BG$2+1,FALSE)</f>
        <v>#N/A</v>
      </c>
      <c r="E43" s="804"/>
      <c r="F43" s="804"/>
      <c r="G43" s="803"/>
      <c r="H43" s="804"/>
      <c r="I43" s="804"/>
      <c r="J43" s="803"/>
      <c r="K43" s="803"/>
      <c r="M43" s="803"/>
      <c r="N43" s="803"/>
      <c r="O43" s="670" t="e">
        <f>VLOOKUP(C43,TABVACT,'f-travail'!$BG$2+5,FALSE)</f>
        <v>#N/A</v>
      </c>
      <c r="P43" s="670" t="e">
        <f>VLOOKUP(C43,TABVACT,'f-travail'!$BG$2+6,FALSE)</f>
        <v>#N/A</v>
      </c>
      <c r="Q43" s="811" t="str">
        <f t="shared" si="18"/>
        <v/>
      </c>
      <c r="R43" s="677" t="b">
        <f t="shared" si="17"/>
        <v>0</v>
      </c>
      <c r="S43" s="678">
        <f t="shared" si="2"/>
        <v>0</v>
      </c>
      <c r="T43" s="673">
        <f t="shared" si="3"/>
        <v>0</v>
      </c>
      <c r="U43" s="678">
        <f t="shared" si="4"/>
        <v>0</v>
      </c>
      <c r="V43" s="675"/>
      <c r="W43" s="675"/>
      <c r="X43" s="678" t="b">
        <f t="shared" si="5"/>
        <v>0</v>
      </c>
      <c r="Y43" s="807" t="b">
        <f t="shared" si="6"/>
        <v>0</v>
      </c>
      <c r="Z43" s="673" t="b">
        <f>IF(E43="ك",VLOOKUP(C43,TABVACT,'f-travail'!$BG$2+9,FALSE),IF(E43="ج",0))</f>
        <v>0</v>
      </c>
      <c r="AA43" s="673" t="b">
        <f>IF(E43="ك",VLOOKUP(C43,TABVACT,'f-travail'!$BG$2+10,FALSE),IF(E43="ج",ROUND((44.42)*AO43,2)))</f>
        <v>0</v>
      </c>
      <c r="AB43" s="673" t="b">
        <f>IF(E43="ك",ROUND(VLOOKUP(C43,TABVACT,'f-travail'!$BG$2+11,FALSE)*(X43+Y43),2),IF(E43="ج",ROUND(((Y43+51.92)*VLOOKUP(C43,TABVACT,'f-travail'!$BG$2+11,FALSE)*AO43),2)))</f>
        <v>0</v>
      </c>
      <c r="AC43" s="673" t="b">
        <f>IF(E43="ك",ROUND(VLOOKUP(C43,TABVACT,'f-travail'!$BG$2+12,FALSE)*(X43+Y43),2),IF(E43="ج",ROUND(((Y43+51.92)*VLOOKUP(C43,TABVACT,'f-travail'!$BG$2+12,FALSE)*AO43),2)))</f>
        <v>0</v>
      </c>
      <c r="AD43" s="673" t="b">
        <f>IF(E43="ك",ROUND(VLOOKUP(C43,TABVACT,'f-travail'!$BG$2+13,FALSE)*(X43+Y43),2),IF(E43="ج",ROUND(((Y43+51.92)*VLOOKUP(C43,TABVACT,'f-travail'!$BG$2+13,FALSE)*AO43),2)))</f>
        <v>0</v>
      </c>
      <c r="AE43" s="673" t="b">
        <f>IF(E43="ك",ROUND(VLOOKUP(C43,TABVACT,'f-travail'!$BG$2+14,FALSE)*(X43+Y43),2),IF(E43="ج",ROUND(((Y43+51.92)*VLOOKUP(C43,TABVACT,'f-travail'!$BG$2+14,FALSE)*AO43),2)))</f>
        <v>0</v>
      </c>
      <c r="AF43" s="673" t="b">
        <f>IF(E43="ك",ROUND(VLOOKUP(C43,TABVACT,'f-travail'!$BG$2+15,FALSE)*(X43+Y43),2),IF(E43="ج",ROUND(((Y43+51.92)*VLOOKUP(C43,TABVACT,'f-travail'!$BG$2+15,FALSE)*AO43),2)))</f>
        <v>0</v>
      </c>
      <c r="AG43" s="673" t="b">
        <f t="shared" si="7"/>
        <v>0</v>
      </c>
      <c r="AH43" s="673">
        <f t="shared" si="8"/>
        <v>0</v>
      </c>
      <c r="AI43" s="673">
        <f t="shared" si="9"/>
        <v>0</v>
      </c>
      <c r="AJ43" s="673">
        <f t="shared" si="10"/>
        <v>0</v>
      </c>
      <c r="AK43" s="674">
        <f t="shared" si="11"/>
        <v>0</v>
      </c>
      <c r="AL43" s="673">
        <f t="shared" si="12"/>
        <v>0</v>
      </c>
      <c r="AM43" s="673">
        <f t="shared" si="13"/>
        <v>0</v>
      </c>
      <c r="AN43" s="810" t="str">
        <f t="shared" si="14"/>
        <v>عازب(ة)</v>
      </c>
      <c r="AO43" s="817">
        <f>LOOKUP(الرئيسية!$N$8,'ورقة العمل'!$T$1:$T$13,'ورقة العمل'!$V$1:$V$13)</f>
        <v>105</v>
      </c>
    </row>
    <row r="44" spans="1:41">
      <c r="A44" s="636">
        <f t="shared" si="15"/>
        <v>43</v>
      </c>
      <c r="B44" s="637"/>
      <c r="C44" s="803"/>
      <c r="D44" s="802" t="e">
        <f>VLOOKUP(C44,TABVACT,'f-travail'!$BG$2+1,FALSE)</f>
        <v>#N/A</v>
      </c>
      <c r="E44" s="804"/>
      <c r="F44" s="804"/>
      <c r="G44" s="803"/>
      <c r="H44" s="804"/>
      <c r="I44" s="804"/>
      <c r="J44" s="803"/>
      <c r="K44" s="803"/>
      <c r="M44" s="803"/>
      <c r="N44" s="803"/>
      <c r="O44" s="670" t="e">
        <f>VLOOKUP(C44,TABVACT,'f-travail'!$BG$2+5,FALSE)</f>
        <v>#N/A</v>
      </c>
      <c r="P44" s="670" t="e">
        <f>VLOOKUP(C44,TABVACT,'f-travail'!$BG$2+6,FALSE)</f>
        <v>#N/A</v>
      </c>
      <c r="Q44" s="811" t="str">
        <f t="shared" si="18"/>
        <v/>
      </c>
      <c r="R44" s="677" t="b">
        <f t="shared" si="17"/>
        <v>0</v>
      </c>
      <c r="S44" s="678">
        <f t="shared" si="2"/>
        <v>0</v>
      </c>
      <c r="T44" s="673">
        <f t="shared" si="3"/>
        <v>0</v>
      </c>
      <c r="U44" s="678">
        <f t="shared" si="4"/>
        <v>0</v>
      </c>
      <c r="V44" s="675"/>
      <c r="W44" s="675"/>
      <c r="X44" s="678" t="b">
        <f t="shared" si="5"/>
        <v>0</v>
      </c>
      <c r="Y44" s="807" t="b">
        <f t="shared" si="6"/>
        <v>0</v>
      </c>
      <c r="Z44" s="673" t="b">
        <f>IF(E44="ك",VLOOKUP(C44,TABVACT,'f-travail'!$BG$2+9,FALSE),IF(E44="ج",0))</f>
        <v>0</v>
      </c>
      <c r="AA44" s="673" t="b">
        <f>IF(E44="ك",VLOOKUP(C44,TABVACT,'f-travail'!$BG$2+10,FALSE),IF(E44="ج",ROUND((44.42)*AO44,2)))</f>
        <v>0</v>
      </c>
      <c r="AB44" s="673" t="b">
        <f>IF(E44="ك",ROUND(VLOOKUP(C44,TABVACT,'f-travail'!$BG$2+11,FALSE)*(X44+Y44),2),IF(E44="ج",ROUND(((Y44+51.92)*VLOOKUP(C44,TABVACT,'f-travail'!$BG$2+11,FALSE)*AO44),2)))</f>
        <v>0</v>
      </c>
      <c r="AC44" s="673" t="b">
        <f>IF(E44="ك",ROUND(VLOOKUP(C44,TABVACT,'f-travail'!$BG$2+12,FALSE)*(X44+Y44),2),IF(E44="ج",ROUND(((Y44+51.92)*VLOOKUP(C44,TABVACT,'f-travail'!$BG$2+12,FALSE)*AO44),2)))</f>
        <v>0</v>
      </c>
      <c r="AD44" s="673" t="b">
        <f>IF(E44="ك",ROUND(VLOOKUP(C44,TABVACT,'f-travail'!$BG$2+13,FALSE)*(X44+Y44),2),IF(E44="ج",ROUND(((Y44+51.92)*VLOOKUP(C44,TABVACT,'f-travail'!$BG$2+13,FALSE)*AO44),2)))</f>
        <v>0</v>
      </c>
      <c r="AE44" s="673" t="b">
        <f>IF(E44="ك",ROUND(VLOOKUP(C44,TABVACT,'f-travail'!$BG$2+14,FALSE)*(X44+Y44),2),IF(E44="ج",ROUND(((Y44+51.92)*VLOOKUP(C44,TABVACT,'f-travail'!$BG$2+14,FALSE)*AO44),2)))</f>
        <v>0</v>
      </c>
      <c r="AF44" s="673" t="b">
        <f>IF(E44="ك",ROUND(VLOOKUP(C44,TABVACT,'f-travail'!$BG$2+15,FALSE)*(X44+Y44),2),IF(E44="ج",ROUND(((Y44+51.92)*VLOOKUP(C44,TABVACT,'f-travail'!$BG$2+15,FALSE)*AO44),2)))</f>
        <v>0</v>
      </c>
      <c r="AG44" s="673" t="b">
        <f t="shared" si="7"/>
        <v>0</v>
      </c>
      <c r="AH44" s="673">
        <f t="shared" si="8"/>
        <v>0</v>
      </c>
      <c r="AI44" s="673">
        <f t="shared" si="9"/>
        <v>0</v>
      </c>
      <c r="AJ44" s="673">
        <f t="shared" si="10"/>
        <v>0</v>
      </c>
      <c r="AK44" s="674">
        <f t="shared" si="11"/>
        <v>0</v>
      </c>
      <c r="AL44" s="673">
        <f t="shared" si="12"/>
        <v>0</v>
      </c>
      <c r="AM44" s="673">
        <f t="shared" si="13"/>
        <v>0</v>
      </c>
      <c r="AN44" s="810" t="str">
        <f t="shared" si="14"/>
        <v>عازب(ة)</v>
      </c>
      <c r="AO44" s="817">
        <f>LOOKUP(الرئيسية!$N$8,'ورقة العمل'!$T$1:$T$13,'ورقة العمل'!$V$1:$V$13)</f>
        <v>105</v>
      </c>
    </row>
    <row r="45" spans="1:41">
      <c r="A45" s="636">
        <f t="shared" si="15"/>
        <v>44</v>
      </c>
      <c r="B45" s="637"/>
      <c r="C45" s="803"/>
      <c r="D45" s="802" t="e">
        <f>VLOOKUP(C45,TABVACT,'f-travail'!$BG$2+1,FALSE)</f>
        <v>#N/A</v>
      </c>
      <c r="E45" s="804"/>
      <c r="F45" s="804"/>
      <c r="G45" s="803"/>
      <c r="H45" s="804"/>
      <c r="I45" s="804"/>
      <c r="J45" s="803"/>
      <c r="K45" s="803"/>
      <c r="M45" s="803"/>
      <c r="N45" s="803"/>
      <c r="O45" s="670" t="e">
        <f>VLOOKUP(C45,TABVACT,'f-travail'!$BG$2+5,FALSE)</f>
        <v>#N/A</v>
      </c>
      <c r="P45" s="670" t="e">
        <f>VLOOKUP(C45,TABVACT,'f-travail'!$BG$2+6,FALSE)</f>
        <v>#N/A</v>
      </c>
      <c r="Q45" s="811" t="str">
        <f t="shared" si="18"/>
        <v/>
      </c>
      <c r="R45" s="677" t="b">
        <f t="shared" si="17"/>
        <v>0</v>
      </c>
      <c r="S45" s="678">
        <f t="shared" si="2"/>
        <v>0</v>
      </c>
      <c r="T45" s="673">
        <f t="shared" si="3"/>
        <v>0</v>
      </c>
      <c r="U45" s="678">
        <f t="shared" si="4"/>
        <v>0</v>
      </c>
      <c r="V45" s="675"/>
      <c r="W45" s="675"/>
      <c r="X45" s="678" t="b">
        <f t="shared" si="5"/>
        <v>0</v>
      </c>
      <c r="Y45" s="807" t="b">
        <f t="shared" si="6"/>
        <v>0</v>
      </c>
      <c r="Z45" s="673" t="b">
        <f>IF(E45="ك",VLOOKUP(C45,TABVACT,'f-travail'!$BG$2+9,FALSE),IF(E45="ج",0))</f>
        <v>0</v>
      </c>
      <c r="AA45" s="673" t="b">
        <f>IF(E45="ك",VLOOKUP(C45,TABVACT,'f-travail'!$BG$2+10,FALSE),IF(E45="ج",ROUND((44.42)*AO45,2)))</f>
        <v>0</v>
      </c>
      <c r="AB45" s="673" t="b">
        <f>IF(E45="ك",ROUND(VLOOKUP(C45,TABVACT,'f-travail'!$BG$2+11,FALSE)*(X45+Y45),2),IF(E45="ج",ROUND(((Y45+51.92)*VLOOKUP(C45,TABVACT,'f-travail'!$BG$2+11,FALSE)*AO45),2)))</f>
        <v>0</v>
      </c>
      <c r="AC45" s="673" t="b">
        <f>IF(E45="ك",ROUND(VLOOKUP(C45,TABVACT,'f-travail'!$BG$2+12,FALSE)*(X45+Y45),2),IF(E45="ج",ROUND(((Y45+51.92)*VLOOKUP(C45,TABVACT,'f-travail'!$BG$2+12,FALSE)*AO45),2)))</f>
        <v>0</v>
      </c>
      <c r="AD45" s="673" t="b">
        <f>IF(E45="ك",ROUND(VLOOKUP(C45,TABVACT,'f-travail'!$BG$2+13,FALSE)*(X45+Y45),2),IF(E45="ج",ROUND(((Y45+51.92)*VLOOKUP(C45,TABVACT,'f-travail'!$BG$2+13,FALSE)*AO45),2)))</f>
        <v>0</v>
      </c>
      <c r="AE45" s="673" t="b">
        <f>IF(E45="ك",ROUND(VLOOKUP(C45,TABVACT,'f-travail'!$BG$2+14,FALSE)*(X45+Y45),2),IF(E45="ج",ROUND(((Y45+51.92)*VLOOKUP(C45,TABVACT,'f-travail'!$BG$2+14,FALSE)*AO45),2)))</f>
        <v>0</v>
      </c>
      <c r="AF45" s="673" t="b">
        <f>IF(E45="ك",ROUND(VLOOKUP(C45,TABVACT,'f-travail'!$BG$2+15,FALSE)*(X45+Y45),2),IF(E45="ج",ROUND(((Y45+51.92)*VLOOKUP(C45,TABVACT,'f-travail'!$BG$2+15,FALSE)*AO45),2)))</f>
        <v>0</v>
      </c>
      <c r="AG45" s="673" t="b">
        <f t="shared" si="7"/>
        <v>0</v>
      </c>
      <c r="AH45" s="673">
        <f t="shared" si="8"/>
        <v>0</v>
      </c>
      <c r="AI45" s="673">
        <f t="shared" si="9"/>
        <v>0</v>
      </c>
      <c r="AJ45" s="673">
        <f t="shared" si="10"/>
        <v>0</v>
      </c>
      <c r="AK45" s="674">
        <f t="shared" si="11"/>
        <v>0</v>
      </c>
      <c r="AL45" s="673">
        <f t="shared" si="12"/>
        <v>0</v>
      </c>
      <c r="AM45" s="673">
        <f t="shared" si="13"/>
        <v>0</v>
      </c>
      <c r="AN45" s="810" t="str">
        <f t="shared" si="14"/>
        <v>عازب(ة)</v>
      </c>
      <c r="AO45" s="817">
        <f>LOOKUP(الرئيسية!$N$8,'ورقة العمل'!$T$1:$T$13,'ورقة العمل'!$V$1:$V$13)</f>
        <v>105</v>
      </c>
    </row>
    <row r="46" spans="1:41">
      <c r="A46" s="636">
        <f t="shared" si="15"/>
        <v>45</v>
      </c>
      <c r="B46" s="637"/>
      <c r="C46" s="803"/>
      <c r="D46" s="802" t="e">
        <f>VLOOKUP(C46,TABVACT,'f-travail'!$BG$2+1,FALSE)</f>
        <v>#N/A</v>
      </c>
      <c r="E46" s="804"/>
      <c r="F46" s="804"/>
      <c r="G46" s="803"/>
      <c r="H46" s="804"/>
      <c r="I46" s="804"/>
      <c r="J46" s="803"/>
      <c r="K46" s="803"/>
      <c r="M46" s="803"/>
      <c r="N46" s="803"/>
      <c r="O46" s="670" t="e">
        <f>VLOOKUP(C46,TABVACT,'f-travail'!$BG$2+5,FALSE)</f>
        <v>#N/A</v>
      </c>
      <c r="P46" s="670" t="e">
        <f>VLOOKUP(C46,TABVACT,'f-travail'!$BG$2+6,FALSE)</f>
        <v>#N/A</v>
      </c>
      <c r="Q46" s="811" t="str">
        <f t="shared" si="18"/>
        <v/>
      </c>
      <c r="R46" s="677" t="b">
        <f t="shared" si="17"/>
        <v>0</v>
      </c>
      <c r="S46" s="678">
        <f t="shared" si="2"/>
        <v>0</v>
      </c>
      <c r="T46" s="673">
        <f t="shared" si="3"/>
        <v>0</v>
      </c>
      <c r="U46" s="678">
        <f t="shared" si="4"/>
        <v>0</v>
      </c>
      <c r="V46" s="675"/>
      <c r="W46" s="675"/>
      <c r="X46" s="678" t="b">
        <f t="shared" si="5"/>
        <v>0</v>
      </c>
      <c r="Y46" s="807" t="b">
        <f t="shared" si="6"/>
        <v>0</v>
      </c>
      <c r="Z46" s="673" t="b">
        <f>IF(E46="ك",VLOOKUP(C46,TABVACT,'f-travail'!$BG$2+9,FALSE),IF(E46="ج",0))</f>
        <v>0</v>
      </c>
      <c r="AA46" s="673" t="b">
        <f>IF(E46="ك",VLOOKUP(C46,TABVACT,'f-travail'!$BG$2+10,FALSE),IF(E46="ج",ROUND((44.42)*AO46,2)))</f>
        <v>0</v>
      </c>
      <c r="AB46" s="673" t="b">
        <f>IF(E46="ك",ROUND(VLOOKUP(C46,TABVACT,'f-travail'!$BG$2+11,FALSE)*(X46+Y46),2),IF(E46="ج",ROUND(((Y46+51.92)*VLOOKUP(C46,TABVACT,'f-travail'!$BG$2+11,FALSE)*AO46),2)))</f>
        <v>0</v>
      </c>
      <c r="AC46" s="673" t="b">
        <f>IF(E46="ك",ROUND(VLOOKUP(C46,TABVACT,'f-travail'!$BG$2+12,FALSE)*(X46+Y46),2),IF(E46="ج",ROUND(((Y46+51.92)*VLOOKUP(C46,TABVACT,'f-travail'!$BG$2+12,FALSE)*AO46),2)))</f>
        <v>0</v>
      </c>
      <c r="AD46" s="673" t="b">
        <f>IF(E46="ك",ROUND(VLOOKUP(C46,TABVACT,'f-travail'!$BG$2+13,FALSE)*(X46+Y46),2),IF(E46="ج",ROUND(((Y46+51.92)*VLOOKUP(C46,TABVACT,'f-travail'!$BG$2+13,FALSE)*AO46),2)))</f>
        <v>0</v>
      </c>
      <c r="AE46" s="673" t="b">
        <f>IF(E46="ك",ROUND(VLOOKUP(C46,TABVACT,'f-travail'!$BG$2+14,FALSE)*(X46+Y46),2),IF(E46="ج",ROUND(((Y46+51.92)*VLOOKUP(C46,TABVACT,'f-travail'!$BG$2+14,FALSE)*AO46),2)))</f>
        <v>0</v>
      </c>
      <c r="AF46" s="673" t="b">
        <f>IF(E46="ك",ROUND(VLOOKUP(C46,TABVACT,'f-travail'!$BG$2+15,FALSE)*(X46+Y46),2),IF(E46="ج",ROUND(((Y46+51.92)*VLOOKUP(C46,TABVACT,'f-travail'!$BG$2+15,FALSE)*AO46),2)))</f>
        <v>0</v>
      </c>
      <c r="AG46" s="673" t="b">
        <f t="shared" si="7"/>
        <v>0</v>
      </c>
      <c r="AH46" s="673">
        <f t="shared" si="8"/>
        <v>0</v>
      </c>
      <c r="AI46" s="673">
        <f t="shared" si="9"/>
        <v>0</v>
      </c>
      <c r="AJ46" s="673">
        <f t="shared" si="10"/>
        <v>0</v>
      </c>
      <c r="AK46" s="674">
        <f t="shared" si="11"/>
        <v>0</v>
      </c>
      <c r="AL46" s="673">
        <f t="shared" si="12"/>
        <v>0</v>
      </c>
      <c r="AM46" s="673">
        <f t="shared" si="13"/>
        <v>0</v>
      </c>
      <c r="AN46" s="810" t="str">
        <f t="shared" si="14"/>
        <v>عازب(ة)</v>
      </c>
      <c r="AO46" s="817">
        <f>LOOKUP(الرئيسية!$N$8,'ورقة العمل'!$T$1:$T$13,'ورقة العمل'!$V$1:$V$13)</f>
        <v>105</v>
      </c>
    </row>
    <row r="47" spans="1:41">
      <c r="A47" s="636">
        <f t="shared" si="15"/>
        <v>46</v>
      </c>
      <c r="B47" s="637"/>
      <c r="C47" s="803"/>
      <c r="D47" s="802" t="e">
        <f>VLOOKUP(C47,TABVACT,'f-travail'!$BG$2+1,FALSE)</f>
        <v>#N/A</v>
      </c>
      <c r="E47" s="804"/>
      <c r="F47" s="804"/>
      <c r="G47" s="803"/>
      <c r="H47" s="804"/>
      <c r="I47" s="804"/>
      <c r="J47" s="803"/>
      <c r="K47" s="803"/>
      <c r="M47" s="803"/>
      <c r="N47" s="803"/>
      <c r="O47" s="670" t="e">
        <f>VLOOKUP(C47,TABVACT,'f-travail'!$BG$2+5,FALSE)</f>
        <v>#N/A</v>
      </c>
      <c r="P47" s="670" t="e">
        <f>VLOOKUP(C47,TABVACT,'f-travail'!$BG$2+6,FALSE)</f>
        <v>#N/A</v>
      </c>
      <c r="Q47" s="811" t="str">
        <f t="shared" si="18"/>
        <v/>
      </c>
      <c r="R47" s="677" t="b">
        <f t="shared" si="17"/>
        <v>0</v>
      </c>
      <c r="S47" s="678">
        <f t="shared" si="2"/>
        <v>0</v>
      </c>
      <c r="T47" s="673">
        <f t="shared" si="3"/>
        <v>0</v>
      </c>
      <c r="U47" s="678">
        <f t="shared" si="4"/>
        <v>0</v>
      </c>
      <c r="V47" s="675"/>
      <c r="W47" s="675"/>
      <c r="X47" s="678" t="b">
        <f t="shared" si="5"/>
        <v>0</v>
      </c>
      <c r="Y47" s="807" t="b">
        <f t="shared" si="6"/>
        <v>0</v>
      </c>
      <c r="Z47" s="673" t="b">
        <f>IF(E47="ك",VLOOKUP(C47,TABVACT,'f-travail'!$BG$2+9,FALSE),IF(E47="ج",0))</f>
        <v>0</v>
      </c>
      <c r="AA47" s="673" t="b">
        <f>IF(E47="ك",VLOOKUP(C47,TABVACT,'f-travail'!$BG$2+10,FALSE),IF(E47="ج",ROUND((44.42)*AO47,2)))</f>
        <v>0</v>
      </c>
      <c r="AB47" s="673" t="b">
        <f>IF(E47="ك",ROUND(VLOOKUP(C47,TABVACT,'f-travail'!$BG$2+11,FALSE)*(X47+Y47),2),IF(E47="ج",ROUND(((Y47+51.92)*VLOOKUP(C47,TABVACT,'f-travail'!$BG$2+11,FALSE)*AO47),2)))</f>
        <v>0</v>
      </c>
      <c r="AC47" s="673" t="b">
        <f>IF(E47="ك",ROUND(VLOOKUP(C47,TABVACT,'f-travail'!$BG$2+12,FALSE)*(X47+Y47),2),IF(E47="ج",ROUND(((Y47+51.92)*VLOOKUP(C47,TABVACT,'f-travail'!$BG$2+12,FALSE)*AO47),2)))</f>
        <v>0</v>
      </c>
      <c r="AD47" s="673" t="b">
        <f>IF(E47="ك",ROUND(VLOOKUP(C47,TABVACT,'f-travail'!$BG$2+13,FALSE)*(X47+Y47),2),IF(E47="ج",ROUND(((Y47+51.92)*VLOOKUP(C47,TABVACT,'f-travail'!$BG$2+13,FALSE)*AO47),2)))</f>
        <v>0</v>
      </c>
      <c r="AE47" s="673" t="b">
        <f>IF(E47="ك",ROUND(VLOOKUP(C47,TABVACT,'f-travail'!$BG$2+14,FALSE)*(X47+Y47),2),IF(E47="ج",ROUND(((Y47+51.92)*VLOOKUP(C47,TABVACT,'f-travail'!$BG$2+14,FALSE)*AO47),2)))</f>
        <v>0</v>
      </c>
      <c r="AF47" s="673" t="b">
        <f>IF(E47="ك",ROUND(VLOOKUP(C47,TABVACT,'f-travail'!$BG$2+15,FALSE)*(X47+Y47),2),IF(E47="ج",ROUND(((Y47+51.92)*VLOOKUP(C47,TABVACT,'f-travail'!$BG$2+15,FALSE)*AO47),2)))</f>
        <v>0</v>
      </c>
      <c r="AG47" s="673" t="b">
        <f t="shared" si="7"/>
        <v>0</v>
      </c>
      <c r="AH47" s="673">
        <f t="shared" si="8"/>
        <v>0</v>
      </c>
      <c r="AI47" s="673">
        <f t="shared" si="9"/>
        <v>0</v>
      </c>
      <c r="AJ47" s="673">
        <f t="shared" si="10"/>
        <v>0</v>
      </c>
      <c r="AK47" s="674">
        <f t="shared" si="11"/>
        <v>0</v>
      </c>
      <c r="AL47" s="673">
        <f t="shared" si="12"/>
        <v>0</v>
      </c>
      <c r="AM47" s="673">
        <f t="shared" si="13"/>
        <v>0</v>
      </c>
      <c r="AN47" s="810" t="str">
        <f t="shared" si="14"/>
        <v>عازب(ة)</v>
      </c>
      <c r="AO47" s="817">
        <f>LOOKUP(الرئيسية!$N$8,'ورقة العمل'!$T$1:$T$13,'ورقة العمل'!$V$1:$V$13)</f>
        <v>105</v>
      </c>
    </row>
    <row r="48" spans="1:41">
      <c r="A48" s="636">
        <f t="shared" si="15"/>
        <v>47</v>
      </c>
      <c r="B48" s="637"/>
      <c r="C48" s="803"/>
      <c r="D48" s="802" t="e">
        <f>VLOOKUP(C48,TABVACT,'f-travail'!$BG$2+1,FALSE)</f>
        <v>#N/A</v>
      </c>
      <c r="E48" s="804"/>
      <c r="F48" s="804"/>
      <c r="G48" s="803"/>
      <c r="H48" s="804"/>
      <c r="I48" s="804"/>
      <c r="J48" s="803"/>
      <c r="K48" s="803"/>
      <c r="M48" s="803"/>
      <c r="N48" s="803"/>
      <c r="O48" s="670" t="e">
        <f>VLOOKUP(C48,TABVACT,'f-travail'!$BG$2+5,FALSE)</f>
        <v>#N/A</v>
      </c>
      <c r="P48" s="670" t="e">
        <f>VLOOKUP(C48,TABVACT,'f-travail'!$BG$2+6,FALSE)</f>
        <v>#N/A</v>
      </c>
      <c r="Q48" s="811" t="str">
        <f t="shared" si="18"/>
        <v/>
      </c>
      <c r="R48" s="677" t="b">
        <f t="shared" si="17"/>
        <v>0</v>
      </c>
      <c r="S48" s="678">
        <f t="shared" si="2"/>
        <v>0</v>
      </c>
      <c r="T48" s="673">
        <f t="shared" si="3"/>
        <v>0</v>
      </c>
      <c r="U48" s="678">
        <f t="shared" si="4"/>
        <v>0</v>
      </c>
      <c r="V48" s="675"/>
      <c r="W48" s="675"/>
      <c r="X48" s="678" t="b">
        <f t="shared" si="5"/>
        <v>0</v>
      </c>
      <c r="Y48" s="807" t="b">
        <f t="shared" si="6"/>
        <v>0</v>
      </c>
      <c r="Z48" s="673" t="b">
        <f>IF(E48="ك",VLOOKUP(C48,TABVACT,'f-travail'!$BG$2+9,FALSE),IF(E48="ج",0))</f>
        <v>0</v>
      </c>
      <c r="AA48" s="673" t="b">
        <f>IF(E48="ك",VLOOKUP(C48,TABVACT,'f-travail'!$BG$2+10,FALSE),IF(E48="ج",ROUND((44.42)*AO48,2)))</f>
        <v>0</v>
      </c>
      <c r="AB48" s="673" t="b">
        <f>IF(E48="ك",ROUND(VLOOKUP(C48,TABVACT,'f-travail'!$BG$2+11,FALSE)*(X48+Y48),2),IF(E48="ج",ROUND(((Y48+51.92)*VLOOKUP(C48,TABVACT,'f-travail'!$BG$2+11,FALSE)*AO48),2)))</f>
        <v>0</v>
      </c>
      <c r="AC48" s="673" t="b">
        <f>IF(E48="ك",ROUND(VLOOKUP(C48,TABVACT,'f-travail'!$BG$2+12,FALSE)*(X48+Y48),2),IF(E48="ج",ROUND(((Y48+51.92)*VLOOKUP(C48,TABVACT,'f-travail'!$BG$2+12,FALSE)*AO48),2)))</f>
        <v>0</v>
      </c>
      <c r="AD48" s="673" t="b">
        <f>IF(E48="ك",ROUND(VLOOKUP(C48,TABVACT,'f-travail'!$BG$2+13,FALSE)*(X48+Y48),2),IF(E48="ج",ROUND(((Y48+51.92)*VLOOKUP(C48,TABVACT,'f-travail'!$BG$2+13,FALSE)*AO48),2)))</f>
        <v>0</v>
      </c>
      <c r="AE48" s="673" t="b">
        <f>IF(E48="ك",ROUND(VLOOKUP(C48,TABVACT,'f-travail'!$BG$2+14,FALSE)*(X48+Y48),2),IF(E48="ج",ROUND(((Y48+51.92)*VLOOKUP(C48,TABVACT,'f-travail'!$BG$2+14,FALSE)*AO48),2)))</f>
        <v>0</v>
      </c>
      <c r="AF48" s="673" t="b">
        <f>IF(E48="ك",ROUND(VLOOKUP(C48,TABVACT,'f-travail'!$BG$2+15,FALSE)*(X48+Y48),2),IF(E48="ج",ROUND(((Y48+51.92)*VLOOKUP(C48,TABVACT,'f-travail'!$BG$2+15,FALSE)*AO48),2)))</f>
        <v>0</v>
      </c>
      <c r="AG48" s="673" t="b">
        <f t="shared" si="7"/>
        <v>0</v>
      </c>
      <c r="AH48" s="673">
        <f t="shared" si="8"/>
        <v>0</v>
      </c>
      <c r="AI48" s="673">
        <f t="shared" si="9"/>
        <v>0</v>
      </c>
      <c r="AJ48" s="673">
        <f t="shared" si="10"/>
        <v>0</v>
      </c>
      <c r="AK48" s="674">
        <f t="shared" si="11"/>
        <v>0</v>
      </c>
      <c r="AL48" s="673">
        <f t="shared" si="12"/>
        <v>0</v>
      </c>
      <c r="AM48" s="673">
        <f t="shared" si="13"/>
        <v>0</v>
      </c>
      <c r="AN48" s="810" t="str">
        <f t="shared" si="14"/>
        <v>عازب(ة)</v>
      </c>
      <c r="AO48" s="817">
        <f>LOOKUP(الرئيسية!$N$8,'ورقة العمل'!$T$1:$T$13,'ورقة العمل'!$V$1:$V$13)</f>
        <v>105</v>
      </c>
    </row>
    <row r="49" spans="1:41">
      <c r="A49" s="636">
        <f t="shared" si="15"/>
        <v>48</v>
      </c>
      <c r="B49" s="637"/>
      <c r="C49" s="803"/>
      <c r="D49" s="802" t="e">
        <f>VLOOKUP(C49,TABVACT,'f-travail'!$BG$2+1,FALSE)</f>
        <v>#N/A</v>
      </c>
      <c r="E49" s="804"/>
      <c r="F49" s="804"/>
      <c r="G49" s="803"/>
      <c r="H49" s="804"/>
      <c r="I49" s="804"/>
      <c r="J49" s="803"/>
      <c r="K49" s="803"/>
      <c r="M49" s="803"/>
      <c r="N49" s="803"/>
      <c r="O49" s="670" t="e">
        <f>VLOOKUP(C49,TABVACT,'f-travail'!$BG$2+5,FALSE)</f>
        <v>#N/A</v>
      </c>
      <c r="P49" s="670" t="e">
        <f>VLOOKUP(C49,TABVACT,'f-travail'!$BG$2+6,FALSE)</f>
        <v>#N/A</v>
      </c>
      <c r="Q49" s="811" t="str">
        <f t="shared" si="18"/>
        <v/>
      </c>
      <c r="R49" s="677" t="b">
        <f t="shared" ref="R49:R100" si="19">IF(OR(G49="متزوج(ة)",G49="متزوج(ة)ماكثة",G49="متزوج(ة)عاملة"),(CONCATENATE("م","(",H49,")")),IF(G49="مطلق(ة)",(CONCATENATE("مط","(",H49,")")),IF(G49="عازب(ة)","ع",IF(G49="عازب(ة)كفيل",CONCATENATE("ع/ك","(",H49,")")))))</f>
        <v>0</v>
      </c>
      <c r="S49" s="678">
        <f t="shared" si="2"/>
        <v>0</v>
      </c>
      <c r="T49" s="673">
        <f t="shared" si="3"/>
        <v>0</v>
      </c>
      <c r="U49" s="678">
        <f t="shared" si="4"/>
        <v>0</v>
      </c>
      <c r="V49" s="675"/>
      <c r="W49" s="675"/>
      <c r="X49" s="678" t="b">
        <f t="shared" si="5"/>
        <v>0</v>
      </c>
      <c r="Y49" s="807" t="b">
        <f t="shared" si="6"/>
        <v>0</v>
      </c>
      <c r="Z49" s="673" t="b">
        <f>IF(E49="ك",VLOOKUP(C49,TABVACT,'f-travail'!$BG$2+9,FALSE),IF(E49="ج",0))</f>
        <v>0</v>
      </c>
      <c r="AA49" s="673" t="b">
        <f>IF(E49="ك",VLOOKUP(C49,TABVACT,'f-travail'!$BG$2+10,FALSE),IF(E49="ج",ROUND((44.42)*AO49,2)))</f>
        <v>0</v>
      </c>
      <c r="AB49" s="673" t="b">
        <f>IF(E49="ك",ROUND(VLOOKUP(C49,TABVACT,'f-travail'!$BG$2+11,FALSE)*(X49+Y49),2),IF(E49="ج",ROUND(((Y49+51.92)*VLOOKUP(C49,TABVACT,'f-travail'!$BG$2+11,FALSE)*AO49),2)))</f>
        <v>0</v>
      </c>
      <c r="AC49" s="673" t="b">
        <f>IF(E49="ك",ROUND(VLOOKUP(C49,TABVACT,'f-travail'!$BG$2+12,FALSE)*(X49+Y49),2),IF(E49="ج",ROUND(((Y49+51.92)*VLOOKUP(C49,TABVACT,'f-travail'!$BG$2+12,FALSE)*AO49),2)))</f>
        <v>0</v>
      </c>
      <c r="AD49" s="673" t="b">
        <f>IF(E49="ك",ROUND(VLOOKUP(C49,TABVACT,'f-travail'!$BG$2+13,FALSE)*(X49+Y49),2),IF(E49="ج",ROUND(((Y49+51.92)*VLOOKUP(C49,TABVACT,'f-travail'!$BG$2+13,FALSE)*AO49),2)))</f>
        <v>0</v>
      </c>
      <c r="AE49" s="673" t="b">
        <f>IF(E49="ك",ROUND(VLOOKUP(C49,TABVACT,'f-travail'!$BG$2+14,FALSE)*(X49+Y49),2),IF(E49="ج",ROUND(((Y49+51.92)*VLOOKUP(C49,TABVACT,'f-travail'!$BG$2+14,FALSE)*AO49),2)))</f>
        <v>0</v>
      </c>
      <c r="AF49" s="673" t="b">
        <f>IF(E49="ك",ROUND(VLOOKUP(C49,TABVACT,'f-travail'!$BG$2+15,FALSE)*(X49+Y49),2),IF(E49="ج",ROUND(((Y49+51.92)*VLOOKUP(C49,TABVACT,'f-travail'!$BG$2+15,FALSE)*AO49),2)))</f>
        <v>0</v>
      </c>
      <c r="AG49" s="673" t="b">
        <f t="shared" si="7"/>
        <v>0</v>
      </c>
      <c r="AH49" s="673">
        <f t="shared" si="8"/>
        <v>0</v>
      </c>
      <c r="AI49" s="673">
        <f t="shared" si="9"/>
        <v>0</v>
      </c>
      <c r="AJ49" s="673">
        <f t="shared" si="10"/>
        <v>0</v>
      </c>
      <c r="AK49" s="674">
        <f t="shared" si="11"/>
        <v>0</v>
      </c>
      <c r="AL49" s="673">
        <f t="shared" si="12"/>
        <v>0</v>
      </c>
      <c r="AM49" s="673">
        <f t="shared" si="13"/>
        <v>0</v>
      </c>
      <c r="AN49" s="810" t="str">
        <f t="shared" si="14"/>
        <v>عازب(ة)</v>
      </c>
      <c r="AO49" s="817">
        <f>LOOKUP(الرئيسية!$N$8,'ورقة العمل'!$T$1:$T$13,'ورقة العمل'!$V$1:$V$13)</f>
        <v>105</v>
      </c>
    </row>
    <row r="50" spans="1:41">
      <c r="A50" s="636">
        <f t="shared" si="15"/>
        <v>49</v>
      </c>
      <c r="B50" s="637"/>
      <c r="C50" s="803"/>
      <c r="D50" s="802" t="e">
        <f>VLOOKUP(C50,TABVACT,'f-travail'!$BG$2+1,FALSE)</f>
        <v>#N/A</v>
      </c>
      <c r="E50" s="804"/>
      <c r="F50" s="804"/>
      <c r="G50" s="803"/>
      <c r="H50" s="804"/>
      <c r="I50" s="804"/>
      <c r="J50" s="803"/>
      <c r="K50" s="803"/>
      <c r="M50" s="803"/>
      <c r="N50" s="803"/>
      <c r="O50" s="670" t="e">
        <f>VLOOKUP(C50,TABVACT,'f-travail'!$BG$2+5,FALSE)</f>
        <v>#N/A</v>
      </c>
      <c r="P50" s="670" t="e">
        <f>VLOOKUP(C50,TABVACT,'f-travail'!$BG$2+6,FALSE)</f>
        <v>#N/A</v>
      </c>
      <c r="Q50" s="811" t="str">
        <f t="shared" si="18"/>
        <v/>
      </c>
      <c r="R50" s="677" t="b">
        <f t="shared" si="19"/>
        <v>0</v>
      </c>
      <c r="S50" s="678">
        <f t="shared" si="2"/>
        <v>0</v>
      </c>
      <c r="T50" s="673">
        <f t="shared" si="3"/>
        <v>0</v>
      </c>
      <c r="U50" s="678">
        <f t="shared" si="4"/>
        <v>0</v>
      </c>
      <c r="V50" s="675"/>
      <c r="W50" s="675"/>
      <c r="X50" s="678" t="b">
        <f t="shared" si="5"/>
        <v>0</v>
      </c>
      <c r="Y50" s="807" t="b">
        <f t="shared" si="6"/>
        <v>0</v>
      </c>
      <c r="Z50" s="673" t="b">
        <f>IF(E50="ك",VLOOKUP(C50,TABVACT,'f-travail'!$BG$2+9,FALSE),IF(E50="ج",0))</f>
        <v>0</v>
      </c>
      <c r="AA50" s="673" t="b">
        <f>IF(E50="ك",VLOOKUP(C50,TABVACT,'f-travail'!$BG$2+10,FALSE),IF(E50="ج",ROUND((44.42)*AO50,2)))</f>
        <v>0</v>
      </c>
      <c r="AB50" s="673" t="b">
        <f>IF(E50="ك",ROUND(VLOOKUP(C50,TABVACT,'f-travail'!$BG$2+11,FALSE)*(X50+Y50),2),IF(E50="ج",ROUND(((Y50+51.92)*VLOOKUP(C50,TABVACT,'f-travail'!$BG$2+11,FALSE)*AO50),2)))</f>
        <v>0</v>
      </c>
      <c r="AC50" s="673" t="b">
        <f>IF(E50="ك",ROUND(VLOOKUP(C50,TABVACT,'f-travail'!$BG$2+12,FALSE)*(X50+Y50),2),IF(E50="ج",ROUND(((Y50+51.92)*VLOOKUP(C50,TABVACT,'f-travail'!$BG$2+12,FALSE)*AO50),2)))</f>
        <v>0</v>
      </c>
      <c r="AD50" s="673" t="b">
        <f>IF(E50="ك",ROUND(VLOOKUP(C50,TABVACT,'f-travail'!$BG$2+13,FALSE)*(X50+Y50),2),IF(E50="ج",ROUND(((Y50+51.92)*VLOOKUP(C50,TABVACT,'f-travail'!$BG$2+13,FALSE)*AO50),2)))</f>
        <v>0</v>
      </c>
      <c r="AE50" s="673" t="b">
        <f>IF(E50="ك",ROUND(VLOOKUP(C50,TABVACT,'f-travail'!$BG$2+14,FALSE)*(X50+Y50),2),IF(E50="ج",ROUND(((Y50+51.92)*VLOOKUP(C50,TABVACT,'f-travail'!$BG$2+14,FALSE)*AO50),2)))</f>
        <v>0</v>
      </c>
      <c r="AF50" s="673" t="b">
        <f>IF(E50="ك",ROUND(VLOOKUP(C50,TABVACT,'f-travail'!$BG$2+15,FALSE)*(X50+Y50),2),IF(E50="ج",ROUND(((Y50+51.92)*VLOOKUP(C50,TABVACT,'f-travail'!$BG$2+15,FALSE)*AO50),2)))</f>
        <v>0</v>
      </c>
      <c r="AG50" s="673" t="b">
        <f t="shared" si="7"/>
        <v>0</v>
      </c>
      <c r="AH50" s="673">
        <f t="shared" si="8"/>
        <v>0</v>
      </c>
      <c r="AI50" s="673">
        <f t="shared" si="9"/>
        <v>0</v>
      </c>
      <c r="AJ50" s="673">
        <f t="shared" si="10"/>
        <v>0</v>
      </c>
      <c r="AK50" s="674">
        <f t="shared" si="11"/>
        <v>0</v>
      </c>
      <c r="AL50" s="673">
        <f t="shared" si="12"/>
        <v>0</v>
      </c>
      <c r="AM50" s="673">
        <f t="shared" si="13"/>
        <v>0</v>
      </c>
      <c r="AN50" s="810" t="str">
        <f t="shared" si="14"/>
        <v>عازب(ة)</v>
      </c>
      <c r="AO50" s="817">
        <f>LOOKUP(الرئيسية!$N$8,'ورقة العمل'!$T$1:$T$13,'ورقة العمل'!$V$1:$V$13)</f>
        <v>105</v>
      </c>
    </row>
    <row r="51" spans="1:41">
      <c r="A51" s="636">
        <f t="shared" si="15"/>
        <v>50</v>
      </c>
      <c r="B51" s="637"/>
      <c r="C51" s="803"/>
      <c r="D51" s="802" t="e">
        <f>VLOOKUP(C51,TABVACT,'f-travail'!$BG$2+1,FALSE)</f>
        <v>#N/A</v>
      </c>
      <c r="E51" s="804"/>
      <c r="F51" s="804"/>
      <c r="G51" s="803"/>
      <c r="H51" s="804"/>
      <c r="I51" s="804"/>
      <c r="J51" s="803"/>
      <c r="K51" s="803"/>
      <c r="M51" s="803"/>
      <c r="N51" s="803"/>
      <c r="O51" s="670" t="e">
        <f>VLOOKUP(C51,TABVACT,'f-travail'!$BG$2+5,FALSE)</f>
        <v>#N/A</v>
      </c>
      <c r="P51" s="670" t="e">
        <f>VLOOKUP(C51,TABVACT,'f-travail'!$BG$2+6,FALSE)</f>
        <v>#N/A</v>
      </c>
      <c r="Q51" s="811" t="str">
        <f t="shared" si="18"/>
        <v/>
      </c>
      <c r="R51" s="677" t="b">
        <f t="shared" si="19"/>
        <v>0</v>
      </c>
      <c r="S51" s="678">
        <f t="shared" si="2"/>
        <v>0</v>
      </c>
      <c r="T51" s="673">
        <f t="shared" si="3"/>
        <v>0</v>
      </c>
      <c r="U51" s="678">
        <f t="shared" si="4"/>
        <v>0</v>
      </c>
      <c r="V51" s="675"/>
      <c r="W51" s="675"/>
      <c r="X51" s="678" t="b">
        <f t="shared" si="5"/>
        <v>0</v>
      </c>
      <c r="Y51" s="807" t="b">
        <f t="shared" si="6"/>
        <v>0</v>
      </c>
      <c r="Z51" s="673" t="b">
        <f>IF(E51="ك",VLOOKUP(C51,TABVACT,'f-travail'!$BG$2+9,FALSE),IF(E51="ج",0))</f>
        <v>0</v>
      </c>
      <c r="AA51" s="673" t="b">
        <f>IF(E51="ك",VLOOKUP(C51,TABVACT,'f-travail'!$BG$2+10,FALSE),IF(E51="ج",ROUND((44.42)*AO51,2)))</f>
        <v>0</v>
      </c>
      <c r="AB51" s="673" t="b">
        <f>IF(E51="ك",ROUND(VLOOKUP(C51,TABVACT,'f-travail'!$BG$2+11,FALSE)*(X51+Y51),2),IF(E51="ج",ROUND(((Y51+51.92)*VLOOKUP(C51,TABVACT,'f-travail'!$BG$2+11,FALSE)*AO51),2)))</f>
        <v>0</v>
      </c>
      <c r="AC51" s="673" t="b">
        <f>IF(E51="ك",ROUND(VLOOKUP(C51,TABVACT,'f-travail'!$BG$2+12,FALSE)*(X51+Y51),2),IF(E51="ج",ROUND(((Y51+51.92)*VLOOKUP(C51,TABVACT,'f-travail'!$BG$2+12,FALSE)*AO51),2)))</f>
        <v>0</v>
      </c>
      <c r="AD51" s="673" t="b">
        <f>IF(E51="ك",ROUND(VLOOKUP(C51,TABVACT,'f-travail'!$BG$2+13,FALSE)*(X51+Y51),2),IF(E51="ج",ROUND(((Y51+51.92)*VLOOKUP(C51,TABVACT,'f-travail'!$BG$2+13,FALSE)*AO51),2)))</f>
        <v>0</v>
      </c>
      <c r="AE51" s="673" t="b">
        <f>IF(E51="ك",ROUND(VLOOKUP(C51,TABVACT,'f-travail'!$BG$2+14,FALSE)*(X51+Y51),2),IF(E51="ج",ROUND(((Y51+51.92)*VLOOKUP(C51,TABVACT,'f-travail'!$BG$2+14,FALSE)*AO51),2)))</f>
        <v>0</v>
      </c>
      <c r="AF51" s="673" t="b">
        <f>IF(E51="ك",ROUND(VLOOKUP(C51,TABVACT,'f-travail'!$BG$2+15,FALSE)*(X51+Y51),2),IF(E51="ج",ROUND(((Y51+51.92)*VLOOKUP(C51,TABVACT,'f-travail'!$BG$2+15,FALSE)*AO51),2)))</f>
        <v>0</v>
      </c>
      <c r="AG51" s="673" t="b">
        <f t="shared" si="7"/>
        <v>0</v>
      </c>
      <c r="AH51" s="673">
        <f t="shared" si="8"/>
        <v>0</v>
      </c>
      <c r="AI51" s="673">
        <f t="shared" si="9"/>
        <v>0</v>
      </c>
      <c r="AJ51" s="673">
        <f t="shared" si="10"/>
        <v>0</v>
      </c>
      <c r="AK51" s="674">
        <f t="shared" si="11"/>
        <v>0</v>
      </c>
      <c r="AL51" s="673">
        <f t="shared" si="12"/>
        <v>0</v>
      </c>
      <c r="AM51" s="673">
        <f t="shared" si="13"/>
        <v>0</v>
      </c>
      <c r="AN51" s="810" t="str">
        <f t="shared" si="14"/>
        <v>عازب(ة)</v>
      </c>
      <c r="AO51" s="817">
        <f>LOOKUP(الرئيسية!$N$8,'ورقة العمل'!$T$1:$T$13,'ورقة العمل'!$V$1:$V$13)</f>
        <v>105</v>
      </c>
    </row>
    <row r="52" spans="1:41">
      <c r="A52" s="636">
        <f t="shared" si="15"/>
        <v>51</v>
      </c>
      <c r="B52" s="637"/>
      <c r="C52" s="803"/>
      <c r="D52" s="802" t="e">
        <f>VLOOKUP(C52,TABVACT,'f-travail'!$BG$2+1,FALSE)</f>
        <v>#N/A</v>
      </c>
      <c r="E52" s="804"/>
      <c r="F52" s="804"/>
      <c r="G52" s="803"/>
      <c r="H52" s="804"/>
      <c r="I52" s="804"/>
      <c r="J52" s="803"/>
      <c r="K52" s="803"/>
      <c r="M52" s="803"/>
      <c r="N52" s="803"/>
      <c r="O52" s="670" t="e">
        <f>VLOOKUP(C52,TABVACT,'f-travail'!$BG$2+5,FALSE)</f>
        <v>#N/A</v>
      </c>
      <c r="P52" s="670" t="e">
        <f>VLOOKUP(C52,TABVACT,'f-travail'!$BG$2+6,FALSE)</f>
        <v>#N/A</v>
      </c>
      <c r="Q52" s="811" t="str">
        <f t="shared" si="18"/>
        <v/>
      </c>
      <c r="R52" s="677" t="b">
        <f t="shared" si="19"/>
        <v>0</v>
      </c>
      <c r="S52" s="678">
        <f t="shared" si="2"/>
        <v>0</v>
      </c>
      <c r="T52" s="673">
        <f t="shared" si="3"/>
        <v>0</v>
      </c>
      <c r="U52" s="678">
        <f t="shared" si="4"/>
        <v>0</v>
      </c>
      <c r="V52" s="675"/>
      <c r="W52" s="675"/>
      <c r="X52" s="678" t="b">
        <f t="shared" si="5"/>
        <v>0</v>
      </c>
      <c r="Y52" s="807" t="b">
        <f t="shared" si="6"/>
        <v>0</v>
      </c>
      <c r="Z52" s="673" t="b">
        <f>IF(E52="ك",VLOOKUP(C52,TABVACT,'f-travail'!$BG$2+9,FALSE),IF(E52="ج",0))</f>
        <v>0</v>
      </c>
      <c r="AA52" s="673" t="b">
        <f>IF(E52="ك",VLOOKUP(C52,TABVACT,'f-travail'!$BG$2+10,FALSE),IF(E52="ج",ROUND((44.42)*AO52,2)))</f>
        <v>0</v>
      </c>
      <c r="AB52" s="673" t="b">
        <f>IF(E52="ك",ROUND(VLOOKUP(C52,TABVACT,'f-travail'!$BG$2+11,FALSE)*(X52+Y52),2),IF(E52="ج",ROUND(((Y52+51.92)*VLOOKUP(C52,TABVACT,'f-travail'!$BG$2+11,FALSE)*AO52),2)))</f>
        <v>0</v>
      </c>
      <c r="AC52" s="673" t="b">
        <f>IF(E52="ك",ROUND(VLOOKUP(C52,TABVACT,'f-travail'!$BG$2+12,FALSE)*(X52+Y52),2),IF(E52="ج",ROUND(((Y52+51.92)*VLOOKUP(C52,TABVACT,'f-travail'!$BG$2+12,FALSE)*AO52),2)))</f>
        <v>0</v>
      </c>
      <c r="AD52" s="673" t="b">
        <f>IF(E52="ك",ROUND(VLOOKUP(C52,TABVACT,'f-travail'!$BG$2+13,FALSE)*(X52+Y52),2),IF(E52="ج",ROUND(((Y52+51.92)*VLOOKUP(C52,TABVACT,'f-travail'!$BG$2+13,FALSE)*AO52),2)))</f>
        <v>0</v>
      </c>
      <c r="AE52" s="673" t="b">
        <f>IF(E52="ك",ROUND(VLOOKUP(C52,TABVACT,'f-travail'!$BG$2+14,FALSE)*(X52+Y52),2),IF(E52="ج",ROUND(((Y52+51.92)*VLOOKUP(C52,TABVACT,'f-travail'!$BG$2+14,FALSE)*AO52),2)))</f>
        <v>0</v>
      </c>
      <c r="AF52" s="673" t="b">
        <f>IF(E52="ك",ROUND(VLOOKUP(C52,TABVACT,'f-travail'!$BG$2+15,FALSE)*(X52+Y52),2),IF(E52="ج",ROUND(((Y52+51.92)*VLOOKUP(C52,TABVACT,'f-travail'!$BG$2+15,FALSE)*AO52),2)))</f>
        <v>0</v>
      </c>
      <c r="AG52" s="673" t="b">
        <f t="shared" si="7"/>
        <v>0</v>
      </c>
      <c r="AH52" s="673">
        <f t="shared" si="8"/>
        <v>0</v>
      </c>
      <c r="AI52" s="673">
        <f t="shared" si="9"/>
        <v>0</v>
      </c>
      <c r="AJ52" s="673">
        <f t="shared" si="10"/>
        <v>0</v>
      </c>
      <c r="AK52" s="674">
        <f t="shared" si="11"/>
        <v>0</v>
      </c>
      <c r="AL52" s="673">
        <f t="shared" si="12"/>
        <v>0</v>
      </c>
      <c r="AM52" s="673">
        <f t="shared" si="13"/>
        <v>0</v>
      </c>
      <c r="AN52" s="810" t="str">
        <f t="shared" si="14"/>
        <v>عازب(ة)</v>
      </c>
      <c r="AO52" s="817">
        <f>LOOKUP(الرئيسية!$N$8,'ورقة العمل'!$T$1:$T$13,'ورقة العمل'!$V$1:$V$13)</f>
        <v>105</v>
      </c>
    </row>
    <row r="53" spans="1:41">
      <c r="A53" s="636">
        <f t="shared" si="15"/>
        <v>52</v>
      </c>
      <c r="B53" s="637"/>
      <c r="C53" s="803"/>
      <c r="D53" s="802" t="e">
        <f>VLOOKUP(C53,TABVACT,'f-travail'!$BG$2+1,FALSE)</f>
        <v>#N/A</v>
      </c>
      <c r="E53" s="804"/>
      <c r="F53" s="804"/>
      <c r="G53" s="803"/>
      <c r="H53" s="804"/>
      <c r="I53" s="804"/>
      <c r="J53" s="803"/>
      <c r="K53" s="803"/>
      <c r="M53" s="803"/>
      <c r="N53" s="803"/>
      <c r="O53" s="670" t="e">
        <f>VLOOKUP(C53,TABVACT,'f-travail'!$BG$2+5,FALSE)</f>
        <v>#N/A</v>
      </c>
      <c r="P53" s="670" t="e">
        <f>VLOOKUP(C53,TABVACT,'f-travail'!$BG$2+6,FALSE)</f>
        <v>#N/A</v>
      </c>
      <c r="Q53" s="811" t="str">
        <f t="shared" si="18"/>
        <v/>
      </c>
      <c r="R53" s="677" t="b">
        <f t="shared" si="19"/>
        <v>0</v>
      </c>
      <c r="S53" s="678">
        <f t="shared" si="2"/>
        <v>0</v>
      </c>
      <c r="T53" s="673">
        <f t="shared" si="3"/>
        <v>0</v>
      </c>
      <c r="U53" s="678">
        <f t="shared" si="4"/>
        <v>0</v>
      </c>
      <c r="V53" s="675"/>
      <c r="W53" s="675"/>
      <c r="X53" s="678" t="b">
        <f t="shared" si="5"/>
        <v>0</v>
      </c>
      <c r="Y53" s="807" t="b">
        <f t="shared" si="6"/>
        <v>0</v>
      </c>
      <c r="Z53" s="673" t="b">
        <f>IF(E53="ك",VLOOKUP(C53,TABVACT,'f-travail'!$BG$2+9,FALSE),IF(E53="ج",0))</f>
        <v>0</v>
      </c>
      <c r="AA53" s="673" t="b">
        <f>IF(E53="ك",VLOOKUP(C53,TABVACT,'f-travail'!$BG$2+10,FALSE),IF(E53="ج",ROUND((44.42)*AO53,2)))</f>
        <v>0</v>
      </c>
      <c r="AB53" s="673" t="b">
        <f>IF(E53="ك",ROUND(VLOOKUP(C53,TABVACT,'f-travail'!$BG$2+11,FALSE)*(X53+Y53),2),IF(E53="ج",ROUND(((Y53+51.92)*VLOOKUP(C53,TABVACT,'f-travail'!$BG$2+11,FALSE)*AO53),2)))</f>
        <v>0</v>
      </c>
      <c r="AC53" s="673" t="b">
        <f>IF(E53="ك",ROUND(VLOOKUP(C53,TABVACT,'f-travail'!$BG$2+12,FALSE)*(X53+Y53),2),IF(E53="ج",ROUND(((Y53+51.92)*VLOOKUP(C53,TABVACT,'f-travail'!$BG$2+12,FALSE)*AO53),2)))</f>
        <v>0</v>
      </c>
      <c r="AD53" s="673" t="b">
        <f>IF(E53="ك",ROUND(VLOOKUP(C53,TABVACT,'f-travail'!$BG$2+13,FALSE)*(X53+Y53),2),IF(E53="ج",ROUND(((Y53+51.92)*VLOOKUP(C53,TABVACT,'f-travail'!$BG$2+13,FALSE)*AO53),2)))</f>
        <v>0</v>
      </c>
      <c r="AE53" s="673" t="b">
        <f>IF(E53="ك",ROUND(VLOOKUP(C53,TABVACT,'f-travail'!$BG$2+14,FALSE)*(X53+Y53),2),IF(E53="ج",ROUND(((Y53+51.92)*VLOOKUP(C53,TABVACT,'f-travail'!$BG$2+14,FALSE)*AO53),2)))</f>
        <v>0</v>
      </c>
      <c r="AF53" s="673" t="b">
        <f>IF(E53="ك",ROUND(VLOOKUP(C53,TABVACT,'f-travail'!$BG$2+15,FALSE)*(X53+Y53),2),IF(E53="ج",ROUND(((Y53+51.92)*VLOOKUP(C53,TABVACT,'f-travail'!$BG$2+15,FALSE)*AO53),2)))</f>
        <v>0</v>
      </c>
      <c r="AG53" s="673" t="b">
        <f t="shared" si="7"/>
        <v>0</v>
      </c>
      <c r="AH53" s="673">
        <f t="shared" si="8"/>
        <v>0</v>
      </c>
      <c r="AI53" s="673">
        <f t="shared" si="9"/>
        <v>0</v>
      </c>
      <c r="AJ53" s="673">
        <f t="shared" si="10"/>
        <v>0</v>
      </c>
      <c r="AK53" s="674">
        <f t="shared" si="11"/>
        <v>0</v>
      </c>
      <c r="AL53" s="673">
        <f t="shared" si="12"/>
        <v>0</v>
      </c>
      <c r="AM53" s="673">
        <f t="shared" si="13"/>
        <v>0</v>
      </c>
      <c r="AN53" s="810" t="str">
        <f t="shared" si="14"/>
        <v>عازب(ة)</v>
      </c>
      <c r="AO53" s="817">
        <f>LOOKUP(الرئيسية!$N$8,'ورقة العمل'!$T$1:$T$13,'ورقة العمل'!$V$1:$V$13)</f>
        <v>105</v>
      </c>
    </row>
    <row r="54" spans="1:41">
      <c r="A54" s="636">
        <f t="shared" si="15"/>
        <v>53</v>
      </c>
      <c r="B54" s="637"/>
      <c r="C54" s="803"/>
      <c r="D54" s="802" t="e">
        <f>VLOOKUP(C54,TABVACT,'f-travail'!$BG$2+1,FALSE)</f>
        <v>#N/A</v>
      </c>
      <c r="E54" s="804"/>
      <c r="F54" s="804"/>
      <c r="G54" s="803"/>
      <c r="H54" s="804"/>
      <c r="I54" s="804"/>
      <c r="J54" s="803"/>
      <c r="K54" s="803"/>
      <c r="M54" s="803"/>
      <c r="N54" s="803"/>
      <c r="O54" s="670" t="e">
        <f>VLOOKUP(C54,TABVACT,'f-travail'!$BG$2+5,FALSE)</f>
        <v>#N/A</v>
      </c>
      <c r="P54" s="670" t="e">
        <f>VLOOKUP(C54,TABVACT,'f-travail'!$BG$2+6,FALSE)</f>
        <v>#N/A</v>
      </c>
      <c r="Q54" s="811" t="str">
        <f t="shared" si="18"/>
        <v/>
      </c>
      <c r="R54" s="677" t="b">
        <f t="shared" si="19"/>
        <v>0</v>
      </c>
      <c r="S54" s="678">
        <f t="shared" si="2"/>
        <v>0</v>
      </c>
      <c r="T54" s="673">
        <f t="shared" si="3"/>
        <v>0</v>
      </c>
      <c r="U54" s="678">
        <f t="shared" si="4"/>
        <v>0</v>
      </c>
      <c r="V54" s="675"/>
      <c r="W54" s="675"/>
      <c r="X54" s="678" t="b">
        <f t="shared" si="5"/>
        <v>0</v>
      </c>
      <c r="Y54" s="807" t="b">
        <f t="shared" si="6"/>
        <v>0</v>
      </c>
      <c r="Z54" s="673" t="b">
        <f>IF(E54="ك",VLOOKUP(C54,TABVACT,'f-travail'!$BG$2+9,FALSE),IF(E54="ج",0))</f>
        <v>0</v>
      </c>
      <c r="AA54" s="673" t="b">
        <f>IF(E54="ك",VLOOKUP(C54,TABVACT,'f-travail'!$BG$2+10,FALSE),IF(E54="ج",ROUND((44.42)*AO54,2)))</f>
        <v>0</v>
      </c>
      <c r="AB54" s="673" t="b">
        <f>IF(E54="ك",ROUND(VLOOKUP(C54,TABVACT,'f-travail'!$BG$2+11,FALSE)*(X54+Y54),2),IF(E54="ج",ROUND(((Y54+51.92)*VLOOKUP(C54,TABVACT,'f-travail'!$BG$2+11,FALSE)*AO54),2)))</f>
        <v>0</v>
      </c>
      <c r="AC54" s="673" t="b">
        <f>IF(E54="ك",ROUND(VLOOKUP(C54,TABVACT,'f-travail'!$BG$2+12,FALSE)*(X54+Y54),2),IF(E54="ج",ROUND(((Y54+51.92)*VLOOKUP(C54,TABVACT,'f-travail'!$BG$2+12,FALSE)*AO54),2)))</f>
        <v>0</v>
      </c>
      <c r="AD54" s="673" t="b">
        <f>IF(E54="ك",ROUND(VLOOKUP(C54,TABVACT,'f-travail'!$BG$2+13,FALSE)*(X54+Y54),2),IF(E54="ج",ROUND(((Y54+51.92)*VLOOKUP(C54,TABVACT,'f-travail'!$BG$2+13,FALSE)*AO54),2)))</f>
        <v>0</v>
      </c>
      <c r="AE54" s="673" t="b">
        <f>IF(E54="ك",ROUND(VLOOKUP(C54,TABVACT,'f-travail'!$BG$2+14,FALSE)*(X54+Y54),2),IF(E54="ج",ROUND(((Y54+51.92)*VLOOKUP(C54,TABVACT,'f-travail'!$BG$2+14,FALSE)*AO54),2)))</f>
        <v>0</v>
      </c>
      <c r="AF54" s="673" t="b">
        <f>IF(E54="ك",ROUND(VLOOKUP(C54,TABVACT,'f-travail'!$BG$2+15,FALSE)*(X54+Y54),2),IF(E54="ج",ROUND(((Y54+51.92)*VLOOKUP(C54,TABVACT,'f-travail'!$BG$2+15,FALSE)*AO54),2)))</f>
        <v>0</v>
      </c>
      <c r="AG54" s="673" t="b">
        <f t="shared" si="7"/>
        <v>0</v>
      </c>
      <c r="AH54" s="673">
        <f t="shared" si="8"/>
        <v>0</v>
      </c>
      <c r="AI54" s="673">
        <f t="shared" si="9"/>
        <v>0</v>
      </c>
      <c r="AJ54" s="673">
        <f t="shared" si="10"/>
        <v>0</v>
      </c>
      <c r="AK54" s="674">
        <f t="shared" si="11"/>
        <v>0</v>
      </c>
      <c r="AL54" s="673">
        <f t="shared" si="12"/>
        <v>0</v>
      </c>
      <c r="AM54" s="673">
        <f t="shared" si="13"/>
        <v>0</v>
      </c>
      <c r="AN54" s="810" t="str">
        <f t="shared" si="14"/>
        <v>عازب(ة)</v>
      </c>
      <c r="AO54" s="817">
        <f>LOOKUP(الرئيسية!$N$8,'ورقة العمل'!$T$1:$T$13,'ورقة العمل'!$V$1:$V$13)</f>
        <v>105</v>
      </c>
    </row>
    <row r="55" spans="1:41">
      <c r="A55" s="636">
        <f t="shared" si="15"/>
        <v>54</v>
      </c>
      <c r="B55" s="637"/>
      <c r="C55" s="803"/>
      <c r="D55" s="802" t="e">
        <f>VLOOKUP(C55,TABVACT,'f-travail'!$BG$2+1,FALSE)</f>
        <v>#N/A</v>
      </c>
      <c r="E55" s="804"/>
      <c r="F55" s="804"/>
      <c r="G55" s="803"/>
      <c r="H55" s="804"/>
      <c r="I55" s="804"/>
      <c r="J55" s="803"/>
      <c r="K55" s="803"/>
      <c r="M55" s="803"/>
      <c r="N55" s="803"/>
      <c r="O55" s="670" t="e">
        <f>VLOOKUP(C55,TABVACT,'f-travail'!$BG$2+5,FALSE)</f>
        <v>#N/A</v>
      </c>
      <c r="P55" s="670" t="e">
        <f>VLOOKUP(C55,TABVACT,'f-travail'!$BG$2+6,FALSE)</f>
        <v>#N/A</v>
      </c>
      <c r="Q55" s="811" t="str">
        <f t="shared" si="18"/>
        <v/>
      </c>
      <c r="R55" s="677" t="b">
        <f t="shared" si="19"/>
        <v>0</v>
      </c>
      <c r="S55" s="678">
        <f t="shared" si="2"/>
        <v>0</v>
      </c>
      <c r="T55" s="673">
        <f t="shared" si="3"/>
        <v>0</v>
      </c>
      <c r="U55" s="678">
        <f t="shared" si="4"/>
        <v>0</v>
      </c>
      <c r="V55" s="675"/>
      <c r="W55" s="675"/>
      <c r="X55" s="678" t="b">
        <f t="shared" si="5"/>
        <v>0</v>
      </c>
      <c r="Y55" s="807" t="b">
        <f t="shared" si="6"/>
        <v>0</v>
      </c>
      <c r="Z55" s="673" t="b">
        <f>IF(E55="ك",VLOOKUP(C55,TABVACT,'f-travail'!$BG$2+9,FALSE),IF(E55="ج",0))</f>
        <v>0</v>
      </c>
      <c r="AA55" s="673" t="b">
        <f>IF(E55="ك",VLOOKUP(C55,TABVACT,'f-travail'!$BG$2+10,FALSE),IF(E55="ج",ROUND((44.42)*AO55,2)))</f>
        <v>0</v>
      </c>
      <c r="AB55" s="673" t="b">
        <f>IF(E55="ك",ROUND(VLOOKUP(C55,TABVACT,'f-travail'!$BG$2+11,FALSE)*(X55+Y55),2),IF(E55="ج",ROUND(((Y55+51.92)*VLOOKUP(C55,TABVACT,'f-travail'!$BG$2+11,FALSE)*AO55),2)))</f>
        <v>0</v>
      </c>
      <c r="AC55" s="673" t="b">
        <f>IF(E55="ك",ROUND(VLOOKUP(C55,TABVACT,'f-travail'!$BG$2+12,FALSE)*(X55+Y55),2),IF(E55="ج",ROUND(((Y55+51.92)*VLOOKUP(C55,TABVACT,'f-travail'!$BG$2+12,FALSE)*AO55),2)))</f>
        <v>0</v>
      </c>
      <c r="AD55" s="673" t="b">
        <f>IF(E55="ك",ROUND(VLOOKUP(C55,TABVACT,'f-travail'!$BG$2+13,FALSE)*(X55+Y55),2),IF(E55="ج",ROUND(((Y55+51.92)*VLOOKUP(C55,TABVACT,'f-travail'!$BG$2+13,FALSE)*AO55),2)))</f>
        <v>0</v>
      </c>
      <c r="AE55" s="673" t="b">
        <f>IF(E55="ك",ROUND(VLOOKUP(C55,TABVACT,'f-travail'!$BG$2+14,FALSE)*(X55+Y55),2),IF(E55="ج",ROUND(((Y55+51.92)*VLOOKUP(C55,TABVACT,'f-travail'!$BG$2+14,FALSE)*AO55),2)))</f>
        <v>0</v>
      </c>
      <c r="AF55" s="673" t="b">
        <f>IF(E55="ك",ROUND(VLOOKUP(C55,TABVACT,'f-travail'!$BG$2+15,FALSE)*(X55+Y55),2),IF(E55="ج",ROUND(((Y55+51.92)*VLOOKUP(C55,TABVACT,'f-travail'!$BG$2+15,FALSE)*AO55),2)))</f>
        <v>0</v>
      </c>
      <c r="AG55" s="673" t="b">
        <f t="shared" si="7"/>
        <v>0</v>
      </c>
      <c r="AH55" s="673">
        <f t="shared" si="8"/>
        <v>0</v>
      </c>
      <c r="AI55" s="673">
        <f t="shared" si="9"/>
        <v>0</v>
      </c>
      <c r="AJ55" s="673">
        <f t="shared" si="10"/>
        <v>0</v>
      </c>
      <c r="AK55" s="674">
        <f t="shared" si="11"/>
        <v>0</v>
      </c>
      <c r="AL55" s="673">
        <f t="shared" si="12"/>
        <v>0</v>
      </c>
      <c r="AM55" s="673">
        <f t="shared" si="13"/>
        <v>0</v>
      </c>
      <c r="AN55" s="810" t="str">
        <f t="shared" si="14"/>
        <v>عازب(ة)</v>
      </c>
      <c r="AO55" s="817">
        <f>LOOKUP(الرئيسية!$N$8,'ورقة العمل'!$T$1:$T$13,'ورقة العمل'!$V$1:$V$13)</f>
        <v>105</v>
      </c>
    </row>
    <row r="56" spans="1:41">
      <c r="A56" s="636">
        <f t="shared" si="15"/>
        <v>55</v>
      </c>
      <c r="B56" s="637"/>
      <c r="C56" s="803"/>
      <c r="D56" s="802" t="e">
        <f>VLOOKUP(C56,TABVACT,'f-travail'!$BG$2+1,FALSE)</f>
        <v>#N/A</v>
      </c>
      <c r="E56" s="804"/>
      <c r="F56" s="804"/>
      <c r="G56" s="803"/>
      <c r="H56" s="804"/>
      <c r="I56" s="804"/>
      <c r="J56" s="803"/>
      <c r="K56" s="803"/>
      <c r="M56" s="803"/>
      <c r="N56" s="803"/>
      <c r="O56" s="670" t="e">
        <f>VLOOKUP(C56,TABVACT,'f-travail'!$BG$2+5,FALSE)</f>
        <v>#N/A</v>
      </c>
      <c r="P56" s="670" t="e">
        <f>VLOOKUP(C56,TABVACT,'f-travail'!$BG$2+6,FALSE)</f>
        <v>#N/A</v>
      </c>
      <c r="Q56" s="811" t="str">
        <f t="shared" si="18"/>
        <v/>
      </c>
      <c r="R56" s="677" t="b">
        <f t="shared" si="19"/>
        <v>0</v>
      </c>
      <c r="S56" s="678">
        <f t="shared" si="2"/>
        <v>0</v>
      </c>
      <c r="T56" s="673">
        <f t="shared" si="3"/>
        <v>0</v>
      </c>
      <c r="U56" s="678">
        <f t="shared" si="4"/>
        <v>0</v>
      </c>
      <c r="V56" s="675"/>
      <c r="W56" s="675"/>
      <c r="X56" s="678" t="b">
        <f t="shared" si="5"/>
        <v>0</v>
      </c>
      <c r="Y56" s="807" t="b">
        <f t="shared" si="6"/>
        <v>0</v>
      </c>
      <c r="Z56" s="673" t="b">
        <f>IF(E56="ك",VLOOKUP(C56,TABVACT,'f-travail'!$BG$2+9,FALSE),IF(E56="ج",0))</f>
        <v>0</v>
      </c>
      <c r="AA56" s="673" t="b">
        <f>IF(E56="ك",VLOOKUP(C56,TABVACT,'f-travail'!$BG$2+10,FALSE),IF(E56="ج",ROUND((44.42)*AO56,2)))</f>
        <v>0</v>
      </c>
      <c r="AB56" s="673" t="b">
        <f>IF(E56="ك",ROUND(VLOOKUP(C56,TABVACT,'f-travail'!$BG$2+11,FALSE)*(X56+Y56),2),IF(E56="ج",ROUND(((Y56+51.92)*VLOOKUP(C56,TABVACT,'f-travail'!$BG$2+11,FALSE)*AO56),2)))</f>
        <v>0</v>
      </c>
      <c r="AC56" s="673" t="b">
        <f>IF(E56="ك",ROUND(VLOOKUP(C56,TABVACT,'f-travail'!$BG$2+12,FALSE)*(X56+Y56),2),IF(E56="ج",ROUND(((Y56+51.92)*VLOOKUP(C56,TABVACT,'f-travail'!$BG$2+12,FALSE)*AO56),2)))</f>
        <v>0</v>
      </c>
      <c r="AD56" s="673" t="b">
        <f>IF(E56="ك",ROUND(VLOOKUP(C56,TABVACT,'f-travail'!$BG$2+13,FALSE)*(X56+Y56),2),IF(E56="ج",ROUND(((Y56+51.92)*VLOOKUP(C56,TABVACT,'f-travail'!$BG$2+13,FALSE)*AO56),2)))</f>
        <v>0</v>
      </c>
      <c r="AE56" s="673" t="b">
        <f>IF(E56="ك",ROUND(VLOOKUP(C56,TABVACT,'f-travail'!$BG$2+14,FALSE)*(X56+Y56),2),IF(E56="ج",ROUND(((Y56+51.92)*VLOOKUP(C56,TABVACT,'f-travail'!$BG$2+14,FALSE)*AO56),2)))</f>
        <v>0</v>
      </c>
      <c r="AF56" s="673" t="b">
        <f>IF(E56="ك",ROUND(VLOOKUP(C56,TABVACT,'f-travail'!$BG$2+15,FALSE)*(X56+Y56),2),IF(E56="ج",ROUND(((Y56+51.92)*VLOOKUP(C56,TABVACT,'f-travail'!$BG$2+15,FALSE)*AO56),2)))</f>
        <v>0</v>
      </c>
      <c r="AG56" s="673" t="b">
        <f t="shared" si="7"/>
        <v>0</v>
      </c>
      <c r="AH56" s="673">
        <f t="shared" si="8"/>
        <v>0</v>
      </c>
      <c r="AI56" s="673">
        <f t="shared" si="9"/>
        <v>0</v>
      </c>
      <c r="AJ56" s="673">
        <f t="shared" si="10"/>
        <v>0</v>
      </c>
      <c r="AK56" s="674">
        <f t="shared" si="11"/>
        <v>0</v>
      </c>
      <c r="AL56" s="673">
        <f t="shared" si="12"/>
        <v>0</v>
      </c>
      <c r="AM56" s="673">
        <f t="shared" si="13"/>
        <v>0</v>
      </c>
      <c r="AN56" s="810" t="str">
        <f t="shared" si="14"/>
        <v>عازب(ة)</v>
      </c>
      <c r="AO56" s="817">
        <f>LOOKUP(الرئيسية!$N$8,'ورقة العمل'!$T$1:$T$13,'ورقة العمل'!$V$1:$V$13)</f>
        <v>105</v>
      </c>
    </row>
    <row r="57" spans="1:41">
      <c r="A57" s="636">
        <f t="shared" si="15"/>
        <v>56</v>
      </c>
      <c r="B57" s="637"/>
      <c r="C57" s="803"/>
      <c r="D57" s="802" t="e">
        <f>VLOOKUP(C57,TABVACT,'f-travail'!$BG$2+1,FALSE)</f>
        <v>#N/A</v>
      </c>
      <c r="E57" s="804"/>
      <c r="F57" s="804"/>
      <c r="G57" s="803"/>
      <c r="H57" s="804"/>
      <c r="I57" s="804"/>
      <c r="J57" s="803"/>
      <c r="K57" s="803"/>
      <c r="M57" s="803"/>
      <c r="N57" s="803"/>
      <c r="O57" s="670" t="e">
        <f>VLOOKUP(C57,TABVACT,'f-travail'!$BG$2+5,FALSE)</f>
        <v>#N/A</v>
      </c>
      <c r="P57" s="670" t="e">
        <f>VLOOKUP(C57,TABVACT,'f-travail'!$BG$2+6,FALSE)</f>
        <v>#N/A</v>
      </c>
      <c r="Q57" s="811" t="str">
        <f t="shared" si="18"/>
        <v/>
      </c>
      <c r="R57" s="677" t="b">
        <f t="shared" si="19"/>
        <v>0</v>
      </c>
      <c r="S57" s="678">
        <f t="shared" si="2"/>
        <v>0</v>
      </c>
      <c r="T57" s="673">
        <f t="shared" si="3"/>
        <v>0</v>
      </c>
      <c r="U57" s="678">
        <f t="shared" si="4"/>
        <v>0</v>
      </c>
      <c r="V57" s="675"/>
      <c r="W57" s="675"/>
      <c r="X57" s="678" t="b">
        <f t="shared" si="5"/>
        <v>0</v>
      </c>
      <c r="Y57" s="807" t="b">
        <f t="shared" si="6"/>
        <v>0</v>
      </c>
      <c r="Z57" s="673" t="b">
        <f>IF(E57="ك",VLOOKUP(C57,TABVACT,'f-travail'!$BG$2+9,FALSE),IF(E57="ج",0))</f>
        <v>0</v>
      </c>
      <c r="AA57" s="673" t="b">
        <f>IF(E57="ك",VLOOKUP(C57,TABVACT,'f-travail'!$BG$2+10,FALSE),IF(E57="ج",ROUND((44.42)*AO57,2)))</f>
        <v>0</v>
      </c>
      <c r="AB57" s="673" t="b">
        <f>IF(E57="ك",ROUND(VLOOKUP(C57,TABVACT,'f-travail'!$BG$2+11,FALSE)*(X57+Y57),2),IF(E57="ج",ROUND(((Y57+51.92)*VLOOKUP(C57,TABVACT,'f-travail'!$BG$2+11,FALSE)*AO57),2)))</f>
        <v>0</v>
      </c>
      <c r="AC57" s="673" t="b">
        <f>IF(E57="ك",ROUND(VLOOKUP(C57,TABVACT,'f-travail'!$BG$2+12,FALSE)*(X57+Y57),2),IF(E57="ج",ROUND(((Y57+51.92)*VLOOKUP(C57,TABVACT,'f-travail'!$BG$2+12,FALSE)*AO57),2)))</f>
        <v>0</v>
      </c>
      <c r="AD57" s="673" t="b">
        <f>IF(E57="ك",ROUND(VLOOKUP(C57,TABVACT,'f-travail'!$BG$2+13,FALSE)*(X57+Y57),2),IF(E57="ج",ROUND(((Y57+51.92)*VLOOKUP(C57,TABVACT,'f-travail'!$BG$2+13,FALSE)*AO57),2)))</f>
        <v>0</v>
      </c>
      <c r="AE57" s="673" t="b">
        <f>IF(E57="ك",ROUND(VLOOKUP(C57,TABVACT,'f-travail'!$BG$2+14,FALSE)*(X57+Y57),2),IF(E57="ج",ROUND(((Y57+51.92)*VLOOKUP(C57,TABVACT,'f-travail'!$BG$2+14,FALSE)*AO57),2)))</f>
        <v>0</v>
      </c>
      <c r="AF57" s="673" t="b">
        <f>IF(E57="ك",ROUND(VLOOKUP(C57,TABVACT,'f-travail'!$BG$2+15,FALSE)*(X57+Y57),2),IF(E57="ج",ROUND(((Y57+51.92)*VLOOKUP(C57,TABVACT,'f-travail'!$BG$2+15,FALSE)*AO57),2)))</f>
        <v>0</v>
      </c>
      <c r="AG57" s="673" t="b">
        <f t="shared" si="7"/>
        <v>0</v>
      </c>
      <c r="AH57" s="673">
        <f t="shared" si="8"/>
        <v>0</v>
      </c>
      <c r="AI57" s="673">
        <f t="shared" si="9"/>
        <v>0</v>
      </c>
      <c r="AJ57" s="673">
        <f t="shared" si="10"/>
        <v>0</v>
      </c>
      <c r="AK57" s="674">
        <f t="shared" si="11"/>
        <v>0</v>
      </c>
      <c r="AL57" s="673">
        <f t="shared" si="12"/>
        <v>0</v>
      </c>
      <c r="AM57" s="673">
        <f t="shared" si="13"/>
        <v>0</v>
      </c>
      <c r="AN57" s="810" t="str">
        <f t="shared" si="14"/>
        <v>عازب(ة)</v>
      </c>
      <c r="AO57" s="817">
        <f>LOOKUP(الرئيسية!$N$8,'ورقة العمل'!$T$1:$T$13,'ورقة العمل'!$V$1:$V$13)</f>
        <v>105</v>
      </c>
    </row>
    <row r="58" spans="1:41">
      <c r="A58" s="636">
        <f t="shared" si="15"/>
        <v>57</v>
      </c>
      <c r="B58" s="637"/>
      <c r="C58" s="803"/>
      <c r="D58" s="802" t="e">
        <f>VLOOKUP(C58,TABVACT,'f-travail'!$BG$2+1,FALSE)</f>
        <v>#N/A</v>
      </c>
      <c r="E58" s="804"/>
      <c r="F58" s="804"/>
      <c r="G58" s="803"/>
      <c r="H58" s="804"/>
      <c r="I58" s="804"/>
      <c r="J58" s="803"/>
      <c r="K58" s="803"/>
      <c r="M58" s="803"/>
      <c r="N58" s="803"/>
      <c r="O58" s="670" t="e">
        <f>VLOOKUP(C58,TABVACT,'f-travail'!$BG$2+5,FALSE)</f>
        <v>#N/A</v>
      </c>
      <c r="P58" s="670" t="e">
        <f>VLOOKUP(C58,TABVACT,'f-travail'!$BG$2+6,FALSE)</f>
        <v>#N/A</v>
      </c>
      <c r="Q58" s="811" t="str">
        <f t="shared" si="18"/>
        <v/>
      </c>
      <c r="R58" s="677" t="b">
        <f t="shared" si="19"/>
        <v>0</v>
      </c>
      <c r="S58" s="678">
        <f t="shared" si="2"/>
        <v>0</v>
      </c>
      <c r="T58" s="673">
        <f t="shared" si="3"/>
        <v>0</v>
      </c>
      <c r="U58" s="678">
        <f t="shared" si="4"/>
        <v>0</v>
      </c>
      <c r="V58" s="675"/>
      <c r="W58" s="675"/>
      <c r="X58" s="678" t="b">
        <f t="shared" si="5"/>
        <v>0</v>
      </c>
      <c r="Y58" s="807" t="b">
        <f t="shared" si="6"/>
        <v>0</v>
      </c>
      <c r="Z58" s="673" t="b">
        <f>IF(E58="ك",VLOOKUP(C58,TABVACT,'f-travail'!$BG$2+9,FALSE),IF(E58="ج",0))</f>
        <v>0</v>
      </c>
      <c r="AA58" s="673" t="b">
        <f>IF(E58="ك",VLOOKUP(C58,TABVACT,'f-travail'!$BG$2+10,FALSE),IF(E58="ج",ROUND((44.42)*AO58,2)))</f>
        <v>0</v>
      </c>
      <c r="AB58" s="673" t="b">
        <f>IF(E58="ك",ROUND(VLOOKUP(C58,TABVACT,'f-travail'!$BG$2+11,FALSE)*(X58+Y58),2),IF(E58="ج",ROUND(((Y58+51.92)*VLOOKUP(C58,TABVACT,'f-travail'!$BG$2+11,FALSE)*AO58),2)))</f>
        <v>0</v>
      </c>
      <c r="AC58" s="673" t="b">
        <f>IF(E58="ك",ROUND(VLOOKUP(C58,TABVACT,'f-travail'!$BG$2+12,FALSE)*(X58+Y58),2),IF(E58="ج",ROUND(((Y58+51.92)*VLOOKUP(C58,TABVACT,'f-travail'!$BG$2+12,FALSE)*AO58),2)))</f>
        <v>0</v>
      </c>
      <c r="AD58" s="673" t="b">
        <f>IF(E58="ك",ROUND(VLOOKUP(C58,TABVACT,'f-travail'!$BG$2+13,FALSE)*(X58+Y58),2),IF(E58="ج",ROUND(((Y58+51.92)*VLOOKUP(C58,TABVACT,'f-travail'!$BG$2+13,FALSE)*AO58),2)))</f>
        <v>0</v>
      </c>
      <c r="AE58" s="673" t="b">
        <f>IF(E58="ك",ROUND(VLOOKUP(C58,TABVACT,'f-travail'!$BG$2+14,FALSE)*(X58+Y58),2),IF(E58="ج",ROUND(((Y58+51.92)*VLOOKUP(C58,TABVACT,'f-travail'!$BG$2+14,FALSE)*AO58),2)))</f>
        <v>0</v>
      </c>
      <c r="AF58" s="673" t="b">
        <f>IF(E58="ك",ROUND(VLOOKUP(C58,TABVACT,'f-travail'!$BG$2+15,FALSE)*(X58+Y58),2),IF(E58="ج",ROUND(((Y58+51.92)*VLOOKUP(C58,TABVACT,'f-travail'!$BG$2+15,FALSE)*AO58),2)))</f>
        <v>0</v>
      </c>
      <c r="AG58" s="673" t="b">
        <f t="shared" si="7"/>
        <v>0</v>
      </c>
      <c r="AH58" s="673">
        <f t="shared" si="8"/>
        <v>0</v>
      </c>
      <c r="AI58" s="673">
        <f t="shared" si="9"/>
        <v>0</v>
      </c>
      <c r="AJ58" s="673">
        <f t="shared" si="10"/>
        <v>0</v>
      </c>
      <c r="AK58" s="674">
        <f t="shared" si="11"/>
        <v>0</v>
      </c>
      <c r="AL58" s="673">
        <f t="shared" si="12"/>
        <v>0</v>
      </c>
      <c r="AM58" s="673">
        <f t="shared" si="13"/>
        <v>0</v>
      </c>
      <c r="AN58" s="810" t="str">
        <f t="shared" si="14"/>
        <v>عازب(ة)</v>
      </c>
      <c r="AO58" s="817">
        <f>LOOKUP(الرئيسية!$N$8,'ورقة العمل'!$T$1:$T$13,'ورقة العمل'!$V$1:$V$13)</f>
        <v>105</v>
      </c>
    </row>
    <row r="59" spans="1:41">
      <c r="A59" s="636">
        <f t="shared" si="15"/>
        <v>58</v>
      </c>
      <c r="B59" s="637"/>
      <c r="C59" s="803"/>
      <c r="D59" s="802" t="e">
        <f>VLOOKUP(C59,TABVACT,'f-travail'!$BG$2+1,FALSE)</f>
        <v>#N/A</v>
      </c>
      <c r="E59" s="804"/>
      <c r="F59" s="804"/>
      <c r="G59" s="803"/>
      <c r="H59" s="804"/>
      <c r="I59" s="804"/>
      <c r="J59" s="803"/>
      <c r="K59" s="803"/>
      <c r="M59" s="803"/>
      <c r="N59" s="803"/>
      <c r="O59" s="670" t="e">
        <f>VLOOKUP(C59,TABVACT,'f-travail'!$BG$2+5,FALSE)</f>
        <v>#N/A</v>
      </c>
      <c r="P59" s="670" t="e">
        <f>VLOOKUP(C59,TABVACT,'f-travail'!$BG$2+6,FALSE)</f>
        <v>#N/A</v>
      </c>
      <c r="Q59" s="811" t="str">
        <f t="shared" si="18"/>
        <v/>
      </c>
      <c r="R59" s="677" t="b">
        <f t="shared" si="19"/>
        <v>0</v>
      </c>
      <c r="S59" s="678">
        <f t="shared" si="2"/>
        <v>0</v>
      </c>
      <c r="T59" s="673">
        <f t="shared" si="3"/>
        <v>0</v>
      </c>
      <c r="U59" s="678">
        <f t="shared" si="4"/>
        <v>0</v>
      </c>
      <c r="V59" s="675"/>
      <c r="W59" s="675"/>
      <c r="X59" s="678" t="b">
        <f t="shared" si="5"/>
        <v>0</v>
      </c>
      <c r="Y59" s="807" t="b">
        <f t="shared" si="6"/>
        <v>0</v>
      </c>
      <c r="Z59" s="673" t="b">
        <f>IF(E59="ك",VLOOKUP(C59,TABVACT,'f-travail'!$BG$2+9,FALSE),IF(E59="ج",0))</f>
        <v>0</v>
      </c>
      <c r="AA59" s="673" t="b">
        <f>IF(E59="ك",VLOOKUP(C59,TABVACT,'f-travail'!$BG$2+10,FALSE),IF(E59="ج",ROUND((44.42)*AO59,2)))</f>
        <v>0</v>
      </c>
      <c r="AB59" s="673" t="b">
        <f>IF(E59="ك",ROUND(VLOOKUP(C59,TABVACT,'f-travail'!$BG$2+11,FALSE)*(X59+Y59),2),IF(E59="ج",ROUND(((Y59+51.92)*VLOOKUP(C59,TABVACT,'f-travail'!$BG$2+11,FALSE)*AO59),2)))</f>
        <v>0</v>
      </c>
      <c r="AC59" s="673" t="b">
        <f>IF(E59="ك",ROUND(VLOOKUP(C59,TABVACT,'f-travail'!$BG$2+12,FALSE)*(X59+Y59),2),IF(E59="ج",ROUND(((Y59+51.92)*VLOOKUP(C59,TABVACT,'f-travail'!$BG$2+12,FALSE)*AO59),2)))</f>
        <v>0</v>
      </c>
      <c r="AD59" s="673" t="b">
        <f>IF(E59="ك",ROUND(VLOOKUP(C59,TABVACT,'f-travail'!$BG$2+13,FALSE)*(X59+Y59),2),IF(E59="ج",ROUND(((Y59+51.92)*VLOOKUP(C59,TABVACT,'f-travail'!$BG$2+13,FALSE)*AO59),2)))</f>
        <v>0</v>
      </c>
      <c r="AE59" s="673" t="b">
        <f>IF(E59="ك",ROUND(VLOOKUP(C59,TABVACT,'f-travail'!$BG$2+14,FALSE)*(X59+Y59),2),IF(E59="ج",ROUND(((Y59+51.92)*VLOOKUP(C59,TABVACT,'f-travail'!$BG$2+14,FALSE)*AO59),2)))</f>
        <v>0</v>
      </c>
      <c r="AF59" s="673" t="b">
        <f>IF(E59="ك",ROUND(VLOOKUP(C59,TABVACT,'f-travail'!$BG$2+15,FALSE)*(X59+Y59),2),IF(E59="ج",ROUND(((Y59+51.92)*VLOOKUP(C59,TABVACT,'f-travail'!$BG$2+15,FALSE)*AO59),2)))</f>
        <v>0</v>
      </c>
      <c r="AG59" s="673" t="b">
        <f t="shared" si="7"/>
        <v>0</v>
      </c>
      <c r="AH59" s="673">
        <f t="shared" si="8"/>
        <v>0</v>
      </c>
      <c r="AI59" s="673">
        <f t="shared" si="9"/>
        <v>0</v>
      </c>
      <c r="AJ59" s="673">
        <f t="shared" si="10"/>
        <v>0</v>
      </c>
      <c r="AK59" s="674">
        <f t="shared" si="11"/>
        <v>0</v>
      </c>
      <c r="AL59" s="673">
        <f t="shared" si="12"/>
        <v>0</v>
      </c>
      <c r="AM59" s="673">
        <f t="shared" si="13"/>
        <v>0</v>
      </c>
      <c r="AN59" s="810" t="str">
        <f t="shared" si="14"/>
        <v>عازب(ة)</v>
      </c>
      <c r="AO59" s="817">
        <f>LOOKUP(الرئيسية!$N$8,'ورقة العمل'!$T$1:$T$13,'ورقة العمل'!$V$1:$V$13)</f>
        <v>105</v>
      </c>
    </row>
    <row r="60" spans="1:41">
      <c r="A60" s="636">
        <f t="shared" si="15"/>
        <v>59</v>
      </c>
      <c r="B60" s="637"/>
      <c r="C60" s="803"/>
      <c r="D60" s="802" t="e">
        <f>VLOOKUP(C60,TABVACT,'f-travail'!$BG$2+1,FALSE)</f>
        <v>#N/A</v>
      </c>
      <c r="E60" s="804"/>
      <c r="F60" s="804"/>
      <c r="G60" s="803"/>
      <c r="H60" s="804"/>
      <c r="I60" s="804"/>
      <c r="J60" s="803"/>
      <c r="K60" s="803"/>
      <c r="M60" s="803"/>
      <c r="N60" s="803"/>
      <c r="O60" s="670" t="e">
        <f>VLOOKUP(C60,TABVACT,'f-travail'!$BG$2+5,FALSE)</f>
        <v>#N/A</v>
      </c>
      <c r="P60" s="670" t="e">
        <f>VLOOKUP(C60,TABVACT,'f-travail'!$BG$2+6,FALSE)</f>
        <v>#N/A</v>
      </c>
      <c r="Q60" s="811" t="str">
        <f t="shared" si="18"/>
        <v/>
      </c>
      <c r="R60" s="677" t="b">
        <f t="shared" si="19"/>
        <v>0</v>
      </c>
      <c r="S60" s="678">
        <f t="shared" si="2"/>
        <v>0</v>
      </c>
      <c r="T60" s="673">
        <f t="shared" si="3"/>
        <v>0</v>
      </c>
      <c r="U60" s="678">
        <f t="shared" si="4"/>
        <v>0</v>
      </c>
      <c r="V60" s="675"/>
      <c r="W60" s="675"/>
      <c r="X60" s="678" t="b">
        <f t="shared" si="5"/>
        <v>0</v>
      </c>
      <c r="Y60" s="807" t="b">
        <f t="shared" si="6"/>
        <v>0</v>
      </c>
      <c r="Z60" s="673" t="b">
        <f>IF(E60="ك",VLOOKUP(C60,TABVACT,'f-travail'!$BG$2+9,FALSE),IF(E60="ج",0))</f>
        <v>0</v>
      </c>
      <c r="AA60" s="673" t="b">
        <f>IF(E60="ك",VLOOKUP(C60,TABVACT,'f-travail'!$BG$2+10,FALSE),IF(E60="ج",ROUND((44.42)*AO60,2)))</f>
        <v>0</v>
      </c>
      <c r="AB60" s="673" t="b">
        <f>IF(E60="ك",ROUND(VLOOKUP(C60,TABVACT,'f-travail'!$BG$2+11,FALSE)*(X60+Y60),2),IF(E60="ج",ROUND(((Y60+51.92)*VLOOKUP(C60,TABVACT,'f-travail'!$BG$2+11,FALSE)*AO60),2)))</f>
        <v>0</v>
      </c>
      <c r="AC60" s="673" t="b">
        <f>IF(E60="ك",ROUND(VLOOKUP(C60,TABVACT,'f-travail'!$BG$2+12,FALSE)*(X60+Y60),2),IF(E60="ج",ROUND(((Y60+51.92)*VLOOKUP(C60,TABVACT,'f-travail'!$BG$2+12,FALSE)*AO60),2)))</f>
        <v>0</v>
      </c>
      <c r="AD60" s="673" t="b">
        <f>IF(E60="ك",ROUND(VLOOKUP(C60,TABVACT,'f-travail'!$BG$2+13,FALSE)*(X60+Y60),2),IF(E60="ج",ROUND(((Y60+51.92)*VLOOKUP(C60,TABVACT,'f-travail'!$BG$2+13,FALSE)*AO60),2)))</f>
        <v>0</v>
      </c>
      <c r="AE60" s="673" t="b">
        <f>IF(E60="ك",ROUND(VLOOKUP(C60,TABVACT,'f-travail'!$BG$2+14,FALSE)*(X60+Y60),2),IF(E60="ج",ROUND(((Y60+51.92)*VLOOKUP(C60,TABVACT,'f-travail'!$BG$2+14,FALSE)*AO60),2)))</f>
        <v>0</v>
      </c>
      <c r="AF60" s="673" t="b">
        <f>IF(E60="ك",ROUND(VLOOKUP(C60,TABVACT,'f-travail'!$BG$2+15,FALSE)*(X60+Y60),2),IF(E60="ج",ROUND(((Y60+51.92)*VLOOKUP(C60,TABVACT,'f-travail'!$BG$2+15,FALSE)*AO60),2)))</f>
        <v>0</v>
      </c>
      <c r="AG60" s="673" t="b">
        <f t="shared" si="7"/>
        <v>0</v>
      </c>
      <c r="AH60" s="673">
        <f t="shared" si="8"/>
        <v>0</v>
      </c>
      <c r="AI60" s="673">
        <f t="shared" si="9"/>
        <v>0</v>
      </c>
      <c r="AJ60" s="673">
        <f t="shared" si="10"/>
        <v>0</v>
      </c>
      <c r="AK60" s="674">
        <f t="shared" si="11"/>
        <v>0</v>
      </c>
      <c r="AL60" s="673">
        <f t="shared" si="12"/>
        <v>0</v>
      </c>
      <c r="AM60" s="673">
        <f t="shared" si="13"/>
        <v>0</v>
      </c>
      <c r="AN60" s="810" t="str">
        <f t="shared" si="14"/>
        <v>عازب(ة)</v>
      </c>
      <c r="AO60" s="817">
        <f>LOOKUP(الرئيسية!$N$8,'ورقة العمل'!$T$1:$T$13,'ورقة العمل'!$V$1:$V$13)</f>
        <v>105</v>
      </c>
    </row>
    <row r="61" spans="1:41">
      <c r="A61" s="636">
        <f t="shared" si="15"/>
        <v>60</v>
      </c>
      <c r="B61" s="637"/>
      <c r="C61" s="803"/>
      <c r="D61" s="802" t="e">
        <f>VLOOKUP(C61,TABVACT,'f-travail'!$BG$2+1,FALSE)</f>
        <v>#N/A</v>
      </c>
      <c r="E61" s="804"/>
      <c r="F61" s="804"/>
      <c r="G61" s="803"/>
      <c r="H61" s="804"/>
      <c r="I61" s="804"/>
      <c r="J61" s="803"/>
      <c r="K61" s="803"/>
      <c r="M61" s="803"/>
      <c r="N61" s="803"/>
      <c r="O61" s="670" t="e">
        <f>VLOOKUP(C61,TABVACT,'f-travail'!$BG$2+5,FALSE)</f>
        <v>#N/A</v>
      </c>
      <c r="P61" s="670" t="e">
        <f>VLOOKUP(C61,TABVACT,'f-travail'!$BG$2+6,FALSE)</f>
        <v>#N/A</v>
      </c>
      <c r="Q61" s="811" t="str">
        <f t="shared" si="18"/>
        <v/>
      </c>
      <c r="R61" s="677" t="b">
        <f t="shared" si="19"/>
        <v>0</v>
      </c>
      <c r="S61" s="678">
        <f t="shared" si="2"/>
        <v>0</v>
      </c>
      <c r="T61" s="673">
        <f t="shared" si="3"/>
        <v>0</v>
      </c>
      <c r="U61" s="678">
        <f t="shared" si="4"/>
        <v>0</v>
      </c>
      <c r="V61" s="675"/>
      <c r="W61" s="675"/>
      <c r="X61" s="678" t="b">
        <f t="shared" si="5"/>
        <v>0</v>
      </c>
      <c r="Y61" s="807" t="b">
        <f t="shared" si="6"/>
        <v>0</v>
      </c>
      <c r="Z61" s="673" t="b">
        <f>IF(E61="ك",VLOOKUP(C61,TABVACT,'f-travail'!$BG$2+9,FALSE),IF(E61="ج",0))</f>
        <v>0</v>
      </c>
      <c r="AA61" s="673" t="b">
        <f>IF(E61="ك",VLOOKUP(C61,TABVACT,'f-travail'!$BG$2+10,FALSE),IF(E61="ج",ROUND((44.42)*AO61,2)))</f>
        <v>0</v>
      </c>
      <c r="AB61" s="673" t="b">
        <f>IF(E61="ك",ROUND(VLOOKUP(C61,TABVACT,'f-travail'!$BG$2+11,FALSE)*(X61+Y61),2),IF(E61="ج",ROUND(((Y61+51.92)*VLOOKUP(C61,TABVACT,'f-travail'!$BG$2+11,FALSE)*AO61),2)))</f>
        <v>0</v>
      </c>
      <c r="AC61" s="673" t="b">
        <f>IF(E61="ك",ROUND(VLOOKUP(C61,TABVACT,'f-travail'!$BG$2+12,FALSE)*(X61+Y61),2),IF(E61="ج",ROUND(((Y61+51.92)*VLOOKUP(C61,TABVACT,'f-travail'!$BG$2+12,FALSE)*AO61),2)))</f>
        <v>0</v>
      </c>
      <c r="AD61" s="673" t="b">
        <f>IF(E61="ك",ROUND(VLOOKUP(C61,TABVACT,'f-travail'!$BG$2+13,FALSE)*(X61+Y61),2),IF(E61="ج",ROUND(((Y61+51.92)*VLOOKUP(C61,TABVACT,'f-travail'!$BG$2+13,FALSE)*AO61),2)))</f>
        <v>0</v>
      </c>
      <c r="AE61" s="673" t="b">
        <f>IF(E61="ك",ROUND(VLOOKUP(C61,TABVACT,'f-travail'!$BG$2+14,FALSE)*(X61+Y61),2),IF(E61="ج",ROUND(((Y61+51.92)*VLOOKUP(C61,TABVACT,'f-travail'!$BG$2+14,FALSE)*AO61),2)))</f>
        <v>0</v>
      </c>
      <c r="AF61" s="673" t="b">
        <f>IF(E61="ك",ROUND(VLOOKUP(C61,TABVACT,'f-travail'!$BG$2+15,FALSE)*(X61+Y61),2),IF(E61="ج",ROUND(((Y61+51.92)*VLOOKUP(C61,TABVACT,'f-travail'!$BG$2+15,FALSE)*AO61),2)))</f>
        <v>0</v>
      </c>
      <c r="AG61" s="673" t="b">
        <f t="shared" si="7"/>
        <v>0</v>
      </c>
      <c r="AH61" s="673">
        <f t="shared" si="8"/>
        <v>0</v>
      </c>
      <c r="AI61" s="673">
        <f t="shared" si="9"/>
        <v>0</v>
      </c>
      <c r="AJ61" s="673">
        <f t="shared" si="10"/>
        <v>0</v>
      </c>
      <c r="AK61" s="674">
        <f t="shared" si="11"/>
        <v>0</v>
      </c>
      <c r="AL61" s="673">
        <f t="shared" si="12"/>
        <v>0</v>
      </c>
      <c r="AM61" s="673">
        <f t="shared" si="13"/>
        <v>0</v>
      </c>
      <c r="AN61" s="810" t="str">
        <f t="shared" si="14"/>
        <v>عازب(ة)</v>
      </c>
      <c r="AO61" s="817">
        <f>LOOKUP(الرئيسية!$N$8,'ورقة العمل'!$T$1:$T$13,'ورقة العمل'!$V$1:$V$13)</f>
        <v>105</v>
      </c>
    </row>
    <row r="62" spans="1:41">
      <c r="A62" s="636">
        <f t="shared" si="15"/>
        <v>61</v>
      </c>
      <c r="B62" s="637"/>
      <c r="C62" s="803"/>
      <c r="D62" s="802" t="e">
        <f>VLOOKUP(C62,TABVACT,'f-travail'!$BG$2+1,FALSE)</f>
        <v>#N/A</v>
      </c>
      <c r="E62" s="804"/>
      <c r="F62" s="804"/>
      <c r="G62" s="803"/>
      <c r="H62" s="804"/>
      <c r="I62" s="804"/>
      <c r="J62" s="803"/>
      <c r="K62" s="803"/>
      <c r="M62" s="803"/>
      <c r="N62" s="803"/>
      <c r="O62" s="670" t="e">
        <f>VLOOKUP(C62,TABVACT,'f-travail'!$BG$2+5,FALSE)</f>
        <v>#N/A</v>
      </c>
      <c r="P62" s="670" t="e">
        <f>VLOOKUP(C62,TABVACT,'f-travail'!$BG$2+6,FALSE)</f>
        <v>#N/A</v>
      </c>
      <c r="Q62" s="811" t="str">
        <f t="shared" si="18"/>
        <v/>
      </c>
      <c r="R62" s="677" t="b">
        <f t="shared" si="19"/>
        <v>0</v>
      </c>
      <c r="S62" s="678">
        <f t="shared" si="2"/>
        <v>0</v>
      </c>
      <c r="T62" s="673">
        <f t="shared" si="3"/>
        <v>0</v>
      </c>
      <c r="U62" s="678">
        <f t="shared" si="4"/>
        <v>0</v>
      </c>
      <c r="V62" s="675"/>
      <c r="W62" s="675"/>
      <c r="X62" s="678" t="b">
        <f t="shared" si="5"/>
        <v>0</v>
      </c>
      <c r="Y62" s="807" t="b">
        <f t="shared" si="6"/>
        <v>0</v>
      </c>
      <c r="Z62" s="673" t="b">
        <f>IF(E62="ك",VLOOKUP(C62,TABVACT,'f-travail'!$BG$2+9,FALSE),IF(E62="ج",0))</f>
        <v>0</v>
      </c>
      <c r="AA62" s="673" t="b">
        <f>IF(E62="ك",VLOOKUP(C62,TABVACT,'f-travail'!$BG$2+10,FALSE),IF(E62="ج",ROUND((44.42)*AO62,2)))</f>
        <v>0</v>
      </c>
      <c r="AB62" s="673" t="b">
        <f>IF(E62="ك",ROUND(VLOOKUP(C62,TABVACT,'f-travail'!$BG$2+11,FALSE)*(X62+Y62),2),IF(E62="ج",ROUND(((Y62+51.92)*VLOOKUP(C62,TABVACT,'f-travail'!$BG$2+11,FALSE)*AO62),2)))</f>
        <v>0</v>
      </c>
      <c r="AC62" s="673" t="b">
        <f>IF(E62="ك",ROUND(VLOOKUP(C62,TABVACT,'f-travail'!$BG$2+12,FALSE)*(X62+Y62),2),IF(E62="ج",ROUND(((Y62+51.92)*VLOOKUP(C62,TABVACT,'f-travail'!$BG$2+12,FALSE)*AO62),2)))</f>
        <v>0</v>
      </c>
      <c r="AD62" s="673" t="b">
        <f>IF(E62="ك",ROUND(VLOOKUP(C62,TABVACT,'f-travail'!$BG$2+13,FALSE)*(X62+Y62),2),IF(E62="ج",ROUND(((Y62+51.92)*VLOOKUP(C62,TABVACT,'f-travail'!$BG$2+13,FALSE)*AO62),2)))</f>
        <v>0</v>
      </c>
      <c r="AE62" s="673" t="b">
        <f>IF(E62="ك",ROUND(VLOOKUP(C62,TABVACT,'f-travail'!$BG$2+14,FALSE)*(X62+Y62),2),IF(E62="ج",ROUND(((Y62+51.92)*VLOOKUP(C62,TABVACT,'f-travail'!$BG$2+14,FALSE)*AO62),2)))</f>
        <v>0</v>
      </c>
      <c r="AF62" s="673" t="b">
        <f>IF(E62="ك",ROUND(VLOOKUP(C62,TABVACT,'f-travail'!$BG$2+15,FALSE)*(X62+Y62),2),IF(E62="ج",ROUND(((Y62+51.92)*VLOOKUP(C62,TABVACT,'f-travail'!$BG$2+15,FALSE)*AO62),2)))</f>
        <v>0</v>
      </c>
      <c r="AG62" s="673" t="b">
        <f t="shared" si="7"/>
        <v>0</v>
      </c>
      <c r="AH62" s="673">
        <f t="shared" si="8"/>
        <v>0</v>
      </c>
      <c r="AI62" s="673">
        <f t="shared" si="9"/>
        <v>0</v>
      </c>
      <c r="AJ62" s="673">
        <f t="shared" si="10"/>
        <v>0</v>
      </c>
      <c r="AK62" s="674">
        <f t="shared" si="11"/>
        <v>0</v>
      </c>
      <c r="AL62" s="673">
        <f t="shared" si="12"/>
        <v>0</v>
      </c>
      <c r="AM62" s="673">
        <f t="shared" si="13"/>
        <v>0</v>
      </c>
      <c r="AN62" s="810" t="str">
        <f t="shared" si="14"/>
        <v>عازب(ة)</v>
      </c>
      <c r="AO62" s="817">
        <f>LOOKUP(الرئيسية!$N$8,'ورقة العمل'!$T$1:$T$13,'ورقة العمل'!$V$1:$V$13)</f>
        <v>105</v>
      </c>
    </row>
    <row r="63" spans="1:41">
      <c r="A63" s="636">
        <f t="shared" si="15"/>
        <v>62</v>
      </c>
      <c r="B63" s="637"/>
      <c r="C63" s="803"/>
      <c r="D63" s="802" t="e">
        <f>VLOOKUP(C63,TABVACT,'f-travail'!$BG$2+1,FALSE)</f>
        <v>#N/A</v>
      </c>
      <c r="E63" s="804"/>
      <c r="F63" s="804"/>
      <c r="G63" s="803"/>
      <c r="H63" s="804"/>
      <c r="I63" s="804"/>
      <c r="J63" s="803"/>
      <c r="K63" s="803"/>
      <c r="M63" s="803"/>
      <c r="N63" s="803"/>
      <c r="O63" s="670" t="e">
        <f>VLOOKUP(C63,TABVACT,'f-travail'!$BG$2+5,FALSE)</f>
        <v>#N/A</v>
      </c>
      <c r="P63" s="670" t="e">
        <f>VLOOKUP(C63,TABVACT,'f-travail'!$BG$2+6,FALSE)</f>
        <v>#N/A</v>
      </c>
      <c r="Q63" s="811" t="str">
        <f t="shared" si="18"/>
        <v/>
      </c>
      <c r="R63" s="677" t="b">
        <f t="shared" si="19"/>
        <v>0</v>
      </c>
      <c r="S63" s="678">
        <f t="shared" si="2"/>
        <v>0</v>
      </c>
      <c r="T63" s="673">
        <f t="shared" si="3"/>
        <v>0</v>
      </c>
      <c r="U63" s="678">
        <f t="shared" si="4"/>
        <v>0</v>
      </c>
      <c r="V63" s="675"/>
      <c r="W63" s="675"/>
      <c r="X63" s="678" t="b">
        <f t="shared" si="5"/>
        <v>0</v>
      </c>
      <c r="Y63" s="807" t="b">
        <f t="shared" si="6"/>
        <v>0</v>
      </c>
      <c r="Z63" s="673" t="b">
        <f>IF(E63="ك",VLOOKUP(C63,TABVACT,'f-travail'!$BG$2+9,FALSE),IF(E63="ج",0))</f>
        <v>0</v>
      </c>
      <c r="AA63" s="673" t="b">
        <f>IF(E63="ك",VLOOKUP(C63,TABVACT,'f-travail'!$BG$2+10,FALSE),IF(E63="ج",ROUND((44.42)*AO63,2)))</f>
        <v>0</v>
      </c>
      <c r="AB63" s="673" t="b">
        <f>IF(E63="ك",ROUND(VLOOKUP(C63,TABVACT,'f-travail'!$BG$2+11,FALSE)*(X63+Y63),2),IF(E63="ج",ROUND(((Y63+51.92)*VLOOKUP(C63,TABVACT,'f-travail'!$BG$2+11,FALSE)*AO63),2)))</f>
        <v>0</v>
      </c>
      <c r="AC63" s="673" t="b">
        <f>IF(E63="ك",ROUND(VLOOKUP(C63,TABVACT,'f-travail'!$BG$2+12,FALSE)*(X63+Y63),2),IF(E63="ج",ROUND(((Y63+51.92)*VLOOKUP(C63,TABVACT,'f-travail'!$BG$2+12,FALSE)*AO63),2)))</f>
        <v>0</v>
      </c>
      <c r="AD63" s="673" t="b">
        <f>IF(E63="ك",ROUND(VLOOKUP(C63,TABVACT,'f-travail'!$BG$2+13,FALSE)*(X63+Y63),2),IF(E63="ج",ROUND(((Y63+51.92)*VLOOKUP(C63,TABVACT,'f-travail'!$BG$2+13,FALSE)*AO63),2)))</f>
        <v>0</v>
      </c>
      <c r="AE63" s="673" t="b">
        <f>IF(E63="ك",ROUND(VLOOKUP(C63,TABVACT,'f-travail'!$BG$2+14,FALSE)*(X63+Y63),2),IF(E63="ج",ROUND(((Y63+51.92)*VLOOKUP(C63,TABVACT,'f-travail'!$BG$2+14,FALSE)*AO63),2)))</f>
        <v>0</v>
      </c>
      <c r="AF63" s="673" t="b">
        <f>IF(E63="ك",ROUND(VLOOKUP(C63,TABVACT,'f-travail'!$BG$2+15,FALSE)*(X63+Y63),2),IF(E63="ج",ROUND(((Y63+51.92)*VLOOKUP(C63,TABVACT,'f-travail'!$BG$2+15,FALSE)*AO63),2)))</f>
        <v>0</v>
      </c>
      <c r="AG63" s="673" t="b">
        <f t="shared" si="7"/>
        <v>0</v>
      </c>
      <c r="AH63" s="673">
        <f t="shared" si="8"/>
        <v>0</v>
      </c>
      <c r="AI63" s="673">
        <f t="shared" si="9"/>
        <v>0</v>
      </c>
      <c r="AJ63" s="673">
        <f t="shared" si="10"/>
        <v>0</v>
      </c>
      <c r="AK63" s="674">
        <f t="shared" si="11"/>
        <v>0</v>
      </c>
      <c r="AL63" s="673">
        <f t="shared" si="12"/>
        <v>0</v>
      </c>
      <c r="AM63" s="673">
        <f t="shared" si="13"/>
        <v>0</v>
      </c>
      <c r="AN63" s="810" t="str">
        <f t="shared" si="14"/>
        <v>عازب(ة)</v>
      </c>
      <c r="AO63" s="817">
        <f>LOOKUP(الرئيسية!$N$8,'ورقة العمل'!$T$1:$T$13,'ورقة العمل'!$V$1:$V$13)</f>
        <v>105</v>
      </c>
    </row>
    <row r="64" spans="1:41">
      <c r="A64" s="636">
        <f t="shared" si="15"/>
        <v>63</v>
      </c>
      <c r="B64" s="637"/>
      <c r="C64" s="803"/>
      <c r="D64" s="802" t="e">
        <f>VLOOKUP(C64,TABVACT,'f-travail'!$BG$2+1,FALSE)</f>
        <v>#N/A</v>
      </c>
      <c r="E64" s="804"/>
      <c r="F64" s="804"/>
      <c r="G64" s="803"/>
      <c r="H64" s="804"/>
      <c r="I64" s="804"/>
      <c r="J64" s="803"/>
      <c r="K64" s="803"/>
      <c r="M64" s="803"/>
      <c r="N64" s="803"/>
      <c r="O64" s="670" t="e">
        <f>VLOOKUP(C64,TABVACT,'f-travail'!$BG$2+5,FALSE)</f>
        <v>#N/A</v>
      </c>
      <c r="P64" s="670" t="e">
        <f>VLOOKUP(C64,TABVACT,'f-travail'!$BG$2+6,FALSE)</f>
        <v>#N/A</v>
      </c>
      <c r="Q64" s="811" t="str">
        <f t="shared" si="18"/>
        <v/>
      </c>
      <c r="R64" s="677" t="b">
        <f t="shared" si="19"/>
        <v>0</v>
      </c>
      <c r="S64" s="678">
        <f t="shared" si="2"/>
        <v>0</v>
      </c>
      <c r="T64" s="673">
        <f t="shared" si="3"/>
        <v>0</v>
      </c>
      <c r="U64" s="678">
        <f t="shared" si="4"/>
        <v>0</v>
      </c>
      <c r="V64" s="675"/>
      <c r="W64" s="675"/>
      <c r="X64" s="678" t="b">
        <f t="shared" si="5"/>
        <v>0</v>
      </c>
      <c r="Y64" s="807" t="b">
        <f t="shared" si="6"/>
        <v>0</v>
      </c>
      <c r="Z64" s="673" t="b">
        <f>IF(E64="ك",VLOOKUP(C64,TABVACT,'f-travail'!$BG$2+9,FALSE),IF(E64="ج",0))</f>
        <v>0</v>
      </c>
      <c r="AA64" s="673" t="b">
        <f>IF(E64="ك",VLOOKUP(C64,TABVACT,'f-travail'!$BG$2+10,FALSE),IF(E64="ج",ROUND((44.42)*AO64,2)))</f>
        <v>0</v>
      </c>
      <c r="AB64" s="673" t="b">
        <f>IF(E64="ك",ROUND(VLOOKUP(C64,TABVACT,'f-travail'!$BG$2+11,FALSE)*(X64+Y64),2),IF(E64="ج",ROUND(((Y64+51.92)*VLOOKUP(C64,TABVACT,'f-travail'!$BG$2+11,FALSE)*AO64),2)))</f>
        <v>0</v>
      </c>
      <c r="AC64" s="673" t="b">
        <f>IF(E64="ك",ROUND(VLOOKUP(C64,TABVACT,'f-travail'!$BG$2+12,FALSE)*(X64+Y64),2),IF(E64="ج",ROUND(((Y64+51.92)*VLOOKUP(C64,TABVACT,'f-travail'!$BG$2+12,FALSE)*AO64),2)))</f>
        <v>0</v>
      </c>
      <c r="AD64" s="673" t="b">
        <f>IF(E64="ك",ROUND(VLOOKUP(C64,TABVACT,'f-travail'!$BG$2+13,FALSE)*(X64+Y64),2),IF(E64="ج",ROUND(((Y64+51.92)*VLOOKUP(C64,TABVACT,'f-travail'!$BG$2+13,FALSE)*AO64),2)))</f>
        <v>0</v>
      </c>
      <c r="AE64" s="673" t="b">
        <f>IF(E64="ك",ROUND(VLOOKUP(C64,TABVACT,'f-travail'!$BG$2+14,FALSE)*(X64+Y64),2),IF(E64="ج",ROUND(((Y64+51.92)*VLOOKUP(C64,TABVACT,'f-travail'!$BG$2+14,FALSE)*AO64),2)))</f>
        <v>0</v>
      </c>
      <c r="AF64" s="673" t="b">
        <f>IF(E64="ك",ROUND(VLOOKUP(C64,TABVACT,'f-travail'!$BG$2+15,FALSE)*(X64+Y64),2),IF(E64="ج",ROUND(((Y64+51.92)*VLOOKUP(C64,TABVACT,'f-travail'!$BG$2+15,FALSE)*AO64),2)))</f>
        <v>0</v>
      </c>
      <c r="AG64" s="673" t="b">
        <f t="shared" si="7"/>
        <v>0</v>
      </c>
      <c r="AH64" s="673">
        <f t="shared" si="8"/>
        <v>0</v>
      </c>
      <c r="AI64" s="673">
        <f t="shared" si="9"/>
        <v>0</v>
      </c>
      <c r="AJ64" s="673">
        <f t="shared" si="10"/>
        <v>0</v>
      </c>
      <c r="AK64" s="674">
        <f t="shared" si="11"/>
        <v>0</v>
      </c>
      <c r="AL64" s="673">
        <f t="shared" si="12"/>
        <v>0</v>
      </c>
      <c r="AM64" s="673">
        <f t="shared" si="13"/>
        <v>0</v>
      </c>
      <c r="AN64" s="810" t="str">
        <f t="shared" si="14"/>
        <v>عازب(ة)</v>
      </c>
      <c r="AO64" s="817">
        <f>LOOKUP(الرئيسية!$N$8,'ورقة العمل'!$T$1:$T$13,'ورقة العمل'!$V$1:$V$13)</f>
        <v>105</v>
      </c>
    </row>
    <row r="65" spans="1:41">
      <c r="A65" s="636">
        <f t="shared" si="15"/>
        <v>64</v>
      </c>
      <c r="B65" s="637"/>
      <c r="C65" s="803"/>
      <c r="D65" s="802" t="e">
        <f>VLOOKUP(C65,TABVACT,'f-travail'!$BG$2+1,FALSE)</f>
        <v>#N/A</v>
      </c>
      <c r="E65" s="804"/>
      <c r="F65" s="804"/>
      <c r="G65" s="803"/>
      <c r="H65" s="804"/>
      <c r="I65" s="804"/>
      <c r="J65" s="803"/>
      <c r="K65" s="803"/>
      <c r="M65" s="803"/>
      <c r="N65" s="803"/>
      <c r="O65" s="670" t="e">
        <f>VLOOKUP(C65,TABVACT,'f-travail'!$BG$2+5,FALSE)</f>
        <v>#N/A</v>
      </c>
      <c r="P65" s="670" t="e">
        <f>VLOOKUP(C65,TABVACT,'f-travail'!$BG$2+6,FALSE)</f>
        <v>#N/A</v>
      </c>
      <c r="Q65" s="811" t="str">
        <f t="shared" si="18"/>
        <v/>
      </c>
      <c r="R65" s="677" t="b">
        <f t="shared" si="19"/>
        <v>0</v>
      </c>
      <c r="S65" s="678">
        <f t="shared" si="2"/>
        <v>0</v>
      </c>
      <c r="T65" s="673">
        <f t="shared" si="3"/>
        <v>0</v>
      </c>
      <c r="U65" s="678">
        <f t="shared" si="4"/>
        <v>0</v>
      </c>
      <c r="V65" s="675"/>
      <c r="W65" s="675"/>
      <c r="X65" s="678" t="b">
        <f t="shared" si="5"/>
        <v>0</v>
      </c>
      <c r="Y65" s="807" t="b">
        <f t="shared" si="6"/>
        <v>0</v>
      </c>
      <c r="Z65" s="673" t="b">
        <f>IF(E65="ك",VLOOKUP(C65,TABVACT,'f-travail'!$BG$2+9,FALSE),IF(E65="ج",0))</f>
        <v>0</v>
      </c>
      <c r="AA65" s="673" t="b">
        <f>IF(E65="ك",VLOOKUP(C65,TABVACT,'f-travail'!$BG$2+10,FALSE),IF(E65="ج",ROUND((44.42)*AO65,2)))</f>
        <v>0</v>
      </c>
      <c r="AB65" s="673" t="b">
        <f>IF(E65="ك",ROUND(VLOOKUP(C65,TABVACT,'f-travail'!$BG$2+11,FALSE)*(X65+Y65),2),IF(E65="ج",ROUND(((Y65+51.92)*VLOOKUP(C65,TABVACT,'f-travail'!$BG$2+11,FALSE)*AO65),2)))</f>
        <v>0</v>
      </c>
      <c r="AC65" s="673" t="b">
        <f>IF(E65="ك",ROUND(VLOOKUP(C65,TABVACT,'f-travail'!$BG$2+12,FALSE)*(X65+Y65),2),IF(E65="ج",ROUND(((Y65+51.92)*VLOOKUP(C65,TABVACT,'f-travail'!$BG$2+12,FALSE)*AO65),2)))</f>
        <v>0</v>
      </c>
      <c r="AD65" s="673" t="b">
        <f>IF(E65="ك",ROUND(VLOOKUP(C65,TABVACT,'f-travail'!$BG$2+13,FALSE)*(X65+Y65),2),IF(E65="ج",ROUND(((Y65+51.92)*VLOOKUP(C65,TABVACT,'f-travail'!$BG$2+13,FALSE)*AO65),2)))</f>
        <v>0</v>
      </c>
      <c r="AE65" s="673" t="b">
        <f>IF(E65="ك",ROUND(VLOOKUP(C65,TABVACT,'f-travail'!$BG$2+14,FALSE)*(X65+Y65),2),IF(E65="ج",ROUND(((Y65+51.92)*VLOOKUP(C65,TABVACT,'f-travail'!$BG$2+14,FALSE)*AO65),2)))</f>
        <v>0</v>
      </c>
      <c r="AF65" s="673" t="b">
        <f>IF(E65="ك",ROUND(VLOOKUP(C65,TABVACT,'f-travail'!$BG$2+15,FALSE)*(X65+Y65),2),IF(E65="ج",ROUND(((Y65+51.92)*VLOOKUP(C65,TABVACT,'f-travail'!$BG$2+15,FALSE)*AO65),2)))</f>
        <v>0</v>
      </c>
      <c r="AG65" s="673" t="b">
        <f t="shared" si="7"/>
        <v>0</v>
      </c>
      <c r="AH65" s="673">
        <f t="shared" si="8"/>
        <v>0</v>
      </c>
      <c r="AI65" s="673">
        <f t="shared" si="9"/>
        <v>0</v>
      </c>
      <c r="AJ65" s="673">
        <f t="shared" si="10"/>
        <v>0</v>
      </c>
      <c r="AK65" s="674">
        <f t="shared" si="11"/>
        <v>0</v>
      </c>
      <c r="AL65" s="673">
        <f t="shared" si="12"/>
        <v>0</v>
      </c>
      <c r="AM65" s="673">
        <f t="shared" si="13"/>
        <v>0</v>
      </c>
      <c r="AN65" s="810" t="str">
        <f t="shared" si="14"/>
        <v>عازب(ة)</v>
      </c>
      <c r="AO65" s="817">
        <f>LOOKUP(الرئيسية!$N$8,'ورقة العمل'!$T$1:$T$13,'ورقة العمل'!$V$1:$V$13)</f>
        <v>105</v>
      </c>
    </row>
    <row r="66" spans="1:41">
      <c r="A66" s="636">
        <f t="shared" si="15"/>
        <v>65</v>
      </c>
      <c r="B66" s="637"/>
      <c r="C66" s="803"/>
      <c r="D66" s="802" t="e">
        <f>VLOOKUP(C66,TABVACT,'f-travail'!$BG$2+1,FALSE)</f>
        <v>#N/A</v>
      </c>
      <c r="E66" s="804"/>
      <c r="F66" s="804"/>
      <c r="G66" s="803"/>
      <c r="H66" s="804"/>
      <c r="I66" s="804"/>
      <c r="J66" s="803"/>
      <c r="K66" s="803"/>
      <c r="M66" s="803"/>
      <c r="N66" s="803"/>
      <c r="O66" s="670" t="e">
        <f>VLOOKUP(C66,TABVACT,'f-travail'!$BG$2+5,FALSE)</f>
        <v>#N/A</v>
      </c>
      <c r="P66" s="670" t="e">
        <f>VLOOKUP(C66,TABVACT,'f-travail'!$BG$2+6,FALSE)</f>
        <v>#N/A</v>
      </c>
      <c r="Q66" s="811" t="str">
        <f t="shared" ref="Q66:Q100" si="20">IF(OR(F66="",F66=0),"",CONCATENATE(F66," X 1,40% "))</f>
        <v/>
      </c>
      <c r="R66" s="677" t="b">
        <f t="shared" si="19"/>
        <v>0</v>
      </c>
      <c r="S66" s="678">
        <f t="shared" si="2"/>
        <v>0</v>
      </c>
      <c r="T66" s="673">
        <f t="shared" si="3"/>
        <v>0</v>
      </c>
      <c r="U66" s="678">
        <f t="shared" si="4"/>
        <v>0</v>
      </c>
      <c r="V66" s="675"/>
      <c r="W66" s="675"/>
      <c r="X66" s="678" t="b">
        <f t="shared" si="5"/>
        <v>0</v>
      </c>
      <c r="Y66" s="807" t="b">
        <f t="shared" si="6"/>
        <v>0</v>
      </c>
      <c r="Z66" s="673" t="b">
        <f>IF(E66="ك",VLOOKUP(C66,TABVACT,'f-travail'!$BG$2+9,FALSE),IF(E66="ج",0))</f>
        <v>0</v>
      </c>
      <c r="AA66" s="673" t="b">
        <f>IF(E66="ك",VLOOKUP(C66,TABVACT,'f-travail'!$BG$2+10,FALSE),IF(E66="ج",ROUND((44.42)*AO66,2)))</f>
        <v>0</v>
      </c>
      <c r="AB66" s="673" t="b">
        <f>IF(E66="ك",ROUND(VLOOKUP(C66,TABVACT,'f-travail'!$BG$2+11,FALSE)*(X66+Y66),2),IF(E66="ج",ROUND(((Y66+51.92)*VLOOKUP(C66,TABVACT,'f-travail'!$BG$2+11,FALSE)*AO66),2)))</f>
        <v>0</v>
      </c>
      <c r="AC66" s="673" t="b">
        <f>IF(E66="ك",ROUND(VLOOKUP(C66,TABVACT,'f-travail'!$BG$2+12,FALSE)*(X66+Y66),2),IF(E66="ج",ROUND(((Y66+51.92)*VLOOKUP(C66,TABVACT,'f-travail'!$BG$2+12,FALSE)*AO66),2)))</f>
        <v>0</v>
      </c>
      <c r="AD66" s="673" t="b">
        <f>IF(E66="ك",ROUND(VLOOKUP(C66,TABVACT,'f-travail'!$BG$2+13,FALSE)*(X66+Y66),2),IF(E66="ج",ROUND(((Y66+51.92)*VLOOKUP(C66,TABVACT,'f-travail'!$BG$2+13,FALSE)*AO66),2)))</f>
        <v>0</v>
      </c>
      <c r="AE66" s="673" t="b">
        <f>IF(E66="ك",ROUND(VLOOKUP(C66,TABVACT,'f-travail'!$BG$2+14,FALSE)*(X66+Y66),2),IF(E66="ج",ROUND(((Y66+51.92)*VLOOKUP(C66,TABVACT,'f-travail'!$BG$2+14,FALSE)*AO66),2)))</f>
        <v>0</v>
      </c>
      <c r="AF66" s="673" t="b">
        <f>IF(E66="ك",ROUND(VLOOKUP(C66,TABVACT,'f-travail'!$BG$2+15,FALSE)*(X66+Y66),2),IF(E66="ج",ROUND(((Y66+51.92)*VLOOKUP(C66,TABVACT,'f-travail'!$BG$2+15,FALSE)*AO66),2)))</f>
        <v>0</v>
      </c>
      <c r="AG66" s="673" t="b">
        <f t="shared" si="7"/>
        <v>0</v>
      </c>
      <c r="AH66" s="673">
        <f t="shared" si="8"/>
        <v>0</v>
      </c>
      <c r="AI66" s="673">
        <f t="shared" si="9"/>
        <v>0</v>
      </c>
      <c r="AJ66" s="673">
        <f t="shared" si="10"/>
        <v>0</v>
      </c>
      <c r="AK66" s="674">
        <f t="shared" si="11"/>
        <v>0</v>
      </c>
      <c r="AL66" s="673">
        <f t="shared" si="12"/>
        <v>0</v>
      </c>
      <c r="AM66" s="673">
        <f t="shared" si="13"/>
        <v>0</v>
      </c>
      <c r="AN66" s="810" t="str">
        <f t="shared" si="14"/>
        <v>عازب(ة)</v>
      </c>
      <c r="AO66" s="817">
        <f>LOOKUP(الرئيسية!$N$8,'ورقة العمل'!$T$1:$T$13,'ورقة العمل'!$V$1:$V$13)</f>
        <v>105</v>
      </c>
    </row>
    <row r="67" spans="1:41">
      <c r="A67" s="636">
        <f t="shared" si="15"/>
        <v>66</v>
      </c>
      <c r="B67" s="637"/>
      <c r="C67" s="803"/>
      <c r="D67" s="802" t="e">
        <f>VLOOKUP(C67,TABVACT,'f-travail'!$BG$2+1,FALSE)</f>
        <v>#N/A</v>
      </c>
      <c r="E67" s="804"/>
      <c r="F67" s="804"/>
      <c r="G67" s="803"/>
      <c r="H67" s="804"/>
      <c r="I67" s="804"/>
      <c r="J67" s="803"/>
      <c r="K67" s="803"/>
      <c r="M67" s="803"/>
      <c r="N67" s="803"/>
      <c r="O67" s="670" t="e">
        <f>VLOOKUP(C67,TABVACT,'f-travail'!$BG$2+5,FALSE)</f>
        <v>#N/A</v>
      </c>
      <c r="P67" s="670" t="e">
        <f>VLOOKUP(C67,TABVACT,'f-travail'!$BG$2+6,FALSE)</f>
        <v>#N/A</v>
      </c>
      <c r="Q67" s="811" t="str">
        <f t="shared" si="20"/>
        <v/>
      </c>
      <c r="R67" s="677" t="b">
        <f t="shared" si="19"/>
        <v>0</v>
      </c>
      <c r="S67" s="678">
        <f t="shared" ref="S67:S100" si="21">IF(AND(G67="متزوج(ة)ماكثة",H67=0),5.5,IF(AND(G67="متزوج(ة)ماكثة",H67&gt;0),800,0))</f>
        <v>0</v>
      </c>
      <c r="T67" s="673">
        <f t="shared" ref="T67:T100" si="22">IF(I67&gt;3,(3*11.25),I67*11.25)</f>
        <v>0</v>
      </c>
      <c r="U67" s="678">
        <f t="shared" ref="U67:U100" si="23">T67+(H67*300)+S67</f>
        <v>0</v>
      </c>
      <c r="V67" s="675"/>
      <c r="W67" s="675"/>
      <c r="X67" s="678" t="b">
        <f t="shared" ref="X67:X100" si="24">IF(E67="ك",ROUND((P67*45),2),IF(E67="ج",ROUND((51.92*AO67),2)))</f>
        <v>0</v>
      </c>
      <c r="Y67" s="807" t="b">
        <f t="shared" ref="Y67:Y100" si="25">IF(E67="ك",ROUND((X67*1.4%)*F67,2),IF(E67="ج",ROUND(((51.92*F67)*1.4%),2)))</f>
        <v>0</v>
      </c>
      <c r="Z67" s="673" t="b">
        <f>IF(E67="ك",VLOOKUP(C67,TABVACT,'f-travail'!$BG$2+9,FALSE),IF(E67="ج",0))</f>
        <v>0</v>
      </c>
      <c r="AA67" s="673" t="b">
        <f>IF(E67="ك",VLOOKUP(C67,TABVACT,'f-travail'!$BG$2+10,FALSE),IF(E67="ج",ROUND((44.42)*AO67,2)))</f>
        <v>0</v>
      </c>
      <c r="AB67" s="673" t="b">
        <f>IF(E67="ك",ROUND(VLOOKUP(C67,TABVACT,'f-travail'!$BG$2+11,FALSE)*(X67+Y67),2),IF(E67="ج",ROUND(((Y67+51.92)*VLOOKUP(C67,TABVACT,'f-travail'!$BG$2+11,FALSE)*AO67),2)))</f>
        <v>0</v>
      </c>
      <c r="AC67" s="673" t="b">
        <f>IF(E67="ك",ROUND(VLOOKUP(C67,TABVACT,'f-travail'!$BG$2+12,FALSE)*(X67+Y67),2),IF(E67="ج",ROUND(((Y67+51.92)*VLOOKUP(C67,TABVACT,'f-travail'!$BG$2+12,FALSE)*AO67),2)))</f>
        <v>0</v>
      </c>
      <c r="AD67" s="673" t="b">
        <f>IF(E67="ك",ROUND(VLOOKUP(C67,TABVACT,'f-travail'!$BG$2+13,FALSE)*(X67+Y67),2),IF(E67="ج",ROUND(((Y67+51.92)*VLOOKUP(C67,TABVACT,'f-travail'!$BG$2+13,FALSE)*AO67),2)))</f>
        <v>0</v>
      </c>
      <c r="AE67" s="673" t="b">
        <f>IF(E67="ك",ROUND(VLOOKUP(C67,TABVACT,'f-travail'!$BG$2+14,FALSE)*(X67+Y67),2),IF(E67="ج",ROUND(((Y67+51.92)*VLOOKUP(C67,TABVACT,'f-travail'!$BG$2+14,FALSE)*AO67),2)))</f>
        <v>0</v>
      </c>
      <c r="AF67" s="673" t="b">
        <f>IF(E67="ك",ROUND(VLOOKUP(C67,TABVACT,'f-travail'!$BG$2+15,FALSE)*(X67+Y67),2),IF(E67="ج",ROUND(((Y67+51.92)*VLOOKUP(C67,TABVACT,'f-travail'!$BG$2+15,FALSE)*AO67),2)))</f>
        <v>0</v>
      </c>
      <c r="AG67" s="673" t="b">
        <f t="shared" ref="AG67:AG100" si="26">IF( E67="ك",ROUND((Y67+X67+W67+V67),2),IF(E67="ج",ROUND((((Y67+W67+V67)*AO67)+X67),2)))</f>
        <v>0</v>
      </c>
      <c r="AH67" s="673">
        <f t="shared" ref="AH67:AH100" si="27">ROUND(SUM(Z67:AG67,U67),2)</f>
        <v>0</v>
      </c>
      <c r="AI67" s="673">
        <f t="shared" ref="AI67:AI100" si="28">ROUND((AH67-S67),2)</f>
        <v>0</v>
      </c>
      <c r="AJ67" s="673">
        <f t="shared" ref="AJ67:AJ100" si="29">ROUND(AI67*9%,2)</f>
        <v>0</v>
      </c>
      <c r="AK67" s="674">
        <f t="shared" ref="AK67:AK100" si="30">IF((ROUNDDOWN(((AI67)-AJ67-Z67),-1))&lt;15000,0,(ROUNDDOWN(((AI67)-AJ67-Z67),-1)))</f>
        <v>0</v>
      </c>
      <c r="AL67" s="673">
        <f t="shared" ref="AL67:AL100" si="31">IF(AK67=0,0,(IF((AK67&gt;1500),(IF(OR(AK67&gt;22500),IF(AND(AK67&gt;22500),(AK67-22500)*12%)+IF(AND(AK67&gt;28750),(AK67-28750)*8%)+IF(AND(AK67&gt;30000),(AK67-30000)*10%)+1500,IF(AND((AK67&gt;1500),(AK67&lt;=22500)),(AK67-15000)*20%))),0)/2))</f>
        <v>0</v>
      </c>
      <c r="AM67" s="673">
        <f t="shared" ref="AM67:AM100" si="32">IF(J67=1,ROUND((AI67)*1.5%,2),0)</f>
        <v>0</v>
      </c>
      <c r="AN67" s="810" t="str">
        <f t="shared" ref="AN67:AN100" si="33">IF(AND(H67&gt;0,(OR(G67="متزوج(ة)",G67="متزوج(ة)ماكثة",G67="متزوج(ة)عاملة"))),CONCATENATE("متزوج (ة) /"," ",H67," طفل"),IF(AND(H67=0,(OR(G67="متزوج(ة)",G67="متزوج(ة)ماكثة",G67="متزوج(ة)عاملة"))),("متزوج (ة) "),IF(G67="عازب(ة)كفيل",CONCATENATE("عازب(ة)كفيل /"," ",H67," أخوة"),IF(AND(H67&gt;0,G67="مطلق(ة)"),CONCATENATE("مطلق (ة) /"," ",H67," طفل"),IF(AND(H67=0,G67="مطلق(ة)"),"مطلق (ة)","عازب(ة)")))))</f>
        <v>عازب(ة)</v>
      </c>
      <c r="AO67" s="817">
        <f>LOOKUP(الرئيسية!$N$8,'ورقة العمل'!$T$1:$T$13,'ورقة العمل'!$V$1:$V$13)</f>
        <v>105</v>
      </c>
    </row>
    <row r="68" spans="1:41">
      <c r="A68" s="636">
        <f t="shared" ref="A68:A100" si="34">A67+1</f>
        <v>67</v>
      </c>
      <c r="B68" s="637"/>
      <c r="C68" s="803"/>
      <c r="D68" s="802" t="e">
        <f>VLOOKUP(C68,TABVACT,'f-travail'!$BG$2+1,FALSE)</f>
        <v>#N/A</v>
      </c>
      <c r="E68" s="804"/>
      <c r="F68" s="804"/>
      <c r="G68" s="803"/>
      <c r="H68" s="804"/>
      <c r="I68" s="804"/>
      <c r="J68" s="803"/>
      <c r="K68" s="803"/>
      <c r="M68" s="803"/>
      <c r="N68" s="803"/>
      <c r="O68" s="670" t="e">
        <f>VLOOKUP(C68,TABVACT,'f-travail'!$BG$2+5,FALSE)</f>
        <v>#N/A</v>
      </c>
      <c r="P68" s="670" t="e">
        <f>VLOOKUP(C68,TABVACT,'f-travail'!$BG$2+6,FALSE)</f>
        <v>#N/A</v>
      </c>
      <c r="Q68" s="811" t="str">
        <f t="shared" si="20"/>
        <v/>
      </c>
      <c r="R68" s="677" t="b">
        <f t="shared" si="19"/>
        <v>0</v>
      </c>
      <c r="S68" s="678">
        <f t="shared" si="21"/>
        <v>0</v>
      </c>
      <c r="T68" s="673">
        <f t="shared" si="22"/>
        <v>0</v>
      </c>
      <c r="U68" s="678">
        <f t="shared" si="23"/>
        <v>0</v>
      </c>
      <c r="V68" s="675"/>
      <c r="W68" s="675"/>
      <c r="X68" s="678" t="b">
        <f t="shared" si="24"/>
        <v>0</v>
      </c>
      <c r="Y68" s="807" t="b">
        <f t="shared" si="25"/>
        <v>0</v>
      </c>
      <c r="Z68" s="673" t="b">
        <f>IF(E68="ك",VLOOKUP(C68,TABVACT,'f-travail'!$BG$2+9,FALSE),IF(E68="ج",0))</f>
        <v>0</v>
      </c>
      <c r="AA68" s="673" t="b">
        <f>IF(E68="ك",VLOOKUP(C68,TABVACT,'f-travail'!$BG$2+10,FALSE),IF(E68="ج",ROUND((44.42)*AO68,2)))</f>
        <v>0</v>
      </c>
      <c r="AB68" s="673" t="b">
        <f>IF(E68="ك",ROUND(VLOOKUP(C68,TABVACT,'f-travail'!$BG$2+11,FALSE)*(X68+Y68),2),IF(E68="ج",ROUND(((Y68+51.92)*VLOOKUP(C68,TABVACT,'f-travail'!$BG$2+11,FALSE)*AO68),2)))</f>
        <v>0</v>
      </c>
      <c r="AC68" s="673" t="b">
        <f>IF(E68="ك",ROUND(VLOOKUP(C68,TABVACT,'f-travail'!$BG$2+12,FALSE)*(X68+Y68),2),IF(E68="ج",ROUND(((Y68+51.92)*VLOOKUP(C68,TABVACT,'f-travail'!$BG$2+12,FALSE)*AO68),2)))</f>
        <v>0</v>
      </c>
      <c r="AD68" s="673" t="b">
        <f>IF(E68="ك",ROUND(VLOOKUP(C68,TABVACT,'f-travail'!$BG$2+13,FALSE)*(X68+Y68),2),IF(E68="ج",ROUND(((Y68+51.92)*VLOOKUP(C68,TABVACT,'f-travail'!$BG$2+13,FALSE)*AO68),2)))</f>
        <v>0</v>
      </c>
      <c r="AE68" s="673" t="b">
        <f>IF(E68="ك",ROUND(VLOOKUP(C68,TABVACT,'f-travail'!$BG$2+14,FALSE)*(X68+Y68),2),IF(E68="ج",ROUND(((Y68+51.92)*VLOOKUP(C68,TABVACT,'f-travail'!$BG$2+14,FALSE)*AO68),2)))</f>
        <v>0</v>
      </c>
      <c r="AF68" s="673" t="b">
        <f>IF(E68="ك",ROUND(VLOOKUP(C68,TABVACT,'f-travail'!$BG$2+15,FALSE)*(X68+Y68),2),IF(E68="ج",ROUND(((Y68+51.92)*VLOOKUP(C68,TABVACT,'f-travail'!$BG$2+15,FALSE)*AO68),2)))</f>
        <v>0</v>
      </c>
      <c r="AG68" s="673" t="b">
        <f t="shared" si="26"/>
        <v>0</v>
      </c>
      <c r="AH68" s="673">
        <f t="shared" si="27"/>
        <v>0</v>
      </c>
      <c r="AI68" s="673">
        <f t="shared" si="28"/>
        <v>0</v>
      </c>
      <c r="AJ68" s="673">
        <f t="shared" si="29"/>
        <v>0</v>
      </c>
      <c r="AK68" s="674">
        <f t="shared" si="30"/>
        <v>0</v>
      </c>
      <c r="AL68" s="673">
        <f t="shared" si="31"/>
        <v>0</v>
      </c>
      <c r="AM68" s="673">
        <f t="shared" si="32"/>
        <v>0</v>
      </c>
      <c r="AN68" s="810" t="str">
        <f t="shared" si="33"/>
        <v>عازب(ة)</v>
      </c>
      <c r="AO68" s="817">
        <f>LOOKUP(الرئيسية!$N$8,'ورقة العمل'!$T$1:$T$13,'ورقة العمل'!$V$1:$V$13)</f>
        <v>105</v>
      </c>
    </row>
    <row r="69" spans="1:41">
      <c r="A69" s="636">
        <f t="shared" si="34"/>
        <v>68</v>
      </c>
      <c r="B69" s="637"/>
      <c r="C69" s="803"/>
      <c r="D69" s="802" t="e">
        <f>VLOOKUP(C69,TABVACT,'f-travail'!$BG$2+1,FALSE)</f>
        <v>#N/A</v>
      </c>
      <c r="E69" s="804"/>
      <c r="F69" s="804"/>
      <c r="G69" s="803"/>
      <c r="H69" s="804"/>
      <c r="I69" s="804"/>
      <c r="J69" s="803"/>
      <c r="K69" s="803"/>
      <c r="M69" s="803"/>
      <c r="N69" s="803"/>
      <c r="O69" s="670" t="e">
        <f>VLOOKUP(C69,TABVACT,'f-travail'!$BG$2+5,FALSE)</f>
        <v>#N/A</v>
      </c>
      <c r="P69" s="670" t="e">
        <f>VLOOKUP(C69,TABVACT,'f-travail'!$BG$2+6,FALSE)</f>
        <v>#N/A</v>
      </c>
      <c r="Q69" s="811" t="str">
        <f t="shared" si="20"/>
        <v/>
      </c>
      <c r="R69" s="677" t="b">
        <f t="shared" si="19"/>
        <v>0</v>
      </c>
      <c r="S69" s="678">
        <f t="shared" si="21"/>
        <v>0</v>
      </c>
      <c r="T69" s="673">
        <f t="shared" si="22"/>
        <v>0</v>
      </c>
      <c r="U69" s="678">
        <f t="shared" si="23"/>
        <v>0</v>
      </c>
      <c r="V69" s="675"/>
      <c r="W69" s="675"/>
      <c r="X69" s="678" t="b">
        <f t="shared" si="24"/>
        <v>0</v>
      </c>
      <c r="Y69" s="807" t="b">
        <f t="shared" si="25"/>
        <v>0</v>
      </c>
      <c r="Z69" s="673" t="b">
        <f>IF(E69="ك",VLOOKUP(C69,TABVACT,'f-travail'!$BG$2+9,FALSE),IF(E69="ج",0))</f>
        <v>0</v>
      </c>
      <c r="AA69" s="673" t="b">
        <f>IF(E69="ك",VLOOKUP(C69,TABVACT,'f-travail'!$BG$2+10,FALSE),IF(E69="ج",ROUND((44.42)*AO69,2)))</f>
        <v>0</v>
      </c>
      <c r="AB69" s="673" t="b">
        <f>IF(E69="ك",ROUND(VLOOKUP(C69,TABVACT,'f-travail'!$BG$2+11,FALSE)*(X69+Y69),2),IF(E69="ج",ROUND(((Y69+51.92)*VLOOKUP(C69,TABVACT,'f-travail'!$BG$2+11,FALSE)*AO69),2)))</f>
        <v>0</v>
      </c>
      <c r="AC69" s="673" t="b">
        <f>IF(E69="ك",ROUND(VLOOKUP(C69,TABVACT,'f-travail'!$BG$2+12,FALSE)*(X69+Y69),2),IF(E69="ج",ROUND(((Y69+51.92)*VLOOKUP(C69,TABVACT,'f-travail'!$BG$2+12,FALSE)*AO69),2)))</f>
        <v>0</v>
      </c>
      <c r="AD69" s="673" t="b">
        <f>IF(E69="ك",ROUND(VLOOKUP(C69,TABVACT,'f-travail'!$BG$2+13,FALSE)*(X69+Y69),2),IF(E69="ج",ROUND(((Y69+51.92)*VLOOKUP(C69,TABVACT,'f-travail'!$BG$2+13,FALSE)*AO69),2)))</f>
        <v>0</v>
      </c>
      <c r="AE69" s="673" t="b">
        <f>IF(E69="ك",ROUND(VLOOKUP(C69,TABVACT,'f-travail'!$BG$2+14,FALSE)*(X69+Y69),2),IF(E69="ج",ROUND(((Y69+51.92)*VLOOKUP(C69,TABVACT,'f-travail'!$BG$2+14,FALSE)*AO69),2)))</f>
        <v>0</v>
      </c>
      <c r="AF69" s="673" t="b">
        <f>IF(E69="ك",ROUND(VLOOKUP(C69,TABVACT,'f-travail'!$BG$2+15,FALSE)*(X69+Y69),2),IF(E69="ج",ROUND(((Y69+51.92)*VLOOKUP(C69,TABVACT,'f-travail'!$BG$2+15,FALSE)*AO69),2)))</f>
        <v>0</v>
      </c>
      <c r="AG69" s="673" t="b">
        <f t="shared" si="26"/>
        <v>0</v>
      </c>
      <c r="AH69" s="673">
        <f t="shared" si="27"/>
        <v>0</v>
      </c>
      <c r="AI69" s="673">
        <f t="shared" si="28"/>
        <v>0</v>
      </c>
      <c r="AJ69" s="673">
        <f t="shared" si="29"/>
        <v>0</v>
      </c>
      <c r="AK69" s="674">
        <f t="shared" si="30"/>
        <v>0</v>
      </c>
      <c r="AL69" s="673">
        <f t="shared" si="31"/>
        <v>0</v>
      </c>
      <c r="AM69" s="673">
        <f t="shared" si="32"/>
        <v>0</v>
      </c>
      <c r="AN69" s="810" t="str">
        <f t="shared" si="33"/>
        <v>عازب(ة)</v>
      </c>
      <c r="AO69" s="817">
        <f>LOOKUP(الرئيسية!$N$8,'ورقة العمل'!$T$1:$T$13,'ورقة العمل'!$V$1:$V$13)</f>
        <v>105</v>
      </c>
    </row>
    <row r="70" spans="1:41">
      <c r="A70" s="636">
        <f t="shared" si="34"/>
        <v>69</v>
      </c>
      <c r="B70" s="637"/>
      <c r="C70" s="803"/>
      <c r="D70" s="802" t="e">
        <f>VLOOKUP(C70,TABVACT,'f-travail'!$BG$2+1,FALSE)</f>
        <v>#N/A</v>
      </c>
      <c r="E70" s="804"/>
      <c r="F70" s="804"/>
      <c r="G70" s="803"/>
      <c r="H70" s="804"/>
      <c r="I70" s="804"/>
      <c r="J70" s="803"/>
      <c r="K70" s="803"/>
      <c r="M70" s="803"/>
      <c r="N70" s="803"/>
      <c r="O70" s="670" t="e">
        <f>VLOOKUP(C70,TABVACT,'f-travail'!$BG$2+5,FALSE)</f>
        <v>#N/A</v>
      </c>
      <c r="P70" s="670" t="e">
        <f>VLOOKUP(C70,TABVACT,'f-travail'!$BG$2+6,FALSE)</f>
        <v>#N/A</v>
      </c>
      <c r="Q70" s="811" t="str">
        <f t="shared" si="20"/>
        <v/>
      </c>
      <c r="R70" s="677" t="b">
        <f t="shared" si="19"/>
        <v>0</v>
      </c>
      <c r="S70" s="678">
        <f t="shared" si="21"/>
        <v>0</v>
      </c>
      <c r="T70" s="673">
        <f t="shared" si="22"/>
        <v>0</v>
      </c>
      <c r="U70" s="678">
        <f t="shared" si="23"/>
        <v>0</v>
      </c>
      <c r="V70" s="675"/>
      <c r="W70" s="675"/>
      <c r="X70" s="678" t="b">
        <f t="shared" si="24"/>
        <v>0</v>
      </c>
      <c r="Y70" s="807" t="b">
        <f t="shared" si="25"/>
        <v>0</v>
      </c>
      <c r="Z70" s="673" t="b">
        <f>IF(E70="ك",VLOOKUP(C70,TABVACT,'f-travail'!$BG$2+9,FALSE),IF(E70="ج",0))</f>
        <v>0</v>
      </c>
      <c r="AA70" s="673" t="b">
        <f>IF(E70="ك",VLOOKUP(C70,TABVACT,'f-travail'!$BG$2+10,FALSE),IF(E70="ج",ROUND((44.42)*AO70,2)))</f>
        <v>0</v>
      </c>
      <c r="AB70" s="673" t="b">
        <f>IF(E70="ك",ROUND(VLOOKUP(C70,TABVACT,'f-travail'!$BG$2+11,FALSE)*(X70+Y70),2),IF(E70="ج",ROUND(((Y70+51.92)*VLOOKUP(C70,TABVACT,'f-travail'!$BG$2+11,FALSE)*AO70),2)))</f>
        <v>0</v>
      </c>
      <c r="AC70" s="673" t="b">
        <f>IF(E70="ك",ROUND(VLOOKUP(C70,TABVACT,'f-travail'!$BG$2+12,FALSE)*(X70+Y70),2),IF(E70="ج",ROUND(((Y70+51.92)*VLOOKUP(C70,TABVACT,'f-travail'!$BG$2+12,FALSE)*AO70),2)))</f>
        <v>0</v>
      </c>
      <c r="AD70" s="673" t="b">
        <f>IF(E70="ك",ROUND(VLOOKUP(C70,TABVACT,'f-travail'!$BG$2+13,FALSE)*(X70+Y70),2),IF(E70="ج",ROUND(((Y70+51.92)*VLOOKUP(C70,TABVACT,'f-travail'!$BG$2+13,FALSE)*AO70),2)))</f>
        <v>0</v>
      </c>
      <c r="AE70" s="673" t="b">
        <f>IF(E70="ك",ROUND(VLOOKUP(C70,TABVACT,'f-travail'!$BG$2+14,FALSE)*(X70+Y70),2),IF(E70="ج",ROUND(((Y70+51.92)*VLOOKUP(C70,TABVACT,'f-travail'!$BG$2+14,FALSE)*AO70),2)))</f>
        <v>0</v>
      </c>
      <c r="AF70" s="673" t="b">
        <f>IF(E70="ك",ROUND(VLOOKUP(C70,TABVACT,'f-travail'!$BG$2+15,FALSE)*(X70+Y70),2),IF(E70="ج",ROUND(((Y70+51.92)*VLOOKUP(C70,TABVACT,'f-travail'!$BG$2+15,FALSE)*AO70),2)))</f>
        <v>0</v>
      </c>
      <c r="AG70" s="673" t="b">
        <f t="shared" si="26"/>
        <v>0</v>
      </c>
      <c r="AH70" s="673">
        <f t="shared" si="27"/>
        <v>0</v>
      </c>
      <c r="AI70" s="673">
        <f t="shared" si="28"/>
        <v>0</v>
      </c>
      <c r="AJ70" s="673">
        <f t="shared" si="29"/>
        <v>0</v>
      </c>
      <c r="AK70" s="674">
        <f t="shared" si="30"/>
        <v>0</v>
      </c>
      <c r="AL70" s="673">
        <f t="shared" si="31"/>
        <v>0</v>
      </c>
      <c r="AM70" s="673">
        <f t="shared" si="32"/>
        <v>0</v>
      </c>
      <c r="AN70" s="810" t="str">
        <f t="shared" si="33"/>
        <v>عازب(ة)</v>
      </c>
      <c r="AO70" s="817">
        <f>LOOKUP(الرئيسية!$N$8,'ورقة العمل'!$T$1:$T$13,'ورقة العمل'!$V$1:$V$13)</f>
        <v>105</v>
      </c>
    </row>
    <row r="71" spans="1:41">
      <c r="A71" s="636">
        <f t="shared" si="34"/>
        <v>70</v>
      </c>
      <c r="B71" s="637"/>
      <c r="C71" s="803"/>
      <c r="D71" s="802" t="e">
        <f>VLOOKUP(C71,TABVACT,'f-travail'!$BG$2+1,FALSE)</f>
        <v>#N/A</v>
      </c>
      <c r="E71" s="804"/>
      <c r="F71" s="804"/>
      <c r="G71" s="803"/>
      <c r="H71" s="804"/>
      <c r="I71" s="804"/>
      <c r="J71" s="803"/>
      <c r="K71" s="803"/>
      <c r="M71" s="803"/>
      <c r="N71" s="803"/>
      <c r="O71" s="670" t="e">
        <f>VLOOKUP(C71,TABVACT,'f-travail'!$BG$2+5,FALSE)</f>
        <v>#N/A</v>
      </c>
      <c r="P71" s="670" t="e">
        <f>VLOOKUP(C71,TABVACT,'f-travail'!$BG$2+6,FALSE)</f>
        <v>#N/A</v>
      </c>
      <c r="Q71" s="811" t="str">
        <f t="shared" si="20"/>
        <v/>
      </c>
      <c r="R71" s="677" t="b">
        <f t="shared" si="19"/>
        <v>0</v>
      </c>
      <c r="S71" s="678">
        <f t="shared" si="21"/>
        <v>0</v>
      </c>
      <c r="T71" s="673">
        <f t="shared" si="22"/>
        <v>0</v>
      </c>
      <c r="U71" s="678">
        <f t="shared" si="23"/>
        <v>0</v>
      </c>
      <c r="V71" s="675"/>
      <c r="W71" s="675"/>
      <c r="X71" s="678" t="b">
        <f t="shared" si="24"/>
        <v>0</v>
      </c>
      <c r="Y71" s="807" t="b">
        <f t="shared" si="25"/>
        <v>0</v>
      </c>
      <c r="Z71" s="673" t="b">
        <f>IF(E71="ك",VLOOKUP(C71,TABVACT,'f-travail'!$BG$2+9,FALSE),IF(E71="ج",0))</f>
        <v>0</v>
      </c>
      <c r="AA71" s="673" t="b">
        <f>IF(E71="ك",VLOOKUP(C71,TABVACT,'f-travail'!$BG$2+10,FALSE),IF(E71="ج",ROUND((44.42)*AO71,2)))</f>
        <v>0</v>
      </c>
      <c r="AB71" s="673" t="b">
        <f>IF(E71="ك",ROUND(VLOOKUP(C71,TABVACT,'f-travail'!$BG$2+11,FALSE)*(X71+Y71),2),IF(E71="ج",ROUND(((Y71+51.92)*VLOOKUP(C71,TABVACT,'f-travail'!$BG$2+11,FALSE)*AO71),2)))</f>
        <v>0</v>
      </c>
      <c r="AC71" s="673" t="b">
        <f>IF(E71="ك",ROUND(VLOOKUP(C71,TABVACT,'f-travail'!$BG$2+12,FALSE)*(X71+Y71),2),IF(E71="ج",ROUND(((Y71+51.92)*VLOOKUP(C71,TABVACT,'f-travail'!$BG$2+12,FALSE)*AO71),2)))</f>
        <v>0</v>
      </c>
      <c r="AD71" s="673" t="b">
        <f>IF(E71="ك",ROUND(VLOOKUP(C71,TABVACT,'f-travail'!$BG$2+13,FALSE)*(X71+Y71),2),IF(E71="ج",ROUND(((Y71+51.92)*VLOOKUP(C71,TABVACT,'f-travail'!$BG$2+13,FALSE)*AO71),2)))</f>
        <v>0</v>
      </c>
      <c r="AE71" s="673" t="b">
        <f>IF(E71="ك",ROUND(VLOOKUP(C71,TABVACT,'f-travail'!$BG$2+14,FALSE)*(X71+Y71),2),IF(E71="ج",ROUND(((Y71+51.92)*VLOOKUP(C71,TABVACT,'f-travail'!$BG$2+14,FALSE)*AO71),2)))</f>
        <v>0</v>
      </c>
      <c r="AF71" s="673" t="b">
        <f>IF(E71="ك",ROUND(VLOOKUP(C71,TABVACT,'f-travail'!$BG$2+15,FALSE)*(X71+Y71),2),IF(E71="ج",ROUND(((Y71+51.92)*VLOOKUP(C71,TABVACT,'f-travail'!$BG$2+15,FALSE)*AO71),2)))</f>
        <v>0</v>
      </c>
      <c r="AG71" s="673" t="b">
        <f t="shared" si="26"/>
        <v>0</v>
      </c>
      <c r="AH71" s="673">
        <f t="shared" si="27"/>
        <v>0</v>
      </c>
      <c r="AI71" s="673">
        <f t="shared" si="28"/>
        <v>0</v>
      </c>
      <c r="AJ71" s="673">
        <f t="shared" si="29"/>
        <v>0</v>
      </c>
      <c r="AK71" s="674">
        <f t="shared" si="30"/>
        <v>0</v>
      </c>
      <c r="AL71" s="673">
        <f t="shared" si="31"/>
        <v>0</v>
      </c>
      <c r="AM71" s="673">
        <f t="shared" si="32"/>
        <v>0</v>
      </c>
      <c r="AN71" s="810" t="str">
        <f t="shared" si="33"/>
        <v>عازب(ة)</v>
      </c>
      <c r="AO71" s="817">
        <f>LOOKUP(الرئيسية!$N$8,'ورقة العمل'!$T$1:$T$13,'ورقة العمل'!$V$1:$V$13)</f>
        <v>105</v>
      </c>
    </row>
    <row r="72" spans="1:41">
      <c r="A72" s="636">
        <f t="shared" si="34"/>
        <v>71</v>
      </c>
      <c r="B72" s="637"/>
      <c r="C72" s="803"/>
      <c r="D72" s="802" t="e">
        <f>VLOOKUP(C72,TABVACT,'f-travail'!$BG$2+1,FALSE)</f>
        <v>#N/A</v>
      </c>
      <c r="E72" s="804"/>
      <c r="F72" s="804"/>
      <c r="G72" s="803"/>
      <c r="H72" s="804"/>
      <c r="I72" s="804"/>
      <c r="J72" s="803"/>
      <c r="K72" s="803"/>
      <c r="M72" s="803"/>
      <c r="N72" s="803"/>
      <c r="O72" s="670" t="e">
        <f>VLOOKUP(C72,TABVACT,'f-travail'!$BG$2+5,FALSE)</f>
        <v>#N/A</v>
      </c>
      <c r="P72" s="670" t="e">
        <f>VLOOKUP(C72,TABVACT,'f-travail'!$BG$2+6,FALSE)</f>
        <v>#N/A</v>
      </c>
      <c r="Q72" s="811" t="str">
        <f t="shared" si="20"/>
        <v/>
      </c>
      <c r="R72" s="677" t="b">
        <f t="shared" si="19"/>
        <v>0</v>
      </c>
      <c r="S72" s="678">
        <f t="shared" si="21"/>
        <v>0</v>
      </c>
      <c r="T72" s="673">
        <f t="shared" si="22"/>
        <v>0</v>
      </c>
      <c r="U72" s="678">
        <f t="shared" si="23"/>
        <v>0</v>
      </c>
      <c r="V72" s="675"/>
      <c r="W72" s="675"/>
      <c r="X72" s="678" t="b">
        <f t="shared" si="24"/>
        <v>0</v>
      </c>
      <c r="Y72" s="807" t="b">
        <f t="shared" si="25"/>
        <v>0</v>
      </c>
      <c r="Z72" s="673" t="b">
        <f>IF(E72="ك",VLOOKUP(C72,TABVACT,'f-travail'!$BG$2+9,FALSE),IF(E72="ج",0))</f>
        <v>0</v>
      </c>
      <c r="AA72" s="673" t="b">
        <f>IF(E72="ك",VLOOKUP(C72,TABVACT,'f-travail'!$BG$2+10,FALSE),IF(E72="ج",ROUND((44.42)*AO72,2)))</f>
        <v>0</v>
      </c>
      <c r="AB72" s="673" t="b">
        <f>IF(E72="ك",ROUND(VLOOKUP(C72,TABVACT,'f-travail'!$BG$2+11,FALSE)*(X72+Y72),2),IF(E72="ج",ROUND(((Y72+51.92)*VLOOKUP(C72,TABVACT,'f-travail'!$BG$2+11,FALSE)*AO72),2)))</f>
        <v>0</v>
      </c>
      <c r="AC72" s="673" t="b">
        <f>IF(E72="ك",ROUND(VLOOKUP(C72,TABVACT,'f-travail'!$BG$2+12,FALSE)*(X72+Y72),2),IF(E72="ج",ROUND(((Y72+51.92)*VLOOKUP(C72,TABVACT,'f-travail'!$BG$2+12,FALSE)*AO72),2)))</f>
        <v>0</v>
      </c>
      <c r="AD72" s="673" t="b">
        <f>IF(E72="ك",ROUND(VLOOKUP(C72,TABVACT,'f-travail'!$BG$2+13,FALSE)*(X72+Y72),2),IF(E72="ج",ROUND(((Y72+51.92)*VLOOKUP(C72,TABVACT,'f-travail'!$BG$2+13,FALSE)*AO72),2)))</f>
        <v>0</v>
      </c>
      <c r="AE72" s="673" t="b">
        <f>IF(E72="ك",ROUND(VLOOKUP(C72,TABVACT,'f-travail'!$BG$2+14,FALSE)*(X72+Y72),2),IF(E72="ج",ROUND(((Y72+51.92)*VLOOKUP(C72,TABVACT,'f-travail'!$BG$2+14,FALSE)*AO72),2)))</f>
        <v>0</v>
      </c>
      <c r="AF72" s="673" t="b">
        <f>IF(E72="ك",ROUND(VLOOKUP(C72,TABVACT,'f-travail'!$BG$2+15,FALSE)*(X72+Y72),2),IF(E72="ج",ROUND(((Y72+51.92)*VLOOKUP(C72,TABVACT,'f-travail'!$BG$2+15,FALSE)*AO72),2)))</f>
        <v>0</v>
      </c>
      <c r="AG72" s="673" t="b">
        <f t="shared" si="26"/>
        <v>0</v>
      </c>
      <c r="AH72" s="673">
        <f t="shared" si="27"/>
        <v>0</v>
      </c>
      <c r="AI72" s="673">
        <f t="shared" si="28"/>
        <v>0</v>
      </c>
      <c r="AJ72" s="673">
        <f t="shared" si="29"/>
        <v>0</v>
      </c>
      <c r="AK72" s="674">
        <f t="shared" si="30"/>
        <v>0</v>
      </c>
      <c r="AL72" s="673">
        <f t="shared" si="31"/>
        <v>0</v>
      </c>
      <c r="AM72" s="673">
        <f t="shared" si="32"/>
        <v>0</v>
      </c>
      <c r="AN72" s="810" t="str">
        <f t="shared" si="33"/>
        <v>عازب(ة)</v>
      </c>
      <c r="AO72" s="817">
        <f>LOOKUP(الرئيسية!$N$8,'ورقة العمل'!$T$1:$T$13,'ورقة العمل'!$V$1:$V$13)</f>
        <v>105</v>
      </c>
    </row>
    <row r="73" spans="1:41">
      <c r="A73" s="636">
        <f t="shared" si="34"/>
        <v>72</v>
      </c>
      <c r="B73" s="637"/>
      <c r="C73" s="803"/>
      <c r="D73" s="802" t="e">
        <f>VLOOKUP(C73,TABVACT,'f-travail'!$BG$2+1,FALSE)</f>
        <v>#N/A</v>
      </c>
      <c r="E73" s="804"/>
      <c r="F73" s="804"/>
      <c r="G73" s="803"/>
      <c r="H73" s="804"/>
      <c r="I73" s="804"/>
      <c r="J73" s="803"/>
      <c r="K73" s="803"/>
      <c r="M73" s="803"/>
      <c r="N73" s="803"/>
      <c r="O73" s="670" t="e">
        <f>VLOOKUP(C73,TABVACT,'f-travail'!$BG$2+5,FALSE)</f>
        <v>#N/A</v>
      </c>
      <c r="P73" s="670" t="e">
        <f>VLOOKUP(C73,TABVACT,'f-travail'!$BG$2+6,FALSE)</f>
        <v>#N/A</v>
      </c>
      <c r="Q73" s="811" t="str">
        <f t="shared" si="20"/>
        <v/>
      </c>
      <c r="R73" s="677" t="b">
        <f t="shared" si="19"/>
        <v>0</v>
      </c>
      <c r="S73" s="678">
        <f t="shared" si="21"/>
        <v>0</v>
      </c>
      <c r="T73" s="673">
        <f t="shared" si="22"/>
        <v>0</v>
      </c>
      <c r="U73" s="678">
        <f t="shared" si="23"/>
        <v>0</v>
      </c>
      <c r="V73" s="675"/>
      <c r="W73" s="675"/>
      <c r="X73" s="678" t="b">
        <f t="shared" si="24"/>
        <v>0</v>
      </c>
      <c r="Y73" s="807" t="b">
        <f t="shared" si="25"/>
        <v>0</v>
      </c>
      <c r="Z73" s="673" t="b">
        <f>IF(E73="ك",VLOOKUP(C73,TABVACT,'f-travail'!$BG$2+9,FALSE),IF(E73="ج",0))</f>
        <v>0</v>
      </c>
      <c r="AA73" s="673" t="b">
        <f>IF(E73="ك",VLOOKUP(C73,TABVACT,'f-travail'!$BG$2+10,FALSE),IF(E73="ج",ROUND((44.42)*AO73,2)))</f>
        <v>0</v>
      </c>
      <c r="AB73" s="673" t="b">
        <f>IF(E73="ك",ROUND(VLOOKUP(C73,TABVACT,'f-travail'!$BG$2+11,FALSE)*(X73+Y73),2),IF(E73="ج",ROUND(((Y73+51.92)*VLOOKUP(C73,TABVACT,'f-travail'!$BG$2+11,FALSE)*AO73),2)))</f>
        <v>0</v>
      </c>
      <c r="AC73" s="673" t="b">
        <f>IF(E73="ك",ROUND(VLOOKUP(C73,TABVACT,'f-travail'!$BG$2+12,FALSE)*(X73+Y73),2),IF(E73="ج",ROUND(((Y73+51.92)*VLOOKUP(C73,TABVACT,'f-travail'!$BG$2+12,FALSE)*AO73),2)))</f>
        <v>0</v>
      </c>
      <c r="AD73" s="673" t="b">
        <f>IF(E73="ك",ROUND(VLOOKUP(C73,TABVACT,'f-travail'!$BG$2+13,FALSE)*(X73+Y73),2),IF(E73="ج",ROUND(((Y73+51.92)*VLOOKUP(C73,TABVACT,'f-travail'!$BG$2+13,FALSE)*AO73),2)))</f>
        <v>0</v>
      </c>
      <c r="AE73" s="673" t="b">
        <f>IF(E73="ك",ROUND(VLOOKUP(C73,TABVACT,'f-travail'!$BG$2+14,FALSE)*(X73+Y73),2),IF(E73="ج",ROUND(((Y73+51.92)*VLOOKUP(C73,TABVACT,'f-travail'!$BG$2+14,FALSE)*AO73),2)))</f>
        <v>0</v>
      </c>
      <c r="AF73" s="673" t="b">
        <f>IF(E73="ك",ROUND(VLOOKUP(C73,TABVACT,'f-travail'!$BG$2+15,FALSE)*(X73+Y73),2),IF(E73="ج",ROUND(((Y73+51.92)*VLOOKUP(C73,TABVACT,'f-travail'!$BG$2+15,FALSE)*AO73),2)))</f>
        <v>0</v>
      </c>
      <c r="AG73" s="673" t="b">
        <f t="shared" si="26"/>
        <v>0</v>
      </c>
      <c r="AH73" s="673">
        <f t="shared" si="27"/>
        <v>0</v>
      </c>
      <c r="AI73" s="673">
        <f t="shared" si="28"/>
        <v>0</v>
      </c>
      <c r="AJ73" s="673">
        <f t="shared" si="29"/>
        <v>0</v>
      </c>
      <c r="AK73" s="674">
        <f t="shared" si="30"/>
        <v>0</v>
      </c>
      <c r="AL73" s="673">
        <f t="shared" si="31"/>
        <v>0</v>
      </c>
      <c r="AM73" s="673">
        <f t="shared" si="32"/>
        <v>0</v>
      </c>
      <c r="AN73" s="810" t="str">
        <f t="shared" si="33"/>
        <v>عازب(ة)</v>
      </c>
      <c r="AO73" s="817">
        <f>LOOKUP(الرئيسية!$N$8,'ورقة العمل'!$T$1:$T$13,'ورقة العمل'!$V$1:$V$13)</f>
        <v>105</v>
      </c>
    </row>
    <row r="74" spans="1:41">
      <c r="A74" s="636">
        <f t="shared" si="34"/>
        <v>73</v>
      </c>
      <c r="B74" s="637"/>
      <c r="C74" s="803"/>
      <c r="D74" s="802" t="e">
        <f>VLOOKUP(C74,TABVACT,'f-travail'!$BG$2+1,FALSE)</f>
        <v>#N/A</v>
      </c>
      <c r="E74" s="804"/>
      <c r="F74" s="804"/>
      <c r="G74" s="803"/>
      <c r="H74" s="804"/>
      <c r="I74" s="804"/>
      <c r="J74" s="803"/>
      <c r="K74" s="803"/>
      <c r="M74" s="803"/>
      <c r="N74" s="803"/>
      <c r="O74" s="670" t="e">
        <f>VLOOKUP(C74,TABVACT,'f-travail'!$BG$2+5,FALSE)</f>
        <v>#N/A</v>
      </c>
      <c r="P74" s="670" t="e">
        <f>VLOOKUP(C74,TABVACT,'f-travail'!$BG$2+6,FALSE)</f>
        <v>#N/A</v>
      </c>
      <c r="Q74" s="811" t="str">
        <f t="shared" si="20"/>
        <v/>
      </c>
      <c r="R74" s="677" t="b">
        <f t="shared" si="19"/>
        <v>0</v>
      </c>
      <c r="S74" s="678">
        <f t="shared" si="21"/>
        <v>0</v>
      </c>
      <c r="T74" s="673">
        <f t="shared" si="22"/>
        <v>0</v>
      </c>
      <c r="U74" s="678">
        <f t="shared" si="23"/>
        <v>0</v>
      </c>
      <c r="V74" s="675"/>
      <c r="W74" s="675"/>
      <c r="X74" s="678" t="b">
        <f t="shared" si="24"/>
        <v>0</v>
      </c>
      <c r="Y74" s="807" t="b">
        <f t="shared" si="25"/>
        <v>0</v>
      </c>
      <c r="Z74" s="673" t="b">
        <f>IF(E74="ك",VLOOKUP(C74,TABVACT,'f-travail'!$BG$2+9,FALSE),IF(E74="ج",0))</f>
        <v>0</v>
      </c>
      <c r="AA74" s="673" t="b">
        <f>IF(E74="ك",VLOOKUP(C74,TABVACT,'f-travail'!$BG$2+10,FALSE),IF(E74="ج",ROUND((44.42)*AO74,2)))</f>
        <v>0</v>
      </c>
      <c r="AB74" s="673" t="b">
        <f>IF(E74="ك",ROUND(VLOOKUP(C74,TABVACT,'f-travail'!$BG$2+11,FALSE)*(X74+Y74),2),IF(E74="ج",ROUND(((Y74+51.92)*VLOOKUP(C74,TABVACT,'f-travail'!$BG$2+11,FALSE)*AO74),2)))</f>
        <v>0</v>
      </c>
      <c r="AC74" s="673" t="b">
        <f>IF(E74="ك",ROUND(VLOOKUP(C74,TABVACT,'f-travail'!$BG$2+12,FALSE)*(X74+Y74),2),IF(E74="ج",ROUND(((Y74+51.92)*VLOOKUP(C74,TABVACT,'f-travail'!$BG$2+12,FALSE)*AO74),2)))</f>
        <v>0</v>
      </c>
      <c r="AD74" s="673" t="b">
        <f>IF(E74="ك",ROUND(VLOOKUP(C74,TABVACT,'f-travail'!$BG$2+13,FALSE)*(X74+Y74),2),IF(E74="ج",ROUND(((Y74+51.92)*VLOOKUP(C74,TABVACT,'f-travail'!$BG$2+13,FALSE)*AO74),2)))</f>
        <v>0</v>
      </c>
      <c r="AE74" s="673" t="b">
        <f>IF(E74="ك",ROUND(VLOOKUP(C74,TABVACT,'f-travail'!$BG$2+14,FALSE)*(X74+Y74),2),IF(E74="ج",ROUND(((Y74+51.92)*VLOOKUP(C74,TABVACT,'f-travail'!$BG$2+14,FALSE)*AO74),2)))</f>
        <v>0</v>
      </c>
      <c r="AF74" s="673" t="b">
        <f>IF(E74="ك",ROUND(VLOOKUP(C74,TABVACT,'f-travail'!$BG$2+15,FALSE)*(X74+Y74),2),IF(E74="ج",ROUND(((Y74+51.92)*VLOOKUP(C74,TABVACT,'f-travail'!$BG$2+15,FALSE)*AO74),2)))</f>
        <v>0</v>
      </c>
      <c r="AG74" s="673" t="b">
        <f t="shared" si="26"/>
        <v>0</v>
      </c>
      <c r="AH74" s="673">
        <f t="shared" si="27"/>
        <v>0</v>
      </c>
      <c r="AI74" s="673">
        <f t="shared" si="28"/>
        <v>0</v>
      </c>
      <c r="AJ74" s="673">
        <f t="shared" si="29"/>
        <v>0</v>
      </c>
      <c r="AK74" s="674">
        <f t="shared" si="30"/>
        <v>0</v>
      </c>
      <c r="AL74" s="673">
        <f t="shared" si="31"/>
        <v>0</v>
      </c>
      <c r="AM74" s="673">
        <f t="shared" si="32"/>
        <v>0</v>
      </c>
      <c r="AN74" s="810" t="str">
        <f t="shared" si="33"/>
        <v>عازب(ة)</v>
      </c>
      <c r="AO74" s="817">
        <f>LOOKUP(الرئيسية!$N$8,'ورقة العمل'!$T$1:$T$13,'ورقة العمل'!$V$1:$V$13)</f>
        <v>105</v>
      </c>
    </row>
    <row r="75" spans="1:41">
      <c r="A75" s="636">
        <f t="shared" si="34"/>
        <v>74</v>
      </c>
      <c r="B75" s="637"/>
      <c r="C75" s="803"/>
      <c r="D75" s="802" t="e">
        <f>VLOOKUP(C75,TABVACT,'f-travail'!$BG$2+1,FALSE)</f>
        <v>#N/A</v>
      </c>
      <c r="E75" s="804"/>
      <c r="F75" s="804"/>
      <c r="G75" s="803"/>
      <c r="H75" s="804"/>
      <c r="I75" s="804"/>
      <c r="J75" s="803"/>
      <c r="K75" s="803"/>
      <c r="M75" s="803"/>
      <c r="N75" s="803"/>
      <c r="O75" s="670" t="e">
        <f>VLOOKUP(C75,TABVACT,'f-travail'!$BG$2+5,FALSE)</f>
        <v>#N/A</v>
      </c>
      <c r="P75" s="670" t="e">
        <f>VLOOKUP(C75,TABVACT,'f-travail'!$BG$2+6,FALSE)</f>
        <v>#N/A</v>
      </c>
      <c r="Q75" s="811" t="str">
        <f t="shared" si="20"/>
        <v/>
      </c>
      <c r="R75" s="677" t="b">
        <f t="shared" si="19"/>
        <v>0</v>
      </c>
      <c r="S75" s="678">
        <f t="shared" si="21"/>
        <v>0</v>
      </c>
      <c r="T75" s="673">
        <f t="shared" si="22"/>
        <v>0</v>
      </c>
      <c r="U75" s="678">
        <f t="shared" si="23"/>
        <v>0</v>
      </c>
      <c r="V75" s="675"/>
      <c r="W75" s="675"/>
      <c r="X75" s="678" t="b">
        <f t="shared" si="24"/>
        <v>0</v>
      </c>
      <c r="Y75" s="807" t="b">
        <f t="shared" si="25"/>
        <v>0</v>
      </c>
      <c r="Z75" s="673" t="b">
        <f>IF(E75="ك",VLOOKUP(C75,TABVACT,'f-travail'!$BG$2+9,FALSE),IF(E75="ج",0))</f>
        <v>0</v>
      </c>
      <c r="AA75" s="673" t="b">
        <f>IF(E75="ك",VLOOKUP(C75,TABVACT,'f-travail'!$BG$2+10,FALSE),IF(E75="ج",ROUND((44.42)*AO75,2)))</f>
        <v>0</v>
      </c>
      <c r="AB75" s="673" t="b">
        <f>IF(E75="ك",ROUND(VLOOKUP(C75,TABVACT,'f-travail'!$BG$2+11,FALSE)*(X75+Y75),2),IF(E75="ج",ROUND(((Y75+51.92)*VLOOKUP(C75,TABVACT,'f-travail'!$BG$2+11,FALSE)*AO75),2)))</f>
        <v>0</v>
      </c>
      <c r="AC75" s="673" t="b">
        <f>IF(E75="ك",ROUND(VLOOKUP(C75,TABVACT,'f-travail'!$BG$2+12,FALSE)*(X75+Y75),2),IF(E75="ج",ROUND(((Y75+51.92)*VLOOKUP(C75,TABVACT,'f-travail'!$BG$2+12,FALSE)*AO75),2)))</f>
        <v>0</v>
      </c>
      <c r="AD75" s="673" t="b">
        <f>IF(E75="ك",ROUND(VLOOKUP(C75,TABVACT,'f-travail'!$BG$2+13,FALSE)*(X75+Y75),2),IF(E75="ج",ROUND(((Y75+51.92)*VLOOKUP(C75,TABVACT,'f-travail'!$BG$2+13,FALSE)*AO75),2)))</f>
        <v>0</v>
      </c>
      <c r="AE75" s="673" t="b">
        <f>IF(E75="ك",ROUND(VLOOKUP(C75,TABVACT,'f-travail'!$BG$2+14,FALSE)*(X75+Y75),2),IF(E75="ج",ROUND(((Y75+51.92)*VLOOKUP(C75,TABVACT,'f-travail'!$BG$2+14,FALSE)*AO75),2)))</f>
        <v>0</v>
      </c>
      <c r="AF75" s="673" t="b">
        <f>IF(E75="ك",ROUND(VLOOKUP(C75,TABVACT,'f-travail'!$BG$2+15,FALSE)*(X75+Y75),2),IF(E75="ج",ROUND(((Y75+51.92)*VLOOKUP(C75,TABVACT,'f-travail'!$BG$2+15,FALSE)*AO75),2)))</f>
        <v>0</v>
      </c>
      <c r="AG75" s="673" t="b">
        <f t="shared" si="26"/>
        <v>0</v>
      </c>
      <c r="AH75" s="673">
        <f t="shared" si="27"/>
        <v>0</v>
      </c>
      <c r="AI75" s="673">
        <f t="shared" si="28"/>
        <v>0</v>
      </c>
      <c r="AJ75" s="673">
        <f t="shared" si="29"/>
        <v>0</v>
      </c>
      <c r="AK75" s="674">
        <f t="shared" si="30"/>
        <v>0</v>
      </c>
      <c r="AL75" s="673">
        <f t="shared" si="31"/>
        <v>0</v>
      </c>
      <c r="AM75" s="673">
        <f t="shared" si="32"/>
        <v>0</v>
      </c>
      <c r="AN75" s="810" t="str">
        <f t="shared" si="33"/>
        <v>عازب(ة)</v>
      </c>
      <c r="AO75" s="817">
        <f>LOOKUP(الرئيسية!$N$8,'ورقة العمل'!$T$1:$T$13,'ورقة العمل'!$V$1:$V$13)</f>
        <v>105</v>
      </c>
    </row>
    <row r="76" spans="1:41">
      <c r="A76" s="636">
        <f t="shared" si="34"/>
        <v>75</v>
      </c>
      <c r="B76" s="637"/>
      <c r="C76" s="803"/>
      <c r="D76" s="802" t="e">
        <f>VLOOKUP(C76,TABVACT,'f-travail'!$BG$2+1,FALSE)</f>
        <v>#N/A</v>
      </c>
      <c r="E76" s="804"/>
      <c r="F76" s="804"/>
      <c r="G76" s="803"/>
      <c r="H76" s="804"/>
      <c r="I76" s="804"/>
      <c r="J76" s="803"/>
      <c r="K76" s="803"/>
      <c r="M76" s="803"/>
      <c r="N76" s="803"/>
      <c r="O76" s="670" t="e">
        <f>VLOOKUP(C76,TABVACT,'f-travail'!$BG$2+5,FALSE)</f>
        <v>#N/A</v>
      </c>
      <c r="P76" s="670" t="e">
        <f>VLOOKUP(C76,TABVACT,'f-travail'!$BG$2+6,FALSE)</f>
        <v>#N/A</v>
      </c>
      <c r="Q76" s="811" t="str">
        <f t="shared" si="20"/>
        <v/>
      </c>
      <c r="R76" s="677" t="b">
        <f t="shared" si="19"/>
        <v>0</v>
      </c>
      <c r="S76" s="678">
        <f t="shared" si="21"/>
        <v>0</v>
      </c>
      <c r="T76" s="673">
        <f t="shared" si="22"/>
        <v>0</v>
      </c>
      <c r="U76" s="678">
        <f t="shared" si="23"/>
        <v>0</v>
      </c>
      <c r="V76" s="675"/>
      <c r="W76" s="675"/>
      <c r="X76" s="678" t="b">
        <f t="shared" si="24"/>
        <v>0</v>
      </c>
      <c r="Y76" s="807" t="b">
        <f t="shared" si="25"/>
        <v>0</v>
      </c>
      <c r="Z76" s="673" t="b">
        <f>IF(E76="ك",VLOOKUP(C76,TABVACT,'f-travail'!$BG$2+9,FALSE),IF(E76="ج",0))</f>
        <v>0</v>
      </c>
      <c r="AA76" s="673" t="b">
        <f>IF(E76="ك",VLOOKUP(C76,TABVACT,'f-travail'!$BG$2+10,FALSE),IF(E76="ج",ROUND((44.42)*AO76,2)))</f>
        <v>0</v>
      </c>
      <c r="AB76" s="673" t="b">
        <f>IF(E76="ك",ROUND(VLOOKUP(C76,TABVACT,'f-travail'!$BG$2+11,FALSE)*(X76+Y76),2),IF(E76="ج",ROUND(((Y76+51.92)*VLOOKUP(C76,TABVACT,'f-travail'!$BG$2+11,FALSE)*AO76),2)))</f>
        <v>0</v>
      </c>
      <c r="AC76" s="673" t="b">
        <f>IF(E76="ك",ROUND(VLOOKUP(C76,TABVACT,'f-travail'!$BG$2+12,FALSE)*(X76+Y76),2),IF(E76="ج",ROUND(((Y76+51.92)*VLOOKUP(C76,TABVACT,'f-travail'!$BG$2+12,FALSE)*AO76),2)))</f>
        <v>0</v>
      </c>
      <c r="AD76" s="673" t="b">
        <f>IF(E76="ك",ROUND(VLOOKUP(C76,TABVACT,'f-travail'!$BG$2+13,FALSE)*(X76+Y76),2),IF(E76="ج",ROUND(((Y76+51.92)*VLOOKUP(C76,TABVACT,'f-travail'!$BG$2+13,FALSE)*AO76),2)))</f>
        <v>0</v>
      </c>
      <c r="AE76" s="673" t="b">
        <f>IF(E76="ك",ROUND(VLOOKUP(C76,TABVACT,'f-travail'!$BG$2+14,FALSE)*(X76+Y76),2),IF(E76="ج",ROUND(((Y76+51.92)*VLOOKUP(C76,TABVACT,'f-travail'!$BG$2+14,FALSE)*AO76),2)))</f>
        <v>0</v>
      </c>
      <c r="AF76" s="673" t="b">
        <f>IF(E76="ك",ROUND(VLOOKUP(C76,TABVACT,'f-travail'!$BG$2+15,FALSE)*(X76+Y76),2),IF(E76="ج",ROUND(((Y76+51.92)*VLOOKUP(C76,TABVACT,'f-travail'!$BG$2+15,FALSE)*AO76),2)))</f>
        <v>0</v>
      </c>
      <c r="AG76" s="673" t="b">
        <f t="shared" si="26"/>
        <v>0</v>
      </c>
      <c r="AH76" s="673">
        <f t="shared" si="27"/>
        <v>0</v>
      </c>
      <c r="AI76" s="673">
        <f t="shared" si="28"/>
        <v>0</v>
      </c>
      <c r="AJ76" s="673">
        <f t="shared" si="29"/>
        <v>0</v>
      </c>
      <c r="AK76" s="674">
        <f t="shared" si="30"/>
        <v>0</v>
      </c>
      <c r="AL76" s="673">
        <f t="shared" si="31"/>
        <v>0</v>
      </c>
      <c r="AM76" s="673">
        <f t="shared" si="32"/>
        <v>0</v>
      </c>
      <c r="AN76" s="810" t="str">
        <f t="shared" si="33"/>
        <v>عازب(ة)</v>
      </c>
      <c r="AO76" s="817">
        <f>LOOKUP(الرئيسية!$N$8,'ورقة العمل'!$T$1:$T$13,'ورقة العمل'!$V$1:$V$13)</f>
        <v>105</v>
      </c>
    </row>
    <row r="77" spans="1:41">
      <c r="A77" s="636">
        <f t="shared" si="34"/>
        <v>76</v>
      </c>
      <c r="B77" s="637"/>
      <c r="C77" s="803"/>
      <c r="D77" s="802" t="e">
        <f>VLOOKUP(C77,TABVACT,'f-travail'!$BG$2+1,FALSE)</f>
        <v>#N/A</v>
      </c>
      <c r="E77" s="804"/>
      <c r="F77" s="804"/>
      <c r="G77" s="803"/>
      <c r="H77" s="804"/>
      <c r="I77" s="804"/>
      <c r="J77" s="803"/>
      <c r="K77" s="803"/>
      <c r="M77" s="803"/>
      <c r="N77" s="803"/>
      <c r="O77" s="670" t="e">
        <f>VLOOKUP(C77,TABVACT,'f-travail'!$BG$2+5,FALSE)</f>
        <v>#N/A</v>
      </c>
      <c r="P77" s="670" t="e">
        <f>VLOOKUP(C77,TABVACT,'f-travail'!$BG$2+6,FALSE)</f>
        <v>#N/A</v>
      </c>
      <c r="Q77" s="811" t="str">
        <f t="shared" si="20"/>
        <v/>
      </c>
      <c r="R77" s="677" t="b">
        <f t="shared" si="19"/>
        <v>0</v>
      </c>
      <c r="S77" s="678">
        <f t="shared" si="21"/>
        <v>0</v>
      </c>
      <c r="T77" s="673">
        <f t="shared" si="22"/>
        <v>0</v>
      </c>
      <c r="U77" s="678">
        <f t="shared" si="23"/>
        <v>0</v>
      </c>
      <c r="V77" s="675"/>
      <c r="W77" s="675"/>
      <c r="X77" s="678" t="b">
        <f t="shared" si="24"/>
        <v>0</v>
      </c>
      <c r="Y77" s="807" t="b">
        <f t="shared" si="25"/>
        <v>0</v>
      </c>
      <c r="Z77" s="673" t="b">
        <f>IF(E77="ك",VLOOKUP(C77,TABVACT,'f-travail'!$BG$2+9,FALSE),IF(E77="ج",0))</f>
        <v>0</v>
      </c>
      <c r="AA77" s="673" t="b">
        <f>IF(E77="ك",VLOOKUP(C77,TABVACT,'f-travail'!$BG$2+10,FALSE),IF(E77="ج",ROUND((44.42)*AO77,2)))</f>
        <v>0</v>
      </c>
      <c r="AB77" s="673" t="b">
        <f>IF(E77="ك",ROUND(VLOOKUP(C77,TABVACT,'f-travail'!$BG$2+11,FALSE)*(X77+Y77),2),IF(E77="ج",ROUND(((Y77+51.92)*VLOOKUP(C77,TABVACT,'f-travail'!$BG$2+11,FALSE)*AO77),2)))</f>
        <v>0</v>
      </c>
      <c r="AC77" s="673" t="b">
        <f>IF(E77="ك",ROUND(VLOOKUP(C77,TABVACT,'f-travail'!$BG$2+12,FALSE)*(X77+Y77),2),IF(E77="ج",ROUND(((Y77+51.92)*VLOOKUP(C77,TABVACT,'f-travail'!$BG$2+12,FALSE)*AO77),2)))</f>
        <v>0</v>
      </c>
      <c r="AD77" s="673" t="b">
        <f>IF(E77="ك",ROUND(VLOOKUP(C77,TABVACT,'f-travail'!$BG$2+13,FALSE)*(X77+Y77),2),IF(E77="ج",ROUND(((Y77+51.92)*VLOOKUP(C77,TABVACT,'f-travail'!$BG$2+13,FALSE)*AO77),2)))</f>
        <v>0</v>
      </c>
      <c r="AE77" s="673" t="b">
        <f>IF(E77="ك",ROUND(VLOOKUP(C77,TABVACT,'f-travail'!$BG$2+14,FALSE)*(X77+Y77),2),IF(E77="ج",ROUND(((Y77+51.92)*VLOOKUP(C77,TABVACT,'f-travail'!$BG$2+14,FALSE)*AO77),2)))</f>
        <v>0</v>
      </c>
      <c r="AF77" s="673" t="b">
        <f>IF(E77="ك",ROUND(VLOOKUP(C77,TABVACT,'f-travail'!$BG$2+15,FALSE)*(X77+Y77),2),IF(E77="ج",ROUND(((Y77+51.92)*VLOOKUP(C77,TABVACT,'f-travail'!$BG$2+15,FALSE)*AO77),2)))</f>
        <v>0</v>
      </c>
      <c r="AG77" s="673" t="b">
        <f t="shared" si="26"/>
        <v>0</v>
      </c>
      <c r="AH77" s="673">
        <f t="shared" si="27"/>
        <v>0</v>
      </c>
      <c r="AI77" s="673">
        <f t="shared" si="28"/>
        <v>0</v>
      </c>
      <c r="AJ77" s="673">
        <f t="shared" si="29"/>
        <v>0</v>
      </c>
      <c r="AK77" s="674">
        <f t="shared" si="30"/>
        <v>0</v>
      </c>
      <c r="AL77" s="673">
        <f t="shared" si="31"/>
        <v>0</v>
      </c>
      <c r="AM77" s="673">
        <f t="shared" si="32"/>
        <v>0</v>
      </c>
      <c r="AN77" s="810" t="str">
        <f t="shared" si="33"/>
        <v>عازب(ة)</v>
      </c>
      <c r="AO77" s="817">
        <f>LOOKUP(الرئيسية!$N$8,'ورقة العمل'!$T$1:$T$13,'ورقة العمل'!$V$1:$V$13)</f>
        <v>105</v>
      </c>
    </row>
    <row r="78" spans="1:41">
      <c r="A78" s="636">
        <f t="shared" si="34"/>
        <v>77</v>
      </c>
      <c r="B78" s="637"/>
      <c r="C78" s="803"/>
      <c r="D78" s="802" t="e">
        <f>VLOOKUP(C78,TABVACT,'f-travail'!$BG$2+1,FALSE)</f>
        <v>#N/A</v>
      </c>
      <c r="E78" s="804"/>
      <c r="F78" s="804"/>
      <c r="G78" s="803"/>
      <c r="H78" s="804"/>
      <c r="I78" s="804"/>
      <c r="J78" s="803"/>
      <c r="K78" s="803"/>
      <c r="M78" s="803"/>
      <c r="N78" s="803"/>
      <c r="O78" s="670" t="e">
        <f>VLOOKUP(C78,TABVACT,'f-travail'!$BG$2+5,FALSE)</f>
        <v>#N/A</v>
      </c>
      <c r="P78" s="670" t="e">
        <f>VLOOKUP(C78,TABVACT,'f-travail'!$BG$2+6,FALSE)</f>
        <v>#N/A</v>
      </c>
      <c r="Q78" s="811" t="str">
        <f t="shared" si="20"/>
        <v/>
      </c>
      <c r="R78" s="677" t="b">
        <f t="shared" si="19"/>
        <v>0</v>
      </c>
      <c r="S78" s="678">
        <f t="shared" si="21"/>
        <v>0</v>
      </c>
      <c r="T78" s="673">
        <f t="shared" si="22"/>
        <v>0</v>
      </c>
      <c r="U78" s="678">
        <f t="shared" si="23"/>
        <v>0</v>
      </c>
      <c r="V78" s="675"/>
      <c r="W78" s="675"/>
      <c r="X78" s="678" t="b">
        <f t="shared" si="24"/>
        <v>0</v>
      </c>
      <c r="Y78" s="807" t="b">
        <f t="shared" si="25"/>
        <v>0</v>
      </c>
      <c r="Z78" s="673" t="b">
        <f>IF(E78="ك",VLOOKUP(C78,TABVACT,'f-travail'!$BG$2+9,FALSE),IF(E78="ج",0))</f>
        <v>0</v>
      </c>
      <c r="AA78" s="673" t="b">
        <f>IF(E78="ك",VLOOKUP(C78,TABVACT,'f-travail'!$BG$2+10,FALSE),IF(E78="ج",ROUND((44.42)*AO78,2)))</f>
        <v>0</v>
      </c>
      <c r="AB78" s="673" t="b">
        <f>IF(E78="ك",ROUND(VLOOKUP(C78,TABVACT,'f-travail'!$BG$2+11,FALSE)*(X78+Y78),2),IF(E78="ج",ROUND(((Y78+51.92)*VLOOKUP(C78,TABVACT,'f-travail'!$BG$2+11,FALSE)*AO78),2)))</f>
        <v>0</v>
      </c>
      <c r="AC78" s="673" t="b">
        <f>IF(E78="ك",ROUND(VLOOKUP(C78,TABVACT,'f-travail'!$BG$2+12,FALSE)*(X78+Y78),2),IF(E78="ج",ROUND(((Y78+51.92)*VLOOKUP(C78,TABVACT,'f-travail'!$BG$2+12,FALSE)*AO78),2)))</f>
        <v>0</v>
      </c>
      <c r="AD78" s="673" t="b">
        <f>IF(E78="ك",ROUND(VLOOKUP(C78,TABVACT,'f-travail'!$BG$2+13,FALSE)*(X78+Y78),2),IF(E78="ج",ROUND(((Y78+51.92)*VLOOKUP(C78,TABVACT,'f-travail'!$BG$2+13,FALSE)*AO78),2)))</f>
        <v>0</v>
      </c>
      <c r="AE78" s="673" t="b">
        <f>IF(E78="ك",ROUND(VLOOKUP(C78,TABVACT,'f-travail'!$BG$2+14,FALSE)*(X78+Y78),2),IF(E78="ج",ROUND(((Y78+51.92)*VLOOKUP(C78,TABVACT,'f-travail'!$BG$2+14,FALSE)*AO78),2)))</f>
        <v>0</v>
      </c>
      <c r="AF78" s="673" t="b">
        <f>IF(E78="ك",ROUND(VLOOKUP(C78,TABVACT,'f-travail'!$BG$2+15,FALSE)*(X78+Y78),2),IF(E78="ج",ROUND(((Y78+51.92)*VLOOKUP(C78,TABVACT,'f-travail'!$BG$2+15,FALSE)*AO78),2)))</f>
        <v>0</v>
      </c>
      <c r="AG78" s="673" t="b">
        <f t="shared" si="26"/>
        <v>0</v>
      </c>
      <c r="AH78" s="673">
        <f t="shared" si="27"/>
        <v>0</v>
      </c>
      <c r="AI78" s="673">
        <f t="shared" si="28"/>
        <v>0</v>
      </c>
      <c r="AJ78" s="673">
        <f t="shared" si="29"/>
        <v>0</v>
      </c>
      <c r="AK78" s="674">
        <f t="shared" si="30"/>
        <v>0</v>
      </c>
      <c r="AL78" s="673">
        <f t="shared" si="31"/>
        <v>0</v>
      </c>
      <c r="AM78" s="673">
        <f t="shared" si="32"/>
        <v>0</v>
      </c>
      <c r="AN78" s="810" t="str">
        <f t="shared" si="33"/>
        <v>عازب(ة)</v>
      </c>
      <c r="AO78" s="817">
        <f>LOOKUP(الرئيسية!$N$8,'ورقة العمل'!$T$1:$T$13,'ورقة العمل'!$V$1:$V$13)</f>
        <v>105</v>
      </c>
    </row>
    <row r="79" spans="1:41">
      <c r="A79" s="636">
        <f t="shared" si="34"/>
        <v>78</v>
      </c>
      <c r="B79" s="637"/>
      <c r="C79" s="803"/>
      <c r="D79" s="802" t="e">
        <f>VLOOKUP(C79,TABVACT,'f-travail'!$BG$2+1,FALSE)</f>
        <v>#N/A</v>
      </c>
      <c r="E79" s="804"/>
      <c r="F79" s="804"/>
      <c r="G79" s="803"/>
      <c r="H79" s="804"/>
      <c r="I79" s="804"/>
      <c r="J79" s="803"/>
      <c r="K79" s="803"/>
      <c r="M79" s="803"/>
      <c r="N79" s="803"/>
      <c r="O79" s="670" t="e">
        <f>VLOOKUP(C79,TABVACT,'f-travail'!$BG$2+5,FALSE)</f>
        <v>#N/A</v>
      </c>
      <c r="P79" s="670" t="e">
        <f>VLOOKUP(C79,TABVACT,'f-travail'!$BG$2+6,FALSE)</f>
        <v>#N/A</v>
      </c>
      <c r="Q79" s="811" t="str">
        <f t="shared" si="20"/>
        <v/>
      </c>
      <c r="R79" s="677" t="b">
        <f t="shared" si="19"/>
        <v>0</v>
      </c>
      <c r="S79" s="678">
        <f t="shared" si="21"/>
        <v>0</v>
      </c>
      <c r="T79" s="673">
        <f t="shared" si="22"/>
        <v>0</v>
      </c>
      <c r="U79" s="678">
        <f t="shared" si="23"/>
        <v>0</v>
      </c>
      <c r="V79" s="675"/>
      <c r="W79" s="675"/>
      <c r="X79" s="678" t="b">
        <f t="shared" si="24"/>
        <v>0</v>
      </c>
      <c r="Y79" s="807" t="b">
        <f t="shared" si="25"/>
        <v>0</v>
      </c>
      <c r="Z79" s="673" t="b">
        <f>IF(E79="ك",VLOOKUP(C79,TABVACT,'f-travail'!$BG$2+9,FALSE),IF(E79="ج",0))</f>
        <v>0</v>
      </c>
      <c r="AA79" s="673" t="b">
        <f>IF(E79="ك",VLOOKUP(C79,TABVACT,'f-travail'!$BG$2+10,FALSE),IF(E79="ج",ROUND((44.42)*AO79,2)))</f>
        <v>0</v>
      </c>
      <c r="AB79" s="673" t="b">
        <f>IF(E79="ك",ROUND(VLOOKUP(C79,TABVACT,'f-travail'!$BG$2+11,FALSE)*(X79+Y79),2),IF(E79="ج",ROUND(((Y79+51.92)*VLOOKUP(C79,TABVACT,'f-travail'!$BG$2+11,FALSE)*AO79),2)))</f>
        <v>0</v>
      </c>
      <c r="AC79" s="673" t="b">
        <f>IF(E79="ك",ROUND(VLOOKUP(C79,TABVACT,'f-travail'!$BG$2+12,FALSE)*(X79+Y79),2),IF(E79="ج",ROUND(((Y79+51.92)*VLOOKUP(C79,TABVACT,'f-travail'!$BG$2+12,FALSE)*AO79),2)))</f>
        <v>0</v>
      </c>
      <c r="AD79" s="673" t="b">
        <f>IF(E79="ك",ROUND(VLOOKUP(C79,TABVACT,'f-travail'!$BG$2+13,FALSE)*(X79+Y79),2),IF(E79="ج",ROUND(((Y79+51.92)*VLOOKUP(C79,TABVACT,'f-travail'!$BG$2+13,FALSE)*AO79),2)))</f>
        <v>0</v>
      </c>
      <c r="AE79" s="673" t="b">
        <f>IF(E79="ك",ROUND(VLOOKUP(C79,TABVACT,'f-travail'!$BG$2+14,FALSE)*(X79+Y79),2),IF(E79="ج",ROUND(((Y79+51.92)*VLOOKUP(C79,TABVACT,'f-travail'!$BG$2+14,FALSE)*AO79),2)))</f>
        <v>0</v>
      </c>
      <c r="AF79" s="673" t="b">
        <f>IF(E79="ك",ROUND(VLOOKUP(C79,TABVACT,'f-travail'!$BG$2+15,FALSE)*(X79+Y79),2),IF(E79="ج",ROUND(((Y79+51.92)*VLOOKUP(C79,TABVACT,'f-travail'!$BG$2+15,FALSE)*AO79),2)))</f>
        <v>0</v>
      </c>
      <c r="AG79" s="673" t="b">
        <f t="shared" si="26"/>
        <v>0</v>
      </c>
      <c r="AH79" s="673">
        <f t="shared" si="27"/>
        <v>0</v>
      </c>
      <c r="AI79" s="673">
        <f t="shared" si="28"/>
        <v>0</v>
      </c>
      <c r="AJ79" s="673">
        <f t="shared" si="29"/>
        <v>0</v>
      </c>
      <c r="AK79" s="674">
        <f t="shared" si="30"/>
        <v>0</v>
      </c>
      <c r="AL79" s="673">
        <f t="shared" si="31"/>
        <v>0</v>
      </c>
      <c r="AM79" s="673">
        <f t="shared" si="32"/>
        <v>0</v>
      </c>
      <c r="AN79" s="810" t="str">
        <f t="shared" si="33"/>
        <v>عازب(ة)</v>
      </c>
      <c r="AO79" s="817">
        <f>LOOKUP(الرئيسية!$N$8,'ورقة العمل'!$T$1:$T$13,'ورقة العمل'!$V$1:$V$13)</f>
        <v>105</v>
      </c>
    </row>
    <row r="80" spans="1:41">
      <c r="A80" s="636">
        <f t="shared" si="34"/>
        <v>79</v>
      </c>
      <c r="B80" s="637"/>
      <c r="C80" s="803"/>
      <c r="D80" s="802" t="e">
        <f>VLOOKUP(C80,TABVACT,'f-travail'!$BG$2+1,FALSE)</f>
        <v>#N/A</v>
      </c>
      <c r="E80" s="804"/>
      <c r="F80" s="804"/>
      <c r="G80" s="803"/>
      <c r="H80" s="804"/>
      <c r="I80" s="804"/>
      <c r="J80" s="803"/>
      <c r="K80" s="803"/>
      <c r="M80" s="803"/>
      <c r="N80" s="803"/>
      <c r="O80" s="670" t="e">
        <f>VLOOKUP(C80,TABVACT,'f-travail'!$BG$2+5,FALSE)</f>
        <v>#N/A</v>
      </c>
      <c r="P80" s="670" t="e">
        <f>VLOOKUP(C80,TABVACT,'f-travail'!$BG$2+6,FALSE)</f>
        <v>#N/A</v>
      </c>
      <c r="Q80" s="811" t="str">
        <f t="shared" si="20"/>
        <v/>
      </c>
      <c r="R80" s="677" t="b">
        <f t="shared" si="19"/>
        <v>0</v>
      </c>
      <c r="S80" s="678">
        <f t="shared" si="21"/>
        <v>0</v>
      </c>
      <c r="T80" s="673">
        <f t="shared" si="22"/>
        <v>0</v>
      </c>
      <c r="U80" s="678">
        <f t="shared" si="23"/>
        <v>0</v>
      </c>
      <c r="V80" s="675"/>
      <c r="W80" s="675"/>
      <c r="X80" s="678" t="b">
        <f t="shared" si="24"/>
        <v>0</v>
      </c>
      <c r="Y80" s="807" t="b">
        <f t="shared" si="25"/>
        <v>0</v>
      </c>
      <c r="Z80" s="673" t="b">
        <f>IF(E80="ك",VLOOKUP(C80,TABVACT,'f-travail'!$BG$2+9,FALSE),IF(E80="ج",0))</f>
        <v>0</v>
      </c>
      <c r="AA80" s="673" t="b">
        <f>IF(E80="ك",VLOOKUP(C80,TABVACT,'f-travail'!$BG$2+10,FALSE),IF(E80="ج",ROUND((44.42)*AO80,2)))</f>
        <v>0</v>
      </c>
      <c r="AB80" s="673" t="b">
        <f>IF(E80="ك",ROUND(VLOOKUP(C80,TABVACT,'f-travail'!$BG$2+11,FALSE)*(X80+Y80),2),IF(E80="ج",ROUND(((Y80+51.92)*VLOOKUP(C80,TABVACT,'f-travail'!$BG$2+11,FALSE)*AO80),2)))</f>
        <v>0</v>
      </c>
      <c r="AC80" s="673" t="b">
        <f>IF(E80="ك",ROUND(VLOOKUP(C80,TABVACT,'f-travail'!$BG$2+12,FALSE)*(X80+Y80),2),IF(E80="ج",ROUND(((Y80+51.92)*VLOOKUP(C80,TABVACT,'f-travail'!$BG$2+12,FALSE)*AO80),2)))</f>
        <v>0</v>
      </c>
      <c r="AD80" s="673" t="b">
        <f>IF(E80="ك",ROUND(VLOOKUP(C80,TABVACT,'f-travail'!$BG$2+13,FALSE)*(X80+Y80),2),IF(E80="ج",ROUND(((Y80+51.92)*VLOOKUP(C80,TABVACT,'f-travail'!$BG$2+13,FALSE)*AO80),2)))</f>
        <v>0</v>
      </c>
      <c r="AE80" s="673" t="b">
        <f>IF(E80="ك",ROUND(VLOOKUP(C80,TABVACT,'f-travail'!$BG$2+14,FALSE)*(X80+Y80),2),IF(E80="ج",ROUND(((Y80+51.92)*VLOOKUP(C80,TABVACT,'f-travail'!$BG$2+14,FALSE)*AO80),2)))</f>
        <v>0</v>
      </c>
      <c r="AF80" s="673" t="b">
        <f>IF(E80="ك",ROUND(VLOOKUP(C80,TABVACT,'f-travail'!$BG$2+15,FALSE)*(X80+Y80),2),IF(E80="ج",ROUND(((Y80+51.92)*VLOOKUP(C80,TABVACT,'f-travail'!$BG$2+15,FALSE)*AO80),2)))</f>
        <v>0</v>
      </c>
      <c r="AG80" s="673" t="b">
        <f t="shared" si="26"/>
        <v>0</v>
      </c>
      <c r="AH80" s="673">
        <f t="shared" si="27"/>
        <v>0</v>
      </c>
      <c r="AI80" s="673">
        <f t="shared" si="28"/>
        <v>0</v>
      </c>
      <c r="AJ80" s="673">
        <f t="shared" si="29"/>
        <v>0</v>
      </c>
      <c r="AK80" s="674">
        <f t="shared" si="30"/>
        <v>0</v>
      </c>
      <c r="AL80" s="673">
        <f t="shared" si="31"/>
        <v>0</v>
      </c>
      <c r="AM80" s="673">
        <f t="shared" si="32"/>
        <v>0</v>
      </c>
      <c r="AN80" s="810" t="str">
        <f t="shared" si="33"/>
        <v>عازب(ة)</v>
      </c>
      <c r="AO80" s="817">
        <f>LOOKUP(الرئيسية!$N$8,'ورقة العمل'!$T$1:$T$13,'ورقة العمل'!$V$1:$V$13)</f>
        <v>105</v>
      </c>
    </row>
    <row r="81" spans="1:41">
      <c r="A81" s="636">
        <f t="shared" si="34"/>
        <v>80</v>
      </c>
      <c r="B81" s="637"/>
      <c r="C81" s="803"/>
      <c r="D81" s="802" t="e">
        <f>VLOOKUP(C81,TABVACT,'f-travail'!$BG$2+1,FALSE)</f>
        <v>#N/A</v>
      </c>
      <c r="E81" s="804"/>
      <c r="F81" s="804"/>
      <c r="G81" s="803"/>
      <c r="H81" s="804"/>
      <c r="I81" s="804"/>
      <c r="J81" s="803"/>
      <c r="K81" s="803"/>
      <c r="M81" s="803"/>
      <c r="N81" s="803"/>
      <c r="O81" s="670" t="e">
        <f>VLOOKUP(C81,TABVACT,'f-travail'!$BG$2+5,FALSE)</f>
        <v>#N/A</v>
      </c>
      <c r="P81" s="670" t="e">
        <f>VLOOKUP(C81,TABVACT,'f-travail'!$BG$2+6,FALSE)</f>
        <v>#N/A</v>
      </c>
      <c r="Q81" s="811" t="str">
        <f t="shared" si="20"/>
        <v/>
      </c>
      <c r="R81" s="677" t="b">
        <f t="shared" si="19"/>
        <v>0</v>
      </c>
      <c r="S81" s="678">
        <f t="shared" si="21"/>
        <v>0</v>
      </c>
      <c r="T81" s="673">
        <f t="shared" si="22"/>
        <v>0</v>
      </c>
      <c r="U81" s="678">
        <f t="shared" si="23"/>
        <v>0</v>
      </c>
      <c r="V81" s="675"/>
      <c r="W81" s="675"/>
      <c r="X81" s="678" t="b">
        <f t="shared" si="24"/>
        <v>0</v>
      </c>
      <c r="Y81" s="807" t="b">
        <f t="shared" si="25"/>
        <v>0</v>
      </c>
      <c r="Z81" s="673" t="b">
        <f>IF(E81="ك",VLOOKUP(C81,TABVACT,'f-travail'!$BG$2+9,FALSE),IF(E81="ج",0))</f>
        <v>0</v>
      </c>
      <c r="AA81" s="673" t="b">
        <f>IF(E81="ك",VLOOKUP(C81,TABVACT,'f-travail'!$BG$2+10,FALSE),IF(E81="ج",ROUND((44.42)*AO81,2)))</f>
        <v>0</v>
      </c>
      <c r="AB81" s="673" t="b">
        <f>IF(E81="ك",ROUND(VLOOKUP(C81,TABVACT,'f-travail'!$BG$2+11,FALSE)*(X81+Y81),2),IF(E81="ج",ROUND(((Y81+51.92)*VLOOKUP(C81,TABVACT,'f-travail'!$BG$2+11,FALSE)*AO81),2)))</f>
        <v>0</v>
      </c>
      <c r="AC81" s="673" t="b">
        <f>IF(E81="ك",ROUND(VLOOKUP(C81,TABVACT,'f-travail'!$BG$2+12,FALSE)*(X81+Y81),2),IF(E81="ج",ROUND(((Y81+51.92)*VLOOKUP(C81,TABVACT,'f-travail'!$BG$2+12,FALSE)*AO81),2)))</f>
        <v>0</v>
      </c>
      <c r="AD81" s="673" t="b">
        <f>IF(E81="ك",ROUND(VLOOKUP(C81,TABVACT,'f-travail'!$BG$2+13,FALSE)*(X81+Y81),2),IF(E81="ج",ROUND(((Y81+51.92)*VLOOKUP(C81,TABVACT,'f-travail'!$BG$2+13,FALSE)*AO81),2)))</f>
        <v>0</v>
      </c>
      <c r="AE81" s="673" t="b">
        <f>IF(E81="ك",ROUND(VLOOKUP(C81,TABVACT,'f-travail'!$BG$2+14,FALSE)*(X81+Y81),2),IF(E81="ج",ROUND(((Y81+51.92)*VLOOKUP(C81,TABVACT,'f-travail'!$BG$2+14,FALSE)*AO81),2)))</f>
        <v>0</v>
      </c>
      <c r="AF81" s="673" t="b">
        <f>IF(E81="ك",ROUND(VLOOKUP(C81,TABVACT,'f-travail'!$BG$2+15,FALSE)*(X81+Y81),2),IF(E81="ج",ROUND(((Y81+51.92)*VLOOKUP(C81,TABVACT,'f-travail'!$BG$2+15,FALSE)*AO81),2)))</f>
        <v>0</v>
      </c>
      <c r="AG81" s="673" t="b">
        <f t="shared" si="26"/>
        <v>0</v>
      </c>
      <c r="AH81" s="673">
        <f t="shared" si="27"/>
        <v>0</v>
      </c>
      <c r="AI81" s="673">
        <f t="shared" si="28"/>
        <v>0</v>
      </c>
      <c r="AJ81" s="673">
        <f t="shared" si="29"/>
        <v>0</v>
      </c>
      <c r="AK81" s="674">
        <f t="shared" si="30"/>
        <v>0</v>
      </c>
      <c r="AL81" s="673">
        <f t="shared" si="31"/>
        <v>0</v>
      </c>
      <c r="AM81" s="673">
        <f t="shared" si="32"/>
        <v>0</v>
      </c>
      <c r="AN81" s="810" t="str">
        <f t="shared" si="33"/>
        <v>عازب(ة)</v>
      </c>
      <c r="AO81" s="817">
        <f>LOOKUP(الرئيسية!$N$8,'ورقة العمل'!$T$1:$T$13,'ورقة العمل'!$V$1:$V$13)</f>
        <v>105</v>
      </c>
    </row>
    <row r="82" spans="1:41">
      <c r="A82" s="636">
        <f t="shared" si="34"/>
        <v>81</v>
      </c>
      <c r="B82" s="637"/>
      <c r="C82" s="803"/>
      <c r="D82" s="802" t="e">
        <f>VLOOKUP(C82,TABVACT,'f-travail'!$BG$2+1,FALSE)</f>
        <v>#N/A</v>
      </c>
      <c r="E82" s="804"/>
      <c r="F82" s="804"/>
      <c r="G82" s="803"/>
      <c r="H82" s="804"/>
      <c r="I82" s="804"/>
      <c r="J82" s="803"/>
      <c r="K82" s="803"/>
      <c r="M82" s="803"/>
      <c r="N82" s="803"/>
      <c r="O82" s="670" t="e">
        <f>VLOOKUP(C82,TABVACT,'f-travail'!$BG$2+5,FALSE)</f>
        <v>#N/A</v>
      </c>
      <c r="P82" s="670" t="e">
        <f>VLOOKUP(C82,TABVACT,'f-travail'!$BG$2+6,FALSE)</f>
        <v>#N/A</v>
      </c>
      <c r="Q82" s="811" t="str">
        <f t="shared" si="20"/>
        <v/>
      </c>
      <c r="R82" s="677" t="b">
        <f t="shared" si="19"/>
        <v>0</v>
      </c>
      <c r="S82" s="678">
        <f t="shared" si="21"/>
        <v>0</v>
      </c>
      <c r="T82" s="673">
        <f t="shared" si="22"/>
        <v>0</v>
      </c>
      <c r="U82" s="678">
        <f t="shared" si="23"/>
        <v>0</v>
      </c>
      <c r="V82" s="675"/>
      <c r="W82" s="675"/>
      <c r="X82" s="678" t="b">
        <f t="shared" si="24"/>
        <v>0</v>
      </c>
      <c r="Y82" s="807" t="b">
        <f t="shared" si="25"/>
        <v>0</v>
      </c>
      <c r="Z82" s="673" t="b">
        <f>IF(E82="ك",VLOOKUP(C82,TABVACT,'f-travail'!$BG$2+9,FALSE),IF(E82="ج",0))</f>
        <v>0</v>
      </c>
      <c r="AA82" s="673" t="b">
        <f>IF(E82="ك",VLOOKUP(C82,TABVACT,'f-travail'!$BG$2+10,FALSE),IF(E82="ج",ROUND((44.42)*AO82,2)))</f>
        <v>0</v>
      </c>
      <c r="AB82" s="673" t="b">
        <f>IF(E82="ك",ROUND(VLOOKUP(C82,TABVACT,'f-travail'!$BG$2+11,FALSE)*(X82+Y82),2),IF(E82="ج",ROUND(((Y82+51.92)*VLOOKUP(C82,TABVACT,'f-travail'!$BG$2+11,FALSE)*AO82),2)))</f>
        <v>0</v>
      </c>
      <c r="AC82" s="673" t="b">
        <f>IF(E82="ك",ROUND(VLOOKUP(C82,TABVACT,'f-travail'!$BG$2+12,FALSE)*(X82+Y82),2),IF(E82="ج",ROUND(((Y82+51.92)*VLOOKUP(C82,TABVACT,'f-travail'!$BG$2+12,FALSE)*AO82),2)))</f>
        <v>0</v>
      </c>
      <c r="AD82" s="673" t="b">
        <f>IF(E82="ك",ROUND(VLOOKUP(C82,TABVACT,'f-travail'!$BG$2+13,FALSE)*(X82+Y82),2),IF(E82="ج",ROUND(((Y82+51.92)*VLOOKUP(C82,TABVACT,'f-travail'!$BG$2+13,FALSE)*AO82),2)))</f>
        <v>0</v>
      </c>
      <c r="AE82" s="673" t="b">
        <f>IF(E82="ك",ROUND(VLOOKUP(C82,TABVACT,'f-travail'!$BG$2+14,FALSE)*(X82+Y82),2),IF(E82="ج",ROUND(((Y82+51.92)*VLOOKUP(C82,TABVACT,'f-travail'!$BG$2+14,FALSE)*AO82),2)))</f>
        <v>0</v>
      </c>
      <c r="AF82" s="673" t="b">
        <f>IF(E82="ك",ROUND(VLOOKUP(C82,TABVACT,'f-travail'!$BG$2+15,FALSE)*(X82+Y82),2),IF(E82="ج",ROUND(((Y82+51.92)*VLOOKUP(C82,TABVACT,'f-travail'!$BG$2+15,FALSE)*AO82),2)))</f>
        <v>0</v>
      </c>
      <c r="AG82" s="673" t="b">
        <f t="shared" si="26"/>
        <v>0</v>
      </c>
      <c r="AH82" s="673">
        <f t="shared" si="27"/>
        <v>0</v>
      </c>
      <c r="AI82" s="673">
        <f t="shared" si="28"/>
        <v>0</v>
      </c>
      <c r="AJ82" s="673">
        <f t="shared" si="29"/>
        <v>0</v>
      </c>
      <c r="AK82" s="674">
        <f t="shared" si="30"/>
        <v>0</v>
      </c>
      <c r="AL82" s="673">
        <f t="shared" si="31"/>
        <v>0</v>
      </c>
      <c r="AM82" s="673">
        <f t="shared" si="32"/>
        <v>0</v>
      </c>
      <c r="AN82" s="810" t="str">
        <f t="shared" si="33"/>
        <v>عازب(ة)</v>
      </c>
      <c r="AO82" s="817">
        <f>LOOKUP(الرئيسية!$N$8,'ورقة العمل'!$T$1:$T$13,'ورقة العمل'!$V$1:$V$13)</f>
        <v>105</v>
      </c>
    </row>
    <row r="83" spans="1:41">
      <c r="A83" s="636">
        <f t="shared" si="34"/>
        <v>82</v>
      </c>
      <c r="B83" s="637"/>
      <c r="C83" s="803"/>
      <c r="D83" s="802" t="e">
        <f>VLOOKUP(C83,TABVACT,'f-travail'!$BG$2+1,FALSE)</f>
        <v>#N/A</v>
      </c>
      <c r="E83" s="804"/>
      <c r="F83" s="804"/>
      <c r="G83" s="803"/>
      <c r="H83" s="804"/>
      <c r="I83" s="804"/>
      <c r="J83" s="803"/>
      <c r="K83" s="803"/>
      <c r="M83" s="803"/>
      <c r="N83" s="803"/>
      <c r="O83" s="670" t="e">
        <f>VLOOKUP(C83,TABVACT,'f-travail'!$BG$2+5,FALSE)</f>
        <v>#N/A</v>
      </c>
      <c r="P83" s="670" t="e">
        <f>VLOOKUP(C83,TABVACT,'f-travail'!$BG$2+6,FALSE)</f>
        <v>#N/A</v>
      </c>
      <c r="Q83" s="811" t="str">
        <f t="shared" si="20"/>
        <v/>
      </c>
      <c r="R83" s="677" t="b">
        <f t="shared" si="19"/>
        <v>0</v>
      </c>
      <c r="S83" s="678">
        <f t="shared" si="21"/>
        <v>0</v>
      </c>
      <c r="T83" s="673">
        <f t="shared" si="22"/>
        <v>0</v>
      </c>
      <c r="U83" s="678">
        <f t="shared" si="23"/>
        <v>0</v>
      </c>
      <c r="V83" s="675"/>
      <c r="W83" s="675"/>
      <c r="X83" s="678" t="b">
        <f t="shared" si="24"/>
        <v>0</v>
      </c>
      <c r="Y83" s="807" t="b">
        <f t="shared" si="25"/>
        <v>0</v>
      </c>
      <c r="Z83" s="673" t="b">
        <f>IF(E83="ك",VLOOKUP(C83,TABVACT,'f-travail'!$BG$2+9,FALSE),IF(E83="ج",0))</f>
        <v>0</v>
      </c>
      <c r="AA83" s="673" t="b">
        <f>IF(E83="ك",VLOOKUP(C83,TABVACT,'f-travail'!$BG$2+10,FALSE),IF(E83="ج",ROUND((44.42)*AO83,2)))</f>
        <v>0</v>
      </c>
      <c r="AB83" s="673" t="b">
        <f>IF(E83="ك",ROUND(VLOOKUP(C83,TABVACT,'f-travail'!$BG$2+11,FALSE)*(X83+Y83),2),IF(E83="ج",ROUND(((Y83+51.92)*VLOOKUP(C83,TABVACT,'f-travail'!$BG$2+11,FALSE)*AO83),2)))</f>
        <v>0</v>
      </c>
      <c r="AC83" s="673" t="b">
        <f>IF(E83="ك",ROUND(VLOOKUP(C83,TABVACT,'f-travail'!$BG$2+12,FALSE)*(X83+Y83),2),IF(E83="ج",ROUND(((Y83+51.92)*VLOOKUP(C83,TABVACT,'f-travail'!$BG$2+12,FALSE)*AO83),2)))</f>
        <v>0</v>
      </c>
      <c r="AD83" s="673" t="b">
        <f>IF(E83="ك",ROUND(VLOOKUP(C83,TABVACT,'f-travail'!$BG$2+13,FALSE)*(X83+Y83),2),IF(E83="ج",ROUND(((Y83+51.92)*VLOOKUP(C83,TABVACT,'f-travail'!$BG$2+13,FALSE)*AO83),2)))</f>
        <v>0</v>
      </c>
      <c r="AE83" s="673" t="b">
        <f>IF(E83="ك",ROUND(VLOOKUP(C83,TABVACT,'f-travail'!$BG$2+14,FALSE)*(X83+Y83),2),IF(E83="ج",ROUND(((Y83+51.92)*VLOOKUP(C83,TABVACT,'f-travail'!$BG$2+14,FALSE)*AO83),2)))</f>
        <v>0</v>
      </c>
      <c r="AF83" s="673" t="b">
        <f>IF(E83="ك",ROUND(VLOOKUP(C83,TABVACT,'f-travail'!$BG$2+15,FALSE)*(X83+Y83),2),IF(E83="ج",ROUND(((Y83+51.92)*VLOOKUP(C83,TABVACT,'f-travail'!$BG$2+15,FALSE)*AO83),2)))</f>
        <v>0</v>
      </c>
      <c r="AG83" s="673" t="b">
        <f t="shared" si="26"/>
        <v>0</v>
      </c>
      <c r="AH83" s="673">
        <f t="shared" si="27"/>
        <v>0</v>
      </c>
      <c r="AI83" s="673">
        <f t="shared" si="28"/>
        <v>0</v>
      </c>
      <c r="AJ83" s="673">
        <f t="shared" si="29"/>
        <v>0</v>
      </c>
      <c r="AK83" s="674">
        <f t="shared" si="30"/>
        <v>0</v>
      </c>
      <c r="AL83" s="673">
        <f t="shared" si="31"/>
        <v>0</v>
      </c>
      <c r="AM83" s="673">
        <f t="shared" si="32"/>
        <v>0</v>
      </c>
      <c r="AN83" s="810" t="str">
        <f t="shared" si="33"/>
        <v>عازب(ة)</v>
      </c>
      <c r="AO83" s="817">
        <f>LOOKUP(الرئيسية!$N$8,'ورقة العمل'!$T$1:$T$13,'ورقة العمل'!$V$1:$V$13)</f>
        <v>105</v>
      </c>
    </row>
    <row r="84" spans="1:41">
      <c r="A84" s="636">
        <f t="shared" si="34"/>
        <v>83</v>
      </c>
      <c r="B84" s="637"/>
      <c r="C84" s="803"/>
      <c r="D84" s="802" t="e">
        <f>VLOOKUP(C84,TABVACT,'f-travail'!$BG$2+1,FALSE)</f>
        <v>#N/A</v>
      </c>
      <c r="E84" s="804"/>
      <c r="F84" s="804"/>
      <c r="G84" s="803"/>
      <c r="H84" s="804"/>
      <c r="I84" s="804"/>
      <c r="J84" s="803"/>
      <c r="K84" s="803"/>
      <c r="M84" s="803"/>
      <c r="N84" s="803"/>
      <c r="O84" s="670" t="e">
        <f>VLOOKUP(C84,TABVACT,'f-travail'!$BG$2+5,FALSE)</f>
        <v>#N/A</v>
      </c>
      <c r="P84" s="670" t="e">
        <f>VLOOKUP(C84,TABVACT,'f-travail'!$BG$2+6,FALSE)</f>
        <v>#N/A</v>
      </c>
      <c r="Q84" s="811" t="str">
        <f t="shared" si="20"/>
        <v/>
      </c>
      <c r="R84" s="677" t="b">
        <f t="shared" si="19"/>
        <v>0</v>
      </c>
      <c r="S84" s="678">
        <f t="shared" si="21"/>
        <v>0</v>
      </c>
      <c r="T84" s="673">
        <f t="shared" si="22"/>
        <v>0</v>
      </c>
      <c r="U84" s="678">
        <f t="shared" si="23"/>
        <v>0</v>
      </c>
      <c r="V84" s="675"/>
      <c r="W84" s="675"/>
      <c r="X84" s="678" t="b">
        <f t="shared" si="24"/>
        <v>0</v>
      </c>
      <c r="Y84" s="807" t="b">
        <f t="shared" si="25"/>
        <v>0</v>
      </c>
      <c r="Z84" s="673" t="b">
        <f>IF(E84="ك",VLOOKUP(C84,TABVACT,'f-travail'!$BG$2+9,FALSE),IF(E84="ج",0))</f>
        <v>0</v>
      </c>
      <c r="AA84" s="673" t="b">
        <f>IF(E84="ك",VLOOKUP(C84,TABVACT,'f-travail'!$BG$2+10,FALSE),IF(E84="ج",ROUND((44.42)*AO84,2)))</f>
        <v>0</v>
      </c>
      <c r="AB84" s="673" t="b">
        <f>IF(E84="ك",ROUND(VLOOKUP(C84,TABVACT,'f-travail'!$BG$2+11,FALSE)*(X84+Y84),2),IF(E84="ج",ROUND(((Y84+51.92)*VLOOKUP(C84,TABVACT,'f-travail'!$BG$2+11,FALSE)*AO84),2)))</f>
        <v>0</v>
      </c>
      <c r="AC84" s="673" t="b">
        <f>IF(E84="ك",ROUND(VLOOKUP(C84,TABVACT,'f-travail'!$BG$2+12,FALSE)*(X84+Y84),2),IF(E84="ج",ROUND(((Y84+51.92)*VLOOKUP(C84,TABVACT,'f-travail'!$BG$2+12,FALSE)*AO84),2)))</f>
        <v>0</v>
      </c>
      <c r="AD84" s="673" t="b">
        <f>IF(E84="ك",ROUND(VLOOKUP(C84,TABVACT,'f-travail'!$BG$2+13,FALSE)*(X84+Y84),2),IF(E84="ج",ROUND(((Y84+51.92)*VLOOKUP(C84,TABVACT,'f-travail'!$BG$2+13,FALSE)*AO84),2)))</f>
        <v>0</v>
      </c>
      <c r="AE84" s="673" t="b">
        <f>IF(E84="ك",ROUND(VLOOKUP(C84,TABVACT,'f-travail'!$BG$2+14,FALSE)*(X84+Y84),2),IF(E84="ج",ROUND(((Y84+51.92)*VLOOKUP(C84,TABVACT,'f-travail'!$BG$2+14,FALSE)*AO84),2)))</f>
        <v>0</v>
      </c>
      <c r="AF84" s="673" t="b">
        <f>IF(E84="ك",ROUND(VLOOKUP(C84,TABVACT,'f-travail'!$BG$2+15,FALSE)*(X84+Y84),2),IF(E84="ج",ROUND(((Y84+51.92)*VLOOKUP(C84,TABVACT,'f-travail'!$BG$2+15,FALSE)*AO84),2)))</f>
        <v>0</v>
      </c>
      <c r="AG84" s="673" t="b">
        <f t="shared" si="26"/>
        <v>0</v>
      </c>
      <c r="AH84" s="673">
        <f t="shared" si="27"/>
        <v>0</v>
      </c>
      <c r="AI84" s="673">
        <f t="shared" si="28"/>
        <v>0</v>
      </c>
      <c r="AJ84" s="673">
        <f t="shared" si="29"/>
        <v>0</v>
      </c>
      <c r="AK84" s="674">
        <f t="shared" si="30"/>
        <v>0</v>
      </c>
      <c r="AL84" s="673">
        <f t="shared" si="31"/>
        <v>0</v>
      </c>
      <c r="AM84" s="673">
        <f t="shared" si="32"/>
        <v>0</v>
      </c>
      <c r="AN84" s="810" t="str">
        <f t="shared" si="33"/>
        <v>عازب(ة)</v>
      </c>
      <c r="AO84" s="817">
        <f>LOOKUP(الرئيسية!$N$8,'ورقة العمل'!$T$1:$T$13,'ورقة العمل'!$V$1:$V$13)</f>
        <v>105</v>
      </c>
    </row>
    <row r="85" spans="1:41">
      <c r="A85" s="636">
        <f t="shared" si="34"/>
        <v>84</v>
      </c>
      <c r="B85" s="637"/>
      <c r="C85" s="803"/>
      <c r="D85" s="802" t="e">
        <f>VLOOKUP(C85,TABVACT,'f-travail'!$BG$2+1,FALSE)</f>
        <v>#N/A</v>
      </c>
      <c r="E85" s="804"/>
      <c r="F85" s="804"/>
      <c r="G85" s="803"/>
      <c r="H85" s="804"/>
      <c r="I85" s="804"/>
      <c r="J85" s="803"/>
      <c r="K85" s="803"/>
      <c r="M85" s="803"/>
      <c r="N85" s="803"/>
      <c r="O85" s="670" t="e">
        <f>VLOOKUP(C85,TABVACT,'f-travail'!$BG$2+5,FALSE)</f>
        <v>#N/A</v>
      </c>
      <c r="P85" s="670" t="e">
        <f>VLOOKUP(C85,TABVACT,'f-travail'!$BG$2+6,FALSE)</f>
        <v>#N/A</v>
      </c>
      <c r="Q85" s="811" t="str">
        <f t="shared" si="20"/>
        <v/>
      </c>
      <c r="R85" s="677" t="b">
        <f t="shared" si="19"/>
        <v>0</v>
      </c>
      <c r="S85" s="678">
        <f t="shared" si="21"/>
        <v>0</v>
      </c>
      <c r="T85" s="673">
        <f t="shared" si="22"/>
        <v>0</v>
      </c>
      <c r="U85" s="678">
        <f t="shared" si="23"/>
        <v>0</v>
      </c>
      <c r="V85" s="675"/>
      <c r="W85" s="675"/>
      <c r="X85" s="678" t="b">
        <f t="shared" si="24"/>
        <v>0</v>
      </c>
      <c r="Y85" s="807" t="b">
        <f t="shared" si="25"/>
        <v>0</v>
      </c>
      <c r="Z85" s="673" t="b">
        <f>IF(E85="ك",VLOOKUP(C85,TABVACT,'f-travail'!$BG$2+9,FALSE),IF(E85="ج",0))</f>
        <v>0</v>
      </c>
      <c r="AA85" s="673" t="b">
        <f>IF(E85="ك",VLOOKUP(C85,TABVACT,'f-travail'!$BG$2+10,FALSE),IF(E85="ج",ROUND((44.42)*AO85,2)))</f>
        <v>0</v>
      </c>
      <c r="AB85" s="673" t="b">
        <f>IF(E85="ك",ROUND(VLOOKUP(C85,TABVACT,'f-travail'!$BG$2+11,FALSE)*(X85+Y85),2),IF(E85="ج",ROUND(((Y85+51.92)*VLOOKUP(C85,TABVACT,'f-travail'!$BG$2+11,FALSE)*AO85),2)))</f>
        <v>0</v>
      </c>
      <c r="AC85" s="673" t="b">
        <f>IF(E85="ك",ROUND(VLOOKUP(C85,TABVACT,'f-travail'!$BG$2+12,FALSE)*(X85+Y85),2),IF(E85="ج",ROUND(((Y85+51.92)*VLOOKUP(C85,TABVACT,'f-travail'!$BG$2+12,FALSE)*AO85),2)))</f>
        <v>0</v>
      </c>
      <c r="AD85" s="673" t="b">
        <f>IF(E85="ك",ROUND(VLOOKUP(C85,TABVACT,'f-travail'!$BG$2+13,FALSE)*(X85+Y85),2),IF(E85="ج",ROUND(((Y85+51.92)*VLOOKUP(C85,TABVACT,'f-travail'!$BG$2+13,FALSE)*AO85),2)))</f>
        <v>0</v>
      </c>
      <c r="AE85" s="673" t="b">
        <f>IF(E85="ك",ROUND(VLOOKUP(C85,TABVACT,'f-travail'!$BG$2+14,FALSE)*(X85+Y85),2),IF(E85="ج",ROUND(((Y85+51.92)*VLOOKUP(C85,TABVACT,'f-travail'!$BG$2+14,FALSE)*AO85),2)))</f>
        <v>0</v>
      </c>
      <c r="AF85" s="673" t="b">
        <f>IF(E85="ك",ROUND(VLOOKUP(C85,TABVACT,'f-travail'!$BG$2+15,FALSE)*(X85+Y85),2),IF(E85="ج",ROUND(((Y85+51.92)*VLOOKUP(C85,TABVACT,'f-travail'!$BG$2+15,FALSE)*AO85),2)))</f>
        <v>0</v>
      </c>
      <c r="AG85" s="673" t="b">
        <f t="shared" si="26"/>
        <v>0</v>
      </c>
      <c r="AH85" s="673">
        <f t="shared" si="27"/>
        <v>0</v>
      </c>
      <c r="AI85" s="673">
        <f t="shared" si="28"/>
        <v>0</v>
      </c>
      <c r="AJ85" s="673">
        <f t="shared" si="29"/>
        <v>0</v>
      </c>
      <c r="AK85" s="674">
        <f t="shared" si="30"/>
        <v>0</v>
      </c>
      <c r="AL85" s="673">
        <f t="shared" si="31"/>
        <v>0</v>
      </c>
      <c r="AM85" s="673">
        <f t="shared" si="32"/>
        <v>0</v>
      </c>
      <c r="AN85" s="810" t="str">
        <f t="shared" si="33"/>
        <v>عازب(ة)</v>
      </c>
      <c r="AO85" s="817">
        <f>LOOKUP(الرئيسية!$N$8,'ورقة العمل'!$T$1:$T$13,'ورقة العمل'!$V$1:$V$13)</f>
        <v>105</v>
      </c>
    </row>
    <row r="86" spans="1:41">
      <c r="A86" s="636">
        <f t="shared" si="34"/>
        <v>85</v>
      </c>
      <c r="B86" s="637"/>
      <c r="C86" s="803"/>
      <c r="D86" s="802" t="e">
        <f>VLOOKUP(C86,TABVACT,'f-travail'!$BG$2+1,FALSE)</f>
        <v>#N/A</v>
      </c>
      <c r="E86" s="804"/>
      <c r="F86" s="804"/>
      <c r="G86" s="803"/>
      <c r="H86" s="804"/>
      <c r="I86" s="804"/>
      <c r="J86" s="803"/>
      <c r="K86" s="803"/>
      <c r="M86" s="803"/>
      <c r="N86" s="803"/>
      <c r="O86" s="670" t="e">
        <f>VLOOKUP(C86,TABVACT,'f-travail'!$BG$2+5,FALSE)</f>
        <v>#N/A</v>
      </c>
      <c r="P86" s="670" t="e">
        <f>VLOOKUP(C86,TABVACT,'f-travail'!$BG$2+6,FALSE)</f>
        <v>#N/A</v>
      </c>
      <c r="Q86" s="811" t="str">
        <f t="shared" si="20"/>
        <v/>
      </c>
      <c r="R86" s="677" t="b">
        <f t="shared" si="19"/>
        <v>0</v>
      </c>
      <c r="S86" s="678">
        <f t="shared" si="21"/>
        <v>0</v>
      </c>
      <c r="T86" s="673">
        <f t="shared" si="22"/>
        <v>0</v>
      </c>
      <c r="U86" s="678">
        <f t="shared" si="23"/>
        <v>0</v>
      </c>
      <c r="V86" s="675"/>
      <c r="W86" s="675"/>
      <c r="X86" s="678" t="b">
        <f t="shared" si="24"/>
        <v>0</v>
      </c>
      <c r="Y86" s="807" t="b">
        <f t="shared" si="25"/>
        <v>0</v>
      </c>
      <c r="Z86" s="673" t="b">
        <f>IF(E86="ك",VLOOKUP(C86,TABVACT,'f-travail'!$BG$2+9,FALSE),IF(E86="ج",0))</f>
        <v>0</v>
      </c>
      <c r="AA86" s="673" t="b">
        <f>IF(E86="ك",VLOOKUP(C86,TABVACT,'f-travail'!$BG$2+10,FALSE),IF(E86="ج",ROUND((44.42)*AO86,2)))</f>
        <v>0</v>
      </c>
      <c r="AB86" s="673" t="b">
        <f>IF(E86="ك",ROUND(VLOOKUP(C86,TABVACT,'f-travail'!$BG$2+11,FALSE)*(X86+Y86),2),IF(E86="ج",ROUND(((Y86+51.92)*VLOOKUP(C86,TABVACT,'f-travail'!$BG$2+11,FALSE)*AO86),2)))</f>
        <v>0</v>
      </c>
      <c r="AC86" s="673" t="b">
        <f>IF(E86="ك",ROUND(VLOOKUP(C86,TABVACT,'f-travail'!$BG$2+12,FALSE)*(X86+Y86),2),IF(E86="ج",ROUND(((Y86+51.92)*VLOOKUP(C86,TABVACT,'f-travail'!$BG$2+12,FALSE)*AO86),2)))</f>
        <v>0</v>
      </c>
      <c r="AD86" s="673" t="b">
        <f>IF(E86="ك",ROUND(VLOOKUP(C86,TABVACT,'f-travail'!$BG$2+13,FALSE)*(X86+Y86),2),IF(E86="ج",ROUND(((Y86+51.92)*VLOOKUP(C86,TABVACT,'f-travail'!$BG$2+13,FALSE)*AO86),2)))</f>
        <v>0</v>
      </c>
      <c r="AE86" s="673" t="b">
        <f>IF(E86="ك",ROUND(VLOOKUP(C86,TABVACT,'f-travail'!$BG$2+14,FALSE)*(X86+Y86),2),IF(E86="ج",ROUND(((Y86+51.92)*VLOOKUP(C86,TABVACT,'f-travail'!$BG$2+14,FALSE)*AO86),2)))</f>
        <v>0</v>
      </c>
      <c r="AF86" s="673" t="b">
        <f>IF(E86="ك",ROUND(VLOOKUP(C86,TABVACT,'f-travail'!$BG$2+15,FALSE)*(X86+Y86),2),IF(E86="ج",ROUND(((Y86+51.92)*VLOOKUP(C86,TABVACT,'f-travail'!$BG$2+15,FALSE)*AO86),2)))</f>
        <v>0</v>
      </c>
      <c r="AG86" s="673" t="b">
        <f t="shared" si="26"/>
        <v>0</v>
      </c>
      <c r="AH86" s="673">
        <f t="shared" si="27"/>
        <v>0</v>
      </c>
      <c r="AI86" s="673">
        <f t="shared" si="28"/>
        <v>0</v>
      </c>
      <c r="AJ86" s="673">
        <f t="shared" si="29"/>
        <v>0</v>
      </c>
      <c r="AK86" s="674">
        <f t="shared" si="30"/>
        <v>0</v>
      </c>
      <c r="AL86" s="673">
        <f t="shared" si="31"/>
        <v>0</v>
      </c>
      <c r="AM86" s="673">
        <f t="shared" si="32"/>
        <v>0</v>
      </c>
      <c r="AN86" s="810" t="str">
        <f t="shared" si="33"/>
        <v>عازب(ة)</v>
      </c>
      <c r="AO86" s="817">
        <f>LOOKUP(الرئيسية!$N$8,'ورقة العمل'!$T$1:$T$13,'ورقة العمل'!$V$1:$V$13)</f>
        <v>105</v>
      </c>
    </row>
    <row r="87" spans="1:41">
      <c r="A87" s="636">
        <f t="shared" si="34"/>
        <v>86</v>
      </c>
      <c r="B87" s="637"/>
      <c r="C87" s="803"/>
      <c r="D87" s="802" t="e">
        <f>VLOOKUP(C87,TABVACT,'f-travail'!$BG$2+1,FALSE)</f>
        <v>#N/A</v>
      </c>
      <c r="E87" s="804"/>
      <c r="F87" s="804"/>
      <c r="G87" s="803"/>
      <c r="H87" s="804"/>
      <c r="I87" s="804"/>
      <c r="J87" s="803"/>
      <c r="K87" s="803"/>
      <c r="M87" s="803"/>
      <c r="N87" s="803"/>
      <c r="O87" s="670" t="e">
        <f>VLOOKUP(C87,TABVACT,'f-travail'!$BG$2+5,FALSE)</f>
        <v>#N/A</v>
      </c>
      <c r="P87" s="670" t="e">
        <f>VLOOKUP(C87,TABVACT,'f-travail'!$BG$2+6,FALSE)</f>
        <v>#N/A</v>
      </c>
      <c r="Q87" s="811" t="str">
        <f t="shared" si="20"/>
        <v/>
      </c>
      <c r="R87" s="677" t="b">
        <f t="shared" si="19"/>
        <v>0</v>
      </c>
      <c r="S87" s="678">
        <f t="shared" si="21"/>
        <v>0</v>
      </c>
      <c r="T87" s="673">
        <f t="shared" si="22"/>
        <v>0</v>
      </c>
      <c r="U87" s="678">
        <f t="shared" si="23"/>
        <v>0</v>
      </c>
      <c r="V87" s="675"/>
      <c r="W87" s="675"/>
      <c r="X87" s="678" t="b">
        <f t="shared" si="24"/>
        <v>0</v>
      </c>
      <c r="Y87" s="807" t="b">
        <f t="shared" si="25"/>
        <v>0</v>
      </c>
      <c r="Z87" s="673" t="b">
        <f>IF(E87="ك",VLOOKUP(C87,TABVACT,'f-travail'!$BG$2+9,FALSE),IF(E87="ج",0))</f>
        <v>0</v>
      </c>
      <c r="AA87" s="673" t="b">
        <f>IF(E87="ك",VLOOKUP(C87,TABVACT,'f-travail'!$BG$2+10,FALSE),IF(E87="ج",ROUND((44.42)*AO87,2)))</f>
        <v>0</v>
      </c>
      <c r="AB87" s="673" t="b">
        <f>IF(E87="ك",ROUND(VLOOKUP(C87,TABVACT,'f-travail'!$BG$2+11,FALSE)*(X87+Y87),2),IF(E87="ج",ROUND(((Y87+51.92)*VLOOKUP(C87,TABVACT,'f-travail'!$BG$2+11,FALSE)*AO87),2)))</f>
        <v>0</v>
      </c>
      <c r="AC87" s="673" t="b">
        <f>IF(E87="ك",ROUND(VLOOKUP(C87,TABVACT,'f-travail'!$BG$2+12,FALSE)*(X87+Y87),2),IF(E87="ج",ROUND(((Y87+51.92)*VLOOKUP(C87,TABVACT,'f-travail'!$BG$2+12,FALSE)*AO87),2)))</f>
        <v>0</v>
      </c>
      <c r="AD87" s="673" t="b">
        <f>IF(E87="ك",ROUND(VLOOKUP(C87,TABVACT,'f-travail'!$BG$2+13,FALSE)*(X87+Y87),2),IF(E87="ج",ROUND(((Y87+51.92)*VLOOKUP(C87,TABVACT,'f-travail'!$BG$2+13,FALSE)*AO87),2)))</f>
        <v>0</v>
      </c>
      <c r="AE87" s="673" t="b">
        <f>IF(E87="ك",ROUND(VLOOKUP(C87,TABVACT,'f-travail'!$BG$2+14,FALSE)*(X87+Y87),2),IF(E87="ج",ROUND(((Y87+51.92)*VLOOKUP(C87,TABVACT,'f-travail'!$BG$2+14,FALSE)*AO87),2)))</f>
        <v>0</v>
      </c>
      <c r="AF87" s="673" t="b">
        <f>IF(E87="ك",ROUND(VLOOKUP(C87,TABVACT,'f-travail'!$BG$2+15,FALSE)*(X87+Y87),2),IF(E87="ج",ROUND(((Y87+51.92)*VLOOKUP(C87,TABVACT,'f-travail'!$BG$2+15,FALSE)*AO87),2)))</f>
        <v>0</v>
      </c>
      <c r="AG87" s="673" t="b">
        <f t="shared" si="26"/>
        <v>0</v>
      </c>
      <c r="AH87" s="673">
        <f t="shared" si="27"/>
        <v>0</v>
      </c>
      <c r="AI87" s="673">
        <f t="shared" si="28"/>
        <v>0</v>
      </c>
      <c r="AJ87" s="673">
        <f t="shared" si="29"/>
        <v>0</v>
      </c>
      <c r="AK87" s="674">
        <f t="shared" si="30"/>
        <v>0</v>
      </c>
      <c r="AL87" s="673">
        <f t="shared" si="31"/>
        <v>0</v>
      </c>
      <c r="AM87" s="673">
        <f t="shared" si="32"/>
        <v>0</v>
      </c>
      <c r="AN87" s="810" t="str">
        <f t="shared" si="33"/>
        <v>عازب(ة)</v>
      </c>
      <c r="AO87" s="817">
        <f>LOOKUP(الرئيسية!$N$8,'ورقة العمل'!$T$1:$T$13,'ورقة العمل'!$V$1:$V$13)</f>
        <v>105</v>
      </c>
    </row>
    <row r="88" spans="1:41">
      <c r="A88" s="636">
        <f t="shared" si="34"/>
        <v>87</v>
      </c>
      <c r="B88" s="637"/>
      <c r="C88" s="803"/>
      <c r="D88" s="802" t="e">
        <f>VLOOKUP(C88,TABVACT,'f-travail'!$BG$2+1,FALSE)</f>
        <v>#N/A</v>
      </c>
      <c r="E88" s="804"/>
      <c r="F88" s="804"/>
      <c r="G88" s="803"/>
      <c r="H88" s="804"/>
      <c r="I88" s="804"/>
      <c r="J88" s="803"/>
      <c r="K88" s="803"/>
      <c r="M88" s="803"/>
      <c r="N88" s="803"/>
      <c r="O88" s="670" t="e">
        <f>VLOOKUP(C88,TABVACT,'f-travail'!$BG$2+5,FALSE)</f>
        <v>#N/A</v>
      </c>
      <c r="P88" s="670" t="e">
        <f>VLOOKUP(C88,TABVACT,'f-travail'!$BG$2+6,FALSE)</f>
        <v>#N/A</v>
      </c>
      <c r="Q88" s="811" t="str">
        <f t="shared" si="20"/>
        <v/>
      </c>
      <c r="R88" s="677" t="b">
        <f t="shared" si="19"/>
        <v>0</v>
      </c>
      <c r="S88" s="678">
        <f t="shared" si="21"/>
        <v>0</v>
      </c>
      <c r="T88" s="673">
        <f t="shared" si="22"/>
        <v>0</v>
      </c>
      <c r="U88" s="678">
        <f t="shared" si="23"/>
        <v>0</v>
      </c>
      <c r="V88" s="675"/>
      <c r="W88" s="675"/>
      <c r="X88" s="678" t="b">
        <f t="shared" si="24"/>
        <v>0</v>
      </c>
      <c r="Y88" s="807" t="b">
        <f t="shared" si="25"/>
        <v>0</v>
      </c>
      <c r="Z88" s="673" t="b">
        <f>IF(E88="ك",VLOOKUP(C88,TABVACT,'f-travail'!$BG$2+9,FALSE),IF(E88="ج",0))</f>
        <v>0</v>
      </c>
      <c r="AA88" s="673" t="b">
        <f>IF(E88="ك",VLOOKUP(C88,TABVACT,'f-travail'!$BG$2+10,FALSE),IF(E88="ج",ROUND((44.42)*AO88,2)))</f>
        <v>0</v>
      </c>
      <c r="AB88" s="673" t="b">
        <f>IF(E88="ك",ROUND(VLOOKUP(C88,TABVACT,'f-travail'!$BG$2+11,FALSE)*(X88+Y88),2),IF(E88="ج",ROUND(((Y88+51.92)*VLOOKUP(C88,TABVACT,'f-travail'!$BG$2+11,FALSE)*AO88),2)))</f>
        <v>0</v>
      </c>
      <c r="AC88" s="673" t="b">
        <f>IF(E88="ك",ROUND(VLOOKUP(C88,TABVACT,'f-travail'!$BG$2+12,FALSE)*(X88+Y88),2),IF(E88="ج",ROUND(((Y88+51.92)*VLOOKUP(C88,TABVACT,'f-travail'!$BG$2+12,FALSE)*AO88),2)))</f>
        <v>0</v>
      </c>
      <c r="AD88" s="673" t="b">
        <f>IF(E88="ك",ROUND(VLOOKUP(C88,TABVACT,'f-travail'!$BG$2+13,FALSE)*(X88+Y88),2),IF(E88="ج",ROUND(((Y88+51.92)*VLOOKUP(C88,TABVACT,'f-travail'!$BG$2+13,FALSE)*AO88),2)))</f>
        <v>0</v>
      </c>
      <c r="AE88" s="673" t="b">
        <f>IF(E88="ك",ROUND(VLOOKUP(C88,TABVACT,'f-travail'!$BG$2+14,FALSE)*(X88+Y88),2),IF(E88="ج",ROUND(((Y88+51.92)*VLOOKUP(C88,TABVACT,'f-travail'!$BG$2+14,FALSE)*AO88),2)))</f>
        <v>0</v>
      </c>
      <c r="AF88" s="673" t="b">
        <f>IF(E88="ك",ROUND(VLOOKUP(C88,TABVACT,'f-travail'!$BG$2+15,FALSE)*(X88+Y88),2),IF(E88="ج",ROUND(((Y88+51.92)*VLOOKUP(C88,TABVACT,'f-travail'!$BG$2+15,FALSE)*AO88),2)))</f>
        <v>0</v>
      </c>
      <c r="AG88" s="673" t="b">
        <f t="shared" si="26"/>
        <v>0</v>
      </c>
      <c r="AH88" s="673">
        <f t="shared" si="27"/>
        <v>0</v>
      </c>
      <c r="AI88" s="673">
        <f t="shared" si="28"/>
        <v>0</v>
      </c>
      <c r="AJ88" s="673">
        <f t="shared" si="29"/>
        <v>0</v>
      </c>
      <c r="AK88" s="674">
        <f t="shared" si="30"/>
        <v>0</v>
      </c>
      <c r="AL88" s="673">
        <f t="shared" si="31"/>
        <v>0</v>
      </c>
      <c r="AM88" s="673">
        <f t="shared" si="32"/>
        <v>0</v>
      </c>
      <c r="AN88" s="810" t="str">
        <f t="shared" si="33"/>
        <v>عازب(ة)</v>
      </c>
      <c r="AO88" s="817">
        <f>LOOKUP(الرئيسية!$N$8,'ورقة العمل'!$T$1:$T$13,'ورقة العمل'!$V$1:$V$13)</f>
        <v>105</v>
      </c>
    </row>
    <row r="89" spans="1:41">
      <c r="A89" s="636">
        <f t="shared" si="34"/>
        <v>88</v>
      </c>
      <c r="B89" s="637"/>
      <c r="C89" s="803"/>
      <c r="D89" s="802" t="e">
        <f>VLOOKUP(C89,TABVACT,'f-travail'!$BG$2+1,FALSE)</f>
        <v>#N/A</v>
      </c>
      <c r="E89" s="804"/>
      <c r="F89" s="804"/>
      <c r="G89" s="803"/>
      <c r="H89" s="804"/>
      <c r="I89" s="804"/>
      <c r="J89" s="803"/>
      <c r="K89" s="803"/>
      <c r="M89" s="803"/>
      <c r="N89" s="803"/>
      <c r="O89" s="670" t="e">
        <f>VLOOKUP(C89,TABVACT,'f-travail'!$BG$2+5,FALSE)</f>
        <v>#N/A</v>
      </c>
      <c r="P89" s="670" t="e">
        <f>VLOOKUP(C89,TABVACT,'f-travail'!$BG$2+6,FALSE)</f>
        <v>#N/A</v>
      </c>
      <c r="Q89" s="811" t="str">
        <f t="shared" si="20"/>
        <v/>
      </c>
      <c r="R89" s="677" t="b">
        <f t="shared" si="19"/>
        <v>0</v>
      </c>
      <c r="S89" s="678">
        <f t="shared" si="21"/>
        <v>0</v>
      </c>
      <c r="T89" s="673">
        <f t="shared" si="22"/>
        <v>0</v>
      </c>
      <c r="U89" s="678">
        <f t="shared" si="23"/>
        <v>0</v>
      </c>
      <c r="V89" s="675"/>
      <c r="W89" s="675"/>
      <c r="X89" s="678" t="b">
        <f t="shared" si="24"/>
        <v>0</v>
      </c>
      <c r="Y89" s="807" t="b">
        <f t="shared" si="25"/>
        <v>0</v>
      </c>
      <c r="Z89" s="673" t="b">
        <f>IF(E89="ك",VLOOKUP(C89,TABVACT,'f-travail'!$BG$2+9,FALSE),IF(E89="ج",0))</f>
        <v>0</v>
      </c>
      <c r="AA89" s="673" t="b">
        <f>IF(E89="ك",VLOOKUP(C89,TABVACT,'f-travail'!$BG$2+10,FALSE),IF(E89="ج",ROUND((44.42)*AO89,2)))</f>
        <v>0</v>
      </c>
      <c r="AB89" s="673" t="b">
        <f>IF(E89="ك",ROUND(VLOOKUP(C89,TABVACT,'f-travail'!$BG$2+11,FALSE)*(X89+Y89),2),IF(E89="ج",ROUND(((Y89+51.92)*VLOOKUP(C89,TABVACT,'f-travail'!$BG$2+11,FALSE)*AO89),2)))</f>
        <v>0</v>
      </c>
      <c r="AC89" s="673" t="b">
        <f>IF(E89="ك",ROUND(VLOOKUP(C89,TABVACT,'f-travail'!$BG$2+12,FALSE)*(X89+Y89),2),IF(E89="ج",ROUND(((Y89+51.92)*VLOOKUP(C89,TABVACT,'f-travail'!$BG$2+12,FALSE)*AO89),2)))</f>
        <v>0</v>
      </c>
      <c r="AD89" s="673" t="b">
        <f>IF(E89="ك",ROUND(VLOOKUP(C89,TABVACT,'f-travail'!$BG$2+13,FALSE)*(X89+Y89),2),IF(E89="ج",ROUND(((Y89+51.92)*VLOOKUP(C89,TABVACT,'f-travail'!$BG$2+13,FALSE)*AO89),2)))</f>
        <v>0</v>
      </c>
      <c r="AE89" s="673" t="b">
        <f>IF(E89="ك",ROUND(VLOOKUP(C89,TABVACT,'f-travail'!$BG$2+14,FALSE)*(X89+Y89),2),IF(E89="ج",ROUND(((Y89+51.92)*VLOOKUP(C89,TABVACT,'f-travail'!$BG$2+14,FALSE)*AO89),2)))</f>
        <v>0</v>
      </c>
      <c r="AF89" s="673" t="b">
        <f>IF(E89="ك",ROUND(VLOOKUP(C89,TABVACT,'f-travail'!$BG$2+15,FALSE)*(X89+Y89),2),IF(E89="ج",ROUND(((Y89+51.92)*VLOOKUP(C89,TABVACT,'f-travail'!$BG$2+15,FALSE)*AO89),2)))</f>
        <v>0</v>
      </c>
      <c r="AG89" s="673" t="b">
        <f t="shared" si="26"/>
        <v>0</v>
      </c>
      <c r="AH89" s="673">
        <f t="shared" si="27"/>
        <v>0</v>
      </c>
      <c r="AI89" s="673">
        <f t="shared" si="28"/>
        <v>0</v>
      </c>
      <c r="AJ89" s="673">
        <f t="shared" si="29"/>
        <v>0</v>
      </c>
      <c r="AK89" s="674">
        <f t="shared" si="30"/>
        <v>0</v>
      </c>
      <c r="AL89" s="673">
        <f t="shared" si="31"/>
        <v>0</v>
      </c>
      <c r="AM89" s="673">
        <f t="shared" si="32"/>
        <v>0</v>
      </c>
      <c r="AN89" s="810" t="str">
        <f t="shared" si="33"/>
        <v>عازب(ة)</v>
      </c>
      <c r="AO89" s="817">
        <f>LOOKUP(الرئيسية!$N$8,'ورقة العمل'!$T$1:$T$13,'ورقة العمل'!$V$1:$V$13)</f>
        <v>105</v>
      </c>
    </row>
    <row r="90" spans="1:41">
      <c r="A90" s="636">
        <f t="shared" si="34"/>
        <v>89</v>
      </c>
      <c r="B90" s="637"/>
      <c r="C90" s="803"/>
      <c r="D90" s="802" t="e">
        <f>VLOOKUP(C90,TABVACT,'f-travail'!$BG$2+1,FALSE)</f>
        <v>#N/A</v>
      </c>
      <c r="E90" s="804"/>
      <c r="F90" s="804"/>
      <c r="G90" s="803"/>
      <c r="H90" s="804"/>
      <c r="I90" s="804"/>
      <c r="J90" s="803"/>
      <c r="K90" s="803"/>
      <c r="M90" s="803"/>
      <c r="N90" s="803"/>
      <c r="O90" s="670" t="e">
        <f>VLOOKUP(C90,TABVACT,'f-travail'!$BG$2+5,FALSE)</f>
        <v>#N/A</v>
      </c>
      <c r="P90" s="670" t="e">
        <f>VLOOKUP(C90,TABVACT,'f-travail'!$BG$2+6,FALSE)</f>
        <v>#N/A</v>
      </c>
      <c r="Q90" s="811" t="str">
        <f t="shared" si="20"/>
        <v/>
      </c>
      <c r="R90" s="677" t="b">
        <f t="shared" si="19"/>
        <v>0</v>
      </c>
      <c r="S90" s="678">
        <f t="shared" si="21"/>
        <v>0</v>
      </c>
      <c r="T90" s="673">
        <f t="shared" si="22"/>
        <v>0</v>
      </c>
      <c r="U90" s="678">
        <f t="shared" si="23"/>
        <v>0</v>
      </c>
      <c r="V90" s="675"/>
      <c r="W90" s="675"/>
      <c r="X90" s="678" t="b">
        <f t="shared" si="24"/>
        <v>0</v>
      </c>
      <c r="Y90" s="807" t="b">
        <f t="shared" si="25"/>
        <v>0</v>
      </c>
      <c r="Z90" s="673" t="b">
        <f>IF(E90="ك",VLOOKUP(C90,TABVACT,'f-travail'!$BG$2+9,FALSE),IF(E90="ج",0))</f>
        <v>0</v>
      </c>
      <c r="AA90" s="673" t="b">
        <f>IF(E90="ك",VLOOKUP(C90,TABVACT,'f-travail'!$BG$2+10,FALSE),IF(E90="ج",ROUND((44.42)*AO90,2)))</f>
        <v>0</v>
      </c>
      <c r="AB90" s="673" t="b">
        <f>IF(E90="ك",ROUND(VLOOKUP(C90,TABVACT,'f-travail'!$BG$2+11,FALSE)*(X90+Y90),2),IF(E90="ج",ROUND(((Y90+51.92)*VLOOKUP(C90,TABVACT,'f-travail'!$BG$2+11,FALSE)*AO90),2)))</f>
        <v>0</v>
      </c>
      <c r="AC90" s="673" t="b">
        <f>IF(E90="ك",ROUND(VLOOKUP(C90,TABVACT,'f-travail'!$BG$2+12,FALSE)*(X90+Y90),2),IF(E90="ج",ROUND(((Y90+51.92)*VLOOKUP(C90,TABVACT,'f-travail'!$BG$2+12,FALSE)*AO90),2)))</f>
        <v>0</v>
      </c>
      <c r="AD90" s="673" t="b">
        <f>IF(E90="ك",ROUND(VLOOKUP(C90,TABVACT,'f-travail'!$BG$2+13,FALSE)*(X90+Y90),2),IF(E90="ج",ROUND(((Y90+51.92)*VLOOKUP(C90,TABVACT,'f-travail'!$BG$2+13,FALSE)*AO90),2)))</f>
        <v>0</v>
      </c>
      <c r="AE90" s="673" t="b">
        <f>IF(E90="ك",ROUND(VLOOKUP(C90,TABVACT,'f-travail'!$BG$2+14,FALSE)*(X90+Y90),2),IF(E90="ج",ROUND(((Y90+51.92)*VLOOKUP(C90,TABVACT,'f-travail'!$BG$2+14,FALSE)*AO90),2)))</f>
        <v>0</v>
      </c>
      <c r="AF90" s="673" t="b">
        <f>IF(E90="ك",ROUND(VLOOKUP(C90,TABVACT,'f-travail'!$BG$2+15,FALSE)*(X90+Y90),2),IF(E90="ج",ROUND(((Y90+51.92)*VLOOKUP(C90,TABVACT,'f-travail'!$BG$2+15,FALSE)*AO90),2)))</f>
        <v>0</v>
      </c>
      <c r="AG90" s="673" t="b">
        <f t="shared" si="26"/>
        <v>0</v>
      </c>
      <c r="AH90" s="673">
        <f t="shared" si="27"/>
        <v>0</v>
      </c>
      <c r="AI90" s="673">
        <f t="shared" si="28"/>
        <v>0</v>
      </c>
      <c r="AJ90" s="673">
        <f t="shared" si="29"/>
        <v>0</v>
      </c>
      <c r="AK90" s="674">
        <f t="shared" si="30"/>
        <v>0</v>
      </c>
      <c r="AL90" s="673">
        <f t="shared" si="31"/>
        <v>0</v>
      </c>
      <c r="AM90" s="673">
        <f t="shared" si="32"/>
        <v>0</v>
      </c>
      <c r="AN90" s="810" t="str">
        <f t="shared" si="33"/>
        <v>عازب(ة)</v>
      </c>
      <c r="AO90" s="817">
        <f>LOOKUP(الرئيسية!$N$8,'ورقة العمل'!$T$1:$T$13,'ورقة العمل'!$V$1:$V$13)</f>
        <v>105</v>
      </c>
    </row>
    <row r="91" spans="1:41">
      <c r="A91" s="636">
        <f t="shared" si="34"/>
        <v>90</v>
      </c>
      <c r="B91" s="637"/>
      <c r="C91" s="803"/>
      <c r="D91" s="802" t="e">
        <f>VLOOKUP(C91,TABVACT,'f-travail'!$BG$2+1,FALSE)</f>
        <v>#N/A</v>
      </c>
      <c r="E91" s="804"/>
      <c r="F91" s="804"/>
      <c r="G91" s="803"/>
      <c r="H91" s="804"/>
      <c r="I91" s="804"/>
      <c r="J91" s="803"/>
      <c r="K91" s="803"/>
      <c r="M91" s="803"/>
      <c r="N91" s="803"/>
      <c r="O91" s="670" t="e">
        <f>VLOOKUP(C91,TABVACT,'f-travail'!$BG$2+5,FALSE)</f>
        <v>#N/A</v>
      </c>
      <c r="P91" s="670" t="e">
        <f>VLOOKUP(C91,TABVACT,'f-travail'!$BG$2+6,FALSE)</f>
        <v>#N/A</v>
      </c>
      <c r="Q91" s="811" t="str">
        <f t="shared" si="20"/>
        <v/>
      </c>
      <c r="R91" s="677" t="b">
        <f t="shared" si="19"/>
        <v>0</v>
      </c>
      <c r="S91" s="678">
        <f t="shared" si="21"/>
        <v>0</v>
      </c>
      <c r="T91" s="673">
        <f t="shared" si="22"/>
        <v>0</v>
      </c>
      <c r="U91" s="678">
        <f t="shared" si="23"/>
        <v>0</v>
      </c>
      <c r="V91" s="675"/>
      <c r="W91" s="675"/>
      <c r="X91" s="678" t="b">
        <f t="shared" si="24"/>
        <v>0</v>
      </c>
      <c r="Y91" s="807" t="b">
        <f t="shared" si="25"/>
        <v>0</v>
      </c>
      <c r="Z91" s="673" t="b">
        <f>IF(E91="ك",VLOOKUP(C91,TABVACT,'f-travail'!$BG$2+9,FALSE),IF(E91="ج",0))</f>
        <v>0</v>
      </c>
      <c r="AA91" s="673" t="b">
        <f>IF(E91="ك",VLOOKUP(C91,TABVACT,'f-travail'!$BG$2+10,FALSE),IF(E91="ج",ROUND((44.42)*AO91,2)))</f>
        <v>0</v>
      </c>
      <c r="AB91" s="673" t="b">
        <f>IF(E91="ك",ROUND(VLOOKUP(C91,TABVACT,'f-travail'!$BG$2+11,FALSE)*(X91+Y91),2),IF(E91="ج",ROUND(((Y91+51.92)*VLOOKUP(C91,TABVACT,'f-travail'!$BG$2+11,FALSE)*AO91),2)))</f>
        <v>0</v>
      </c>
      <c r="AC91" s="673" t="b">
        <f>IF(E91="ك",ROUND(VLOOKUP(C91,TABVACT,'f-travail'!$BG$2+12,FALSE)*(X91+Y91),2),IF(E91="ج",ROUND(((Y91+51.92)*VLOOKUP(C91,TABVACT,'f-travail'!$BG$2+12,FALSE)*AO91),2)))</f>
        <v>0</v>
      </c>
      <c r="AD91" s="673" t="b">
        <f>IF(E91="ك",ROUND(VLOOKUP(C91,TABVACT,'f-travail'!$BG$2+13,FALSE)*(X91+Y91),2),IF(E91="ج",ROUND(((Y91+51.92)*VLOOKUP(C91,TABVACT,'f-travail'!$BG$2+13,FALSE)*AO91),2)))</f>
        <v>0</v>
      </c>
      <c r="AE91" s="673" t="b">
        <f>IF(E91="ك",ROUND(VLOOKUP(C91,TABVACT,'f-travail'!$BG$2+14,FALSE)*(X91+Y91),2),IF(E91="ج",ROUND(((Y91+51.92)*VLOOKUP(C91,TABVACT,'f-travail'!$BG$2+14,FALSE)*AO91),2)))</f>
        <v>0</v>
      </c>
      <c r="AF91" s="673" t="b">
        <f>IF(E91="ك",ROUND(VLOOKUP(C91,TABVACT,'f-travail'!$BG$2+15,FALSE)*(X91+Y91),2),IF(E91="ج",ROUND(((Y91+51.92)*VLOOKUP(C91,TABVACT,'f-travail'!$BG$2+15,FALSE)*AO91),2)))</f>
        <v>0</v>
      </c>
      <c r="AG91" s="673" t="b">
        <f t="shared" si="26"/>
        <v>0</v>
      </c>
      <c r="AH91" s="673">
        <f t="shared" si="27"/>
        <v>0</v>
      </c>
      <c r="AI91" s="673">
        <f t="shared" si="28"/>
        <v>0</v>
      </c>
      <c r="AJ91" s="673">
        <f t="shared" si="29"/>
        <v>0</v>
      </c>
      <c r="AK91" s="674">
        <f t="shared" si="30"/>
        <v>0</v>
      </c>
      <c r="AL91" s="673">
        <f t="shared" si="31"/>
        <v>0</v>
      </c>
      <c r="AM91" s="673">
        <f t="shared" si="32"/>
        <v>0</v>
      </c>
      <c r="AN91" s="810" t="str">
        <f t="shared" si="33"/>
        <v>عازب(ة)</v>
      </c>
      <c r="AO91" s="817">
        <f>LOOKUP(الرئيسية!$N$8,'ورقة العمل'!$T$1:$T$13,'ورقة العمل'!$V$1:$V$13)</f>
        <v>105</v>
      </c>
    </row>
    <row r="92" spans="1:41">
      <c r="A92" s="636">
        <f t="shared" si="34"/>
        <v>91</v>
      </c>
      <c r="B92" s="637"/>
      <c r="C92" s="803"/>
      <c r="D92" s="802" t="e">
        <f>VLOOKUP(C92,TABVACT,'f-travail'!$BG$2+1,FALSE)</f>
        <v>#N/A</v>
      </c>
      <c r="E92" s="804"/>
      <c r="F92" s="804"/>
      <c r="G92" s="803"/>
      <c r="H92" s="804"/>
      <c r="I92" s="804"/>
      <c r="J92" s="803"/>
      <c r="K92" s="803"/>
      <c r="M92" s="803"/>
      <c r="N92" s="803"/>
      <c r="O92" s="670" t="e">
        <f>VLOOKUP(C92,TABVACT,'f-travail'!$BG$2+5,FALSE)</f>
        <v>#N/A</v>
      </c>
      <c r="P92" s="670" t="e">
        <f>VLOOKUP(C92,TABVACT,'f-travail'!$BG$2+6,FALSE)</f>
        <v>#N/A</v>
      </c>
      <c r="Q92" s="811" t="str">
        <f t="shared" si="20"/>
        <v/>
      </c>
      <c r="R92" s="677" t="b">
        <f t="shared" si="19"/>
        <v>0</v>
      </c>
      <c r="S92" s="678">
        <f t="shared" si="21"/>
        <v>0</v>
      </c>
      <c r="T92" s="673">
        <f t="shared" si="22"/>
        <v>0</v>
      </c>
      <c r="U92" s="678">
        <f t="shared" si="23"/>
        <v>0</v>
      </c>
      <c r="V92" s="675"/>
      <c r="W92" s="675"/>
      <c r="X92" s="678" t="b">
        <f t="shared" si="24"/>
        <v>0</v>
      </c>
      <c r="Y92" s="807" t="b">
        <f t="shared" si="25"/>
        <v>0</v>
      </c>
      <c r="Z92" s="673" t="b">
        <f>IF(E92="ك",VLOOKUP(C92,TABVACT,'f-travail'!$BG$2+9,FALSE),IF(E92="ج",0))</f>
        <v>0</v>
      </c>
      <c r="AA92" s="673" t="b">
        <f>IF(E92="ك",VLOOKUP(C92,TABVACT,'f-travail'!$BG$2+10,FALSE),IF(E92="ج",ROUND((44.42)*AO92,2)))</f>
        <v>0</v>
      </c>
      <c r="AB92" s="673" t="b">
        <f>IF(E92="ك",ROUND(VLOOKUP(C92,TABVACT,'f-travail'!$BG$2+11,FALSE)*(X92+Y92),2),IF(E92="ج",ROUND(((Y92+51.92)*VLOOKUP(C92,TABVACT,'f-travail'!$BG$2+11,FALSE)*AO92),2)))</f>
        <v>0</v>
      </c>
      <c r="AC92" s="673" t="b">
        <f>IF(E92="ك",ROUND(VLOOKUP(C92,TABVACT,'f-travail'!$BG$2+12,FALSE)*(X92+Y92),2),IF(E92="ج",ROUND(((Y92+51.92)*VLOOKUP(C92,TABVACT,'f-travail'!$BG$2+12,FALSE)*AO92),2)))</f>
        <v>0</v>
      </c>
      <c r="AD92" s="673" t="b">
        <f>IF(E92="ك",ROUND(VLOOKUP(C92,TABVACT,'f-travail'!$BG$2+13,FALSE)*(X92+Y92),2),IF(E92="ج",ROUND(((Y92+51.92)*VLOOKUP(C92,TABVACT,'f-travail'!$BG$2+13,FALSE)*AO92),2)))</f>
        <v>0</v>
      </c>
      <c r="AE92" s="673" t="b">
        <f>IF(E92="ك",ROUND(VLOOKUP(C92,TABVACT,'f-travail'!$BG$2+14,FALSE)*(X92+Y92),2),IF(E92="ج",ROUND(((Y92+51.92)*VLOOKUP(C92,TABVACT,'f-travail'!$BG$2+14,FALSE)*AO92),2)))</f>
        <v>0</v>
      </c>
      <c r="AF92" s="673" t="b">
        <f>IF(E92="ك",ROUND(VLOOKUP(C92,TABVACT,'f-travail'!$BG$2+15,FALSE)*(X92+Y92),2),IF(E92="ج",ROUND(((Y92+51.92)*VLOOKUP(C92,TABVACT,'f-travail'!$BG$2+15,FALSE)*AO92),2)))</f>
        <v>0</v>
      </c>
      <c r="AG92" s="673" t="b">
        <f t="shared" si="26"/>
        <v>0</v>
      </c>
      <c r="AH92" s="673">
        <f t="shared" si="27"/>
        <v>0</v>
      </c>
      <c r="AI92" s="673">
        <f t="shared" si="28"/>
        <v>0</v>
      </c>
      <c r="AJ92" s="673">
        <f t="shared" si="29"/>
        <v>0</v>
      </c>
      <c r="AK92" s="674">
        <f t="shared" si="30"/>
        <v>0</v>
      </c>
      <c r="AL92" s="673">
        <f t="shared" si="31"/>
        <v>0</v>
      </c>
      <c r="AM92" s="673">
        <f t="shared" si="32"/>
        <v>0</v>
      </c>
      <c r="AN92" s="810" t="str">
        <f t="shared" si="33"/>
        <v>عازب(ة)</v>
      </c>
      <c r="AO92" s="817">
        <f>LOOKUP(الرئيسية!$N$8,'ورقة العمل'!$T$1:$T$13,'ورقة العمل'!$V$1:$V$13)</f>
        <v>105</v>
      </c>
    </row>
    <row r="93" spans="1:41">
      <c r="A93" s="636">
        <f t="shared" si="34"/>
        <v>92</v>
      </c>
      <c r="B93" s="637"/>
      <c r="C93" s="803"/>
      <c r="D93" s="802" t="e">
        <f>VLOOKUP(C93,TABVACT,'f-travail'!$BG$2+1,FALSE)</f>
        <v>#N/A</v>
      </c>
      <c r="E93" s="804"/>
      <c r="F93" s="804"/>
      <c r="G93" s="803"/>
      <c r="H93" s="804"/>
      <c r="I93" s="804"/>
      <c r="J93" s="803"/>
      <c r="K93" s="803"/>
      <c r="M93" s="803"/>
      <c r="N93" s="803"/>
      <c r="O93" s="670" t="e">
        <f>VLOOKUP(C93,TABVACT,'f-travail'!$BG$2+5,FALSE)</f>
        <v>#N/A</v>
      </c>
      <c r="P93" s="670" t="e">
        <f>VLOOKUP(C93,TABVACT,'f-travail'!$BG$2+6,FALSE)</f>
        <v>#N/A</v>
      </c>
      <c r="Q93" s="811" t="str">
        <f t="shared" si="20"/>
        <v/>
      </c>
      <c r="R93" s="677" t="b">
        <f t="shared" si="19"/>
        <v>0</v>
      </c>
      <c r="S93" s="678">
        <f t="shared" si="21"/>
        <v>0</v>
      </c>
      <c r="T93" s="673">
        <f t="shared" si="22"/>
        <v>0</v>
      </c>
      <c r="U93" s="678">
        <f t="shared" si="23"/>
        <v>0</v>
      </c>
      <c r="V93" s="675"/>
      <c r="W93" s="675"/>
      <c r="X93" s="678" t="b">
        <f t="shared" si="24"/>
        <v>0</v>
      </c>
      <c r="Y93" s="807" t="b">
        <f t="shared" si="25"/>
        <v>0</v>
      </c>
      <c r="Z93" s="673" t="b">
        <f>IF(E93="ك",VLOOKUP(C93,TABVACT,'f-travail'!$BG$2+9,FALSE),IF(E93="ج",0))</f>
        <v>0</v>
      </c>
      <c r="AA93" s="673" t="b">
        <f>IF(E93="ك",VLOOKUP(C93,TABVACT,'f-travail'!$BG$2+10,FALSE),IF(E93="ج",ROUND((44.42)*AO93,2)))</f>
        <v>0</v>
      </c>
      <c r="AB93" s="673" t="b">
        <f>IF(E93="ك",ROUND(VLOOKUP(C93,TABVACT,'f-travail'!$BG$2+11,FALSE)*(X93+Y93),2),IF(E93="ج",ROUND(((Y93+51.92)*VLOOKUP(C93,TABVACT,'f-travail'!$BG$2+11,FALSE)*AO93),2)))</f>
        <v>0</v>
      </c>
      <c r="AC93" s="673" t="b">
        <f>IF(E93="ك",ROUND(VLOOKUP(C93,TABVACT,'f-travail'!$BG$2+12,FALSE)*(X93+Y93),2),IF(E93="ج",ROUND(((Y93+51.92)*VLOOKUP(C93,TABVACT,'f-travail'!$BG$2+12,FALSE)*AO93),2)))</f>
        <v>0</v>
      </c>
      <c r="AD93" s="673" t="b">
        <f>IF(E93="ك",ROUND(VLOOKUP(C93,TABVACT,'f-travail'!$BG$2+13,FALSE)*(X93+Y93),2),IF(E93="ج",ROUND(((Y93+51.92)*VLOOKUP(C93,TABVACT,'f-travail'!$BG$2+13,FALSE)*AO93),2)))</f>
        <v>0</v>
      </c>
      <c r="AE93" s="673" t="b">
        <f>IF(E93="ك",ROUND(VLOOKUP(C93,TABVACT,'f-travail'!$BG$2+14,FALSE)*(X93+Y93),2),IF(E93="ج",ROUND(((Y93+51.92)*VLOOKUP(C93,TABVACT,'f-travail'!$BG$2+14,FALSE)*AO93),2)))</f>
        <v>0</v>
      </c>
      <c r="AF93" s="673" t="b">
        <f>IF(E93="ك",ROUND(VLOOKUP(C93,TABVACT,'f-travail'!$BG$2+15,FALSE)*(X93+Y93),2),IF(E93="ج",ROUND(((Y93+51.92)*VLOOKUP(C93,TABVACT,'f-travail'!$BG$2+15,FALSE)*AO93),2)))</f>
        <v>0</v>
      </c>
      <c r="AG93" s="673" t="b">
        <f t="shared" si="26"/>
        <v>0</v>
      </c>
      <c r="AH93" s="673">
        <f t="shared" si="27"/>
        <v>0</v>
      </c>
      <c r="AI93" s="673">
        <f t="shared" si="28"/>
        <v>0</v>
      </c>
      <c r="AJ93" s="673">
        <f t="shared" si="29"/>
        <v>0</v>
      </c>
      <c r="AK93" s="674">
        <f t="shared" si="30"/>
        <v>0</v>
      </c>
      <c r="AL93" s="673">
        <f t="shared" si="31"/>
        <v>0</v>
      </c>
      <c r="AM93" s="673">
        <f t="shared" si="32"/>
        <v>0</v>
      </c>
      <c r="AN93" s="810" t="str">
        <f t="shared" si="33"/>
        <v>عازب(ة)</v>
      </c>
      <c r="AO93" s="817">
        <f>LOOKUP(الرئيسية!$N$8,'ورقة العمل'!$T$1:$T$13,'ورقة العمل'!$V$1:$V$13)</f>
        <v>105</v>
      </c>
    </row>
    <row r="94" spans="1:41">
      <c r="A94" s="636">
        <f t="shared" si="34"/>
        <v>93</v>
      </c>
      <c r="B94" s="637"/>
      <c r="C94" s="803"/>
      <c r="D94" s="802" t="e">
        <f>VLOOKUP(C94,TABVACT,'f-travail'!$BG$2+1,FALSE)</f>
        <v>#N/A</v>
      </c>
      <c r="E94" s="804"/>
      <c r="F94" s="804"/>
      <c r="G94" s="803"/>
      <c r="H94" s="804"/>
      <c r="I94" s="804"/>
      <c r="J94" s="803"/>
      <c r="K94" s="803"/>
      <c r="M94" s="803"/>
      <c r="N94" s="803"/>
      <c r="O94" s="670" t="e">
        <f>VLOOKUP(C94,TABVACT,'f-travail'!$BG$2+5,FALSE)</f>
        <v>#N/A</v>
      </c>
      <c r="P94" s="670" t="e">
        <f>VLOOKUP(C94,TABVACT,'f-travail'!$BG$2+6,FALSE)</f>
        <v>#N/A</v>
      </c>
      <c r="Q94" s="811" t="str">
        <f t="shared" si="20"/>
        <v/>
      </c>
      <c r="R94" s="677" t="b">
        <f t="shared" si="19"/>
        <v>0</v>
      </c>
      <c r="S94" s="678">
        <f t="shared" si="21"/>
        <v>0</v>
      </c>
      <c r="T94" s="673">
        <f t="shared" si="22"/>
        <v>0</v>
      </c>
      <c r="U94" s="678">
        <f t="shared" si="23"/>
        <v>0</v>
      </c>
      <c r="V94" s="675"/>
      <c r="W94" s="675"/>
      <c r="X94" s="678" t="b">
        <f t="shared" si="24"/>
        <v>0</v>
      </c>
      <c r="Y94" s="807" t="b">
        <f t="shared" si="25"/>
        <v>0</v>
      </c>
      <c r="Z94" s="673" t="b">
        <f>IF(E94="ك",VLOOKUP(C94,TABVACT,'f-travail'!$BG$2+9,FALSE),IF(E94="ج",0))</f>
        <v>0</v>
      </c>
      <c r="AA94" s="673" t="b">
        <f>IF(E94="ك",VLOOKUP(C94,TABVACT,'f-travail'!$BG$2+10,FALSE),IF(E94="ج",ROUND((44.42)*AO94,2)))</f>
        <v>0</v>
      </c>
      <c r="AB94" s="673" t="b">
        <f>IF(E94="ك",ROUND(VLOOKUP(C94,TABVACT,'f-travail'!$BG$2+11,FALSE)*(X94+Y94),2),IF(E94="ج",ROUND(((Y94+51.92)*VLOOKUP(C94,TABVACT,'f-travail'!$BG$2+11,FALSE)*AO94),2)))</f>
        <v>0</v>
      </c>
      <c r="AC94" s="673" t="b">
        <f>IF(E94="ك",ROUND(VLOOKUP(C94,TABVACT,'f-travail'!$BG$2+12,FALSE)*(X94+Y94),2),IF(E94="ج",ROUND(((Y94+51.92)*VLOOKUP(C94,TABVACT,'f-travail'!$BG$2+12,FALSE)*AO94),2)))</f>
        <v>0</v>
      </c>
      <c r="AD94" s="673" t="b">
        <f>IF(E94="ك",ROUND(VLOOKUP(C94,TABVACT,'f-travail'!$BG$2+13,FALSE)*(X94+Y94),2),IF(E94="ج",ROUND(((Y94+51.92)*VLOOKUP(C94,TABVACT,'f-travail'!$BG$2+13,FALSE)*AO94),2)))</f>
        <v>0</v>
      </c>
      <c r="AE94" s="673" t="b">
        <f>IF(E94="ك",ROUND(VLOOKUP(C94,TABVACT,'f-travail'!$BG$2+14,FALSE)*(X94+Y94),2),IF(E94="ج",ROUND(((Y94+51.92)*VLOOKUP(C94,TABVACT,'f-travail'!$BG$2+14,FALSE)*AO94),2)))</f>
        <v>0</v>
      </c>
      <c r="AF94" s="673" t="b">
        <f>IF(E94="ك",ROUND(VLOOKUP(C94,TABVACT,'f-travail'!$BG$2+15,FALSE)*(X94+Y94),2),IF(E94="ج",ROUND(((Y94+51.92)*VLOOKUP(C94,TABVACT,'f-travail'!$BG$2+15,FALSE)*AO94),2)))</f>
        <v>0</v>
      </c>
      <c r="AG94" s="673" t="b">
        <f t="shared" si="26"/>
        <v>0</v>
      </c>
      <c r="AH94" s="673">
        <f t="shared" si="27"/>
        <v>0</v>
      </c>
      <c r="AI94" s="673">
        <f t="shared" si="28"/>
        <v>0</v>
      </c>
      <c r="AJ94" s="673">
        <f t="shared" si="29"/>
        <v>0</v>
      </c>
      <c r="AK94" s="674">
        <f t="shared" si="30"/>
        <v>0</v>
      </c>
      <c r="AL94" s="673">
        <f t="shared" si="31"/>
        <v>0</v>
      </c>
      <c r="AM94" s="673">
        <f t="shared" si="32"/>
        <v>0</v>
      </c>
      <c r="AN94" s="810" t="str">
        <f t="shared" si="33"/>
        <v>عازب(ة)</v>
      </c>
      <c r="AO94" s="817">
        <f>LOOKUP(الرئيسية!$N$8,'ورقة العمل'!$T$1:$T$13,'ورقة العمل'!$V$1:$V$13)</f>
        <v>105</v>
      </c>
    </row>
    <row r="95" spans="1:41">
      <c r="A95" s="636">
        <f t="shared" si="34"/>
        <v>94</v>
      </c>
      <c r="B95" s="637"/>
      <c r="C95" s="803"/>
      <c r="D95" s="802" t="e">
        <f>VLOOKUP(C95,TABVACT,'f-travail'!$BG$2+1,FALSE)</f>
        <v>#N/A</v>
      </c>
      <c r="E95" s="804"/>
      <c r="F95" s="804"/>
      <c r="G95" s="803"/>
      <c r="H95" s="804"/>
      <c r="I95" s="804"/>
      <c r="J95" s="803"/>
      <c r="K95" s="803"/>
      <c r="M95" s="803"/>
      <c r="N95" s="803"/>
      <c r="O95" s="670" t="e">
        <f>VLOOKUP(C95,TABVACT,'f-travail'!$BG$2+5,FALSE)</f>
        <v>#N/A</v>
      </c>
      <c r="P95" s="670" t="e">
        <f>VLOOKUP(C95,TABVACT,'f-travail'!$BG$2+6,FALSE)</f>
        <v>#N/A</v>
      </c>
      <c r="Q95" s="811" t="str">
        <f t="shared" si="20"/>
        <v/>
      </c>
      <c r="R95" s="677" t="b">
        <f t="shared" si="19"/>
        <v>0</v>
      </c>
      <c r="S95" s="678">
        <f t="shared" si="21"/>
        <v>0</v>
      </c>
      <c r="T95" s="673">
        <f t="shared" si="22"/>
        <v>0</v>
      </c>
      <c r="U95" s="678">
        <f t="shared" si="23"/>
        <v>0</v>
      </c>
      <c r="V95" s="675"/>
      <c r="W95" s="675"/>
      <c r="X95" s="678" t="b">
        <f t="shared" si="24"/>
        <v>0</v>
      </c>
      <c r="Y95" s="807" t="b">
        <f t="shared" si="25"/>
        <v>0</v>
      </c>
      <c r="Z95" s="673" t="b">
        <f>IF(E95="ك",VLOOKUP(C95,TABVACT,'f-travail'!$BG$2+9,FALSE),IF(E95="ج",0))</f>
        <v>0</v>
      </c>
      <c r="AA95" s="673" t="b">
        <f>IF(E95="ك",VLOOKUP(C95,TABVACT,'f-travail'!$BG$2+10,FALSE),IF(E95="ج",ROUND((44.42)*AO95,2)))</f>
        <v>0</v>
      </c>
      <c r="AB95" s="673" t="b">
        <f>IF(E95="ك",ROUND(VLOOKUP(C95,TABVACT,'f-travail'!$BG$2+11,FALSE)*(X95+Y95),2),IF(E95="ج",ROUND(((Y95+51.92)*VLOOKUP(C95,TABVACT,'f-travail'!$BG$2+11,FALSE)*AO95),2)))</f>
        <v>0</v>
      </c>
      <c r="AC95" s="673" t="b">
        <f>IF(E95="ك",ROUND(VLOOKUP(C95,TABVACT,'f-travail'!$BG$2+12,FALSE)*(X95+Y95),2),IF(E95="ج",ROUND(((Y95+51.92)*VLOOKUP(C95,TABVACT,'f-travail'!$BG$2+12,FALSE)*AO95),2)))</f>
        <v>0</v>
      </c>
      <c r="AD95" s="673" t="b">
        <f>IF(E95="ك",ROUND(VLOOKUP(C95,TABVACT,'f-travail'!$BG$2+13,FALSE)*(X95+Y95),2),IF(E95="ج",ROUND(((Y95+51.92)*VLOOKUP(C95,TABVACT,'f-travail'!$BG$2+13,FALSE)*AO95),2)))</f>
        <v>0</v>
      </c>
      <c r="AE95" s="673" t="b">
        <f>IF(E95="ك",ROUND(VLOOKUP(C95,TABVACT,'f-travail'!$BG$2+14,FALSE)*(X95+Y95),2),IF(E95="ج",ROUND(((Y95+51.92)*VLOOKUP(C95,TABVACT,'f-travail'!$BG$2+14,FALSE)*AO95),2)))</f>
        <v>0</v>
      </c>
      <c r="AF95" s="673" t="b">
        <f>IF(E95="ك",ROUND(VLOOKUP(C95,TABVACT,'f-travail'!$BG$2+15,FALSE)*(X95+Y95),2),IF(E95="ج",ROUND(((Y95+51.92)*VLOOKUP(C95,TABVACT,'f-travail'!$BG$2+15,FALSE)*AO95),2)))</f>
        <v>0</v>
      </c>
      <c r="AG95" s="673" t="b">
        <f t="shared" si="26"/>
        <v>0</v>
      </c>
      <c r="AH95" s="673">
        <f t="shared" si="27"/>
        <v>0</v>
      </c>
      <c r="AI95" s="673">
        <f t="shared" si="28"/>
        <v>0</v>
      </c>
      <c r="AJ95" s="673">
        <f t="shared" si="29"/>
        <v>0</v>
      </c>
      <c r="AK95" s="674">
        <f t="shared" si="30"/>
        <v>0</v>
      </c>
      <c r="AL95" s="673">
        <f t="shared" si="31"/>
        <v>0</v>
      </c>
      <c r="AM95" s="673">
        <f t="shared" si="32"/>
        <v>0</v>
      </c>
      <c r="AN95" s="810" t="str">
        <f t="shared" si="33"/>
        <v>عازب(ة)</v>
      </c>
      <c r="AO95" s="817">
        <f>LOOKUP(الرئيسية!$N$8,'ورقة العمل'!$T$1:$T$13,'ورقة العمل'!$V$1:$V$13)</f>
        <v>105</v>
      </c>
    </row>
    <row r="96" spans="1:41">
      <c r="A96" s="636">
        <f t="shared" si="34"/>
        <v>95</v>
      </c>
      <c r="B96" s="637"/>
      <c r="C96" s="803"/>
      <c r="D96" s="802" t="e">
        <f>VLOOKUP(C96,TABVACT,'f-travail'!$BG$2+1,FALSE)</f>
        <v>#N/A</v>
      </c>
      <c r="E96" s="804"/>
      <c r="F96" s="804"/>
      <c r="G96" s="803"/>
      <c r="H96" s="804"/>
      <c r="I96" s="804"/>
      <c r="J96" s="803"/>
      <c r="K96" s="803"/>
      <c r="M96" s="803"/>
      <c r="N96" s="803"/>
      <c r="O96" s="670" t="e">
        <f>VLOOKUP(C96,TABVACT,'f-travail'!$BG$2+5,FALSE)</f>
        <v>#N/A</v>
      </c>
      <c r="P96" s="670" t="e">
        <f>VLOOKUP(C96,TABVACT,'f-travail'!$BG$2+6,FALSE)</f>
        <v>#N/A</v>
      </c>
      <c r="Q96" s="811" t="str">
        <f t="shared" si="20"/>
        <v/>
      </c>
      <c r="R96" s="677" t="b">
        <f t="shared" si="19"/>
        <v>0</v>
      </c>
      <c r="S96" s="678">
        <f t="shared" si="21"/>
        <v>0</v>
      </c>
      <c r="T96" s="673">
        <f t="shared" si="22"/>
        <v>0</v>
      </c>
      <c r="U96" s="678">
        <f t="shared" si="23"/>
        <v>0</v>
      </c>
      <c r="V96" s="675"/>
      <c r="W96" s="675"/>
      <c r="X96" s="678" t="b">
        <f t="shared" si="24"/>
        <v>0</v>
      </c>
      <c r="Y96" s="807" t="b">
        <f t="shared" si="25"/>
        <v>0</v>
      </c>
      <c r="Z96" s="673" t="b">
        <f>IF(E96="ك",VLOOKUP(C96,TABVACT,'f-travail'!$BG$2+9,FALSE),IF(E96="ج",0))</f>
        <v>0</v>
      </c>
      <c r="AA96" s="673" t="b">
        <f>IF(E96="ك",VLOOKUP(C96,TABVACT,'f-travail'!$BG$2+10,FALSE),IF(E96="ج",ROUND((44.42)*AO96,2)))</f>
        <v>0</v>
      </c>
      <c r="AB96" s="673" t="b">
        <f>IF(E96="ك",ROUND(VLOOKUP(C96,TABVACT,'f-travail'!$BG$2+11,FALSE)*(X96+Y96),2),IF(E96="ج",ROUND(((Y96+51.92)*VLOOKUP(C96,TABVACT,'f-travail'!$BG$2+11,FALSE)*AO96),2)))</f>
        <v>0</v>
      </c>
      <c r="AC96" s="673" t="b">
        <f>IF(E96="ك",ROUND(VLOOKUP(C96,TABVACT,'f-travail'!$BG$2+12,FALSE)*(X96+Y96),2),IF(E96="ج",ROUND(((Y96+51.92)*VLOOKUP(C96,TABVACT,'f-travail'!$BG$2+12,FALSE)*AO96),2)))</f>
        <v>0</v>
      </c>
      <c r="AD96" s="673" t="b">
        <f>IF(E96="ك",ROUND(VLOOKUP(C96,TABVACT,'f-travail'!$BG$2+13,FALSE)*(X96+Y96),2),IF(E96="ج",ROUND(((Y96+51.92)*VLOOKUP(C96,TABVACT,'f-travail'!$BG$2+13,FALSE)*AO96),2)))</f>
        <v>0</v>
      </c>
      <c r="AE96" s="673" t="b">
        <f>IF(E96="ك",ROUND(VLOOKUP(C96,TABVACT,'f-travail'!$BG$2+14,FALSE)*(X96+Y96),2),IF(E96="ج",ROUND(((Y96+51.92)*VLOOKUP(C96,TABVACT,'f-travail'!$BG$2+14,FALSE)*AO96),2)))</f>
        <v>0</v>
      </c>
      <c r="AF96" s="673" t="b">
        <f>IF(E96="ك",ROUND(VLOOKUP(C96,TABVACT,'f-travail'!$BG$2+15,FALSE)*(X96+Y96),2),IF(E96="ج",ROUND(((Y96+51.92)*VLOOKUP(C96,TABVACT,'f-travail'!$BG$2+15,FALSE)*AO96),2)))</f>
        <v>0</v>
      </c>
      <c r="AG96" s="673" t="b">
        <f t="shared" si="26"/>
        <v>0</v>
      </c>
      <c r="AH96" s="673">
        <f t="shared" si="27"/>
        <v>0</v>
      </c>
      <c r="AI96" s="673">
        <f t="shared" si="28"/>
        <v>0</v>
      </c>
      <c r="AJ96" s="673">
        <f t="shared" si="29"/>
        <v>0</v>
      </c>
      <c r="AK96" s="674">
        <f t="shared" si="30"/>
        <v>0</v>
      </c>
      <c r="AL96" s="673">
        <f t="shared" si="31"/>
        <v>0</v>
      </c>
      <c r="AM96" s="673">
        <f t="shared" si="32"/>
        <v>0</v>
      </c>
      <c r="AN96" s="810" t="str">
        <f t="shared" si="33"/>
        <v>عازب(ة)</v>
      </c>
      <c r="AO96" s="817">
        <f>LOOKUP(الرئيسية!$N$8,'ورقة العمل'!$T$1:$T$13,'ورقة العمل'!$V$1:$V$13)</f>
        <v>105</v>
      </c>
    </row>
    <row r="97" spans="1:41">
      <c r="A97" s="636">
        <f t="shared" si="34"/>
        <v>96</v>
      </c>
      <c r="B97" s="637"/>
      <c r="C97" s="803"/>
      <c r="D97" s="802" t="e">
        <f>VLOOKUP(C97,TABVACT,'f-travail'!$BG$2+1,FALSE)</f>
        <v>#N/A</v>
      </c>
      <c r="E97" s="804"/>
      <c r="F97" s="804"/>
      <c r="G97" s="803"/>
      <c r="H97" s="804"/>
      <c r="I97" s="804"/>
      <c r="J97" s="803"/>
      <c r="K97" s="803"/>
      <c r="M97" s="803"/>
      <c r="N97" s="803"/>
      <c r="O97" s="670" t="e">
        <f>VLOOKUP(C97,TABVACT,'f-travail'!$BG$2+5,FALSE)</f>
        <v>#N/A</v>
      </c>
      <c r="P97" s="670" t="e">
        <f>VLOOKUP(C97,TABVACT,'f-travail'!$BG$2+6,FALSE)</f>
        <v>#N/A</v>
      </c>
      <c r="Q97" s="811" t="str">
        <f t="shared" si="20"/>
        <v/>
      </c>
      <c r="R97" s="677" t="b">
        <f t="shared" si="19"/>
        <v>0</v>
      </c>
      <c r="S97" s="678">
        <f t="shared" si="21"/>
        <v>0</v>
      </c>
      <c r="T97" s="673">
        <f t="shared" si="22"/>
        <v>0</v>
      </c>
      <c r="U97" s="678">
        <f t="shared" si="23"/>
        <v>0</v>
      </c>
      <c r="V97" s="675"/>
      <c r="W97" s="675"/>
      <c r="X97" s="678" t="b">
        <f t="shared" si="24"/>
        <v>0</v>
      </c>
      <c r="Y97" s="807" t="b">
        <f t="shared" si="25"/>
        <v>0</v>
      </c>
      <c r="Z97" s="673" t="b">
        <f>IF(E97="ك",VLOOKUP(C97,TABVACT,'f-travail'!$BG$2+9,FALSE),IF(E97="ج",0))</f>
        <v>0</v>
      </c>
      <c r="AA97" s="673" t="b">
        <f>IF(E97="ك",VLOOKUP(C97,TABVACT,'f-travail'!$BG$2+10,FALSE),IF(E97="ج",ROUND((44.42)*AO97,2)))</f>
        <v>0</v>
      </c>
      <c r="AB97" s="673" t="b">
        <f>IF(E97="ك",ROUND(VLOOKUP(C97,TABVACT,'f-travail'!$BG$2+11,FALSE)*(X97+Y97),2),IF(E97="ج",ROUND(((Y97+51.92)*VLOOKUP(C97,TABVACT,'f-travail'!$BG$2+11,FALSE)*AO97),2)))</f>
        <v>0</v>
      </c>
      <c r="AC97" s="673" t="b">
        <f>IF(E97="ك",ROUND(VLOOKUP(C97,TABVACT,'f-travail'!$BG$2+12,FALSE)*(X97+Y97),2),IF(E97="ج",ROUND(((Y97+51.92)*VLOOKUP(C97,TABVACT,'f-travail'!$BG$2+12,FALSE)*AO97),2)))</f>
        <v>0</v>
      </c>
      <c r="AD97" s="673" t="b">
        <f>IF(E97="ك",ROUND(VLOOKUP(C97,TABVACT,'f-travail'!$BG$2+13,FALSE)*(X97+Y97),2),IF(E97="ج",ROUND(((Y97+51.92)*VLOOKUP(C97,TABVACT,'f-travail'!$BG$2+13,FALSE)*AO97),2)))</f>
        <v>0</v>
      </c>
      <c r="AE97" s="673" t="b">
        <f>IF(E97="ك",ROUND(VLOOKUP(C97,TABVACT,'f-travail'!$BG$2+14,FALSE)*(X97+Y97),2),IF(E97="ج",ROUND(((Y97+51.92)*VLOOKUP(C97,TABVACT,'f-travail'!$BG$2+14,FALSE)*AO97),2)))</f>
        <v>0</v>
      </c>
      <c r="AF97" s="673" t="b">
        <f>IF(E97="ك",ROUND(VLOOKUP(C97,TABVACT,'f-travail'!$BG$2+15,FALSE)*(X97+Y97),2),IF(E97="ج",ROUND(((Y97+51.92)*VLOOKUP(C97,TABVACT,'f-travail'!$BG$2+15,FALSE)*AO97),2)))</f>
        <v>0</v>
      </c>
      <c r="AG97" s="673" t="b">
        <f t="shared" si="26"/>
        <v>0</v>
      </c>
      <c r="AH97" s="673">
        <f t="shared" si="27"/>
        <v>0</v>
      </c>
      <c r="AI97" s="673">
        <f t="shared" si="28"/>
        <v>0</v>
      </c>
      <c r="AJ97" s="673">
        <f t="shared" si="29"/>
        <v>0</v>
      </c>
      <c r="AK97" s="674">
        <f t="shared" si="30"/>
        <v>0</v>
      </c>
      <c r="AL97" s="673">
        <f t="shared" si="31"/>
        <v>0</v>
      </c>
      <c r="AM97" s="673">
        <f t="shared" si="32"/>
        <v>0</v>
      </c>
      <c r="AN97" s="810" t="str">
        <f t="shared" si="33"/>
        <v>عازب(ة)</v>
      </c>
      <c r="AO97" s="817">
        <f>LOOKUP(الرئيسية!$N$8,'ورقة العمل'!$T$1:$T$13,'ورقة العمل'!$V$1:$V$13)</f>
        <v>105</v>
      </c>
    </row>
    <row r="98" spans="1:41">
      <c r="A98" s="636">
        <f t="shared" si="34"/>
        <v>97</v>
      </c>
      <c r="B98" s="637"/>
      <c r="C98" s="803"/>
      <c r="D98" s="802" t="e">
        <f>VLOOKUP(C98,TABVACT,'f-travail'!$BG$2+1,FALSE)</f>
        <v>#N/A</v>
      </c>
      <c r="E98" s="804"/>
      <c r="F98" s="804"/>
      <c r="G98" s="803"/>
      <c r="H98" s="804"/>
      <c r="I98" s="804"/>
      <c r="J98" s="803"/>
      <c r="K98" s="803"/>
      <c r="M98" s="803"/>
      <c r="N98" s="803"/>
      <c r="O98" s="670" t="e">
        <f>VLOOKUP(C98,TABVACT,'f-travail'!$BG$2+5,FALSE)</f>
        <v>#N/A</v>
      </c>
      <c r="P98" s="670" t="e">
        <f>VLOOKUP(C98,TABVACT,'f-travail'!$BG$2+6,FALSE)</f>
        <v>#N/A</v>
      </c>
      <c r="Q98" s="811" t="str">
        <f t="shared" si="20"/>
        <v/>
      </c>
      <c r="R98" s="677" t="b">
        <f t="shared" si="19"/>
        <v>0</v>
      </c>
      <c r="S98" s="678">
        <f t="shared" si="21"/>
        <v>0</v>
      </c>
      <c r="T98" s="673">
        <f t="shared" si="22"/>
        <v>0</v>
      </c>
      <c r="U98" s="678">
        <f t="shared" si="23"/>
        <v>0</v>
      </c>
      <c r="V98" s="675"/>
      <c r="W98" s="675"/>
      <c r="X98" s="678" t="b">
        <f t="shared" si="24"/>
        <v>0</v>
      </c>
      <c r="Y98" s="807" t="b">
        <f t="shared" si="25"/>
        <v>0</v>
      </c>
      <c r="Z98" s="673" t="b">
        <f>IF(E98="ك",VLOOKUP(C98,TABVACT,'f-travail'!$BG$2+9,FALSE),IF(E98="ج",0))</f>
        <v>0</v>
      </c>
      <c r="AA98" s="673" t="b">
        <f>IF(E98="ك",VLOOKUP(C98,TABVACT,'f-travail'!$BG$2+10,FALSE),IF(E98="ج",ROUND((44.42)*AO98,2)))</f>
        <v>0</v>
      </c>
      <c r="AB98" s="673" t="b">
        <f>IF(E98="ك",ROUND(VLOOKUP(C98,TABVACT,'f-travail'!$BG$2+11,FALSE)*(X98+Y98),2),IF(E98="ج",ROUND(((Y98+51.92)*VLOOKUP(C98,TABVACT,'f-travail'!$BG$2+11,FALSE)*AO98),2)))</f>
        <v>0</v>
      </c>
      <c r="AC98" s="673" t="b">
        <f>IF(E98="ك",ROUND(VLOOKUP(C98,TABVACT,'f-travail'!$BG$2+12,FALSE)*(X98+Y98),2),IF(E98="ج",ROUND(((Y98+51.92)*VLOOKUP(C98,TABVACT,'f-travail'!$BG$2+12,FALSE)*AO98),2)))</f>
        <v>0</v>
      </c>
      <c r="AD98" s="673" t="b">
        <f>IF(E98="ك",ROUND(VLOOKUP(C98,TABVACT,'f-travail'!$BG$2+13,FALSE)*(X98+Y98),2),IF(E98="ج",ROUND(((Y98+51.92)*VLOOKUP(C98,TABVACT,'f-travail'!$BG$2+13,FALSE)*AO98),2)))</f>
        <v>0</v>
      </c>
      <c r="AE98" s="673" t="b">
        <f>IF(E98="ك",ROUND(VLOOKUP(C98,TABVACT,'f-travail'!$BG$2+14,FALSE)*(X98+Y98),2),IF(E98="ج",ROUND(((Y98+51.92)*VLOOKUP(C98,TABVACT,'f-travail'!$BG$2+14,FALSE)*AO98),2)))</f>
        <v>0</v>
      </c>
      <c r="AF98" s="673" t="b">
        <f>IF(E98="ك",ROUND(VLOOKUP(C98,TABVACT,'f-travail'!$BG$2+15,FALSE)*(X98+Y98),2),IF(E98="ج",ROUND(((Y98+51.92)*VLOOKUP(C98,TABVACT,'f-travail'!$BG$2+15,FALSE)*AO98),2)))</f>
        <v>0</v>
      </c>
      <c r="AG98" s="673" t="b">
        <f t="shared" si="26"/>
        <v>0</v>
      </c>
      <c r="AH98" s="673">
        <f t="shared" si="27"/>
        <v>0</v>
      </c>
      <c r="AI98" s="673">
        <f t="shared" si="28"/>
        <v>0</v>
      </c>
      <c r="AJ98" s="673">
        <f t="shared" si="29"/>
        <v>0</v>
      </c>
      <c r="AK98" s="674">
        <f t="shared" si="30"/>
        <v>0</v>
      </c>
      <c r="AL98" s="673">
        <f t="shared" si="31"/>
        <v>0</v>
      </c>
      <c r="AM98" s="673">
        <f t="shared" si="32"/>
        <v>0</v>
      </c>
      <c r="AN98" s="810" t="str">
        <f t="shared" si="33"/>
        <v>عازب(ة)</v>
      </c>
      <c r="AO98" s="817">
        <f>LOOKUP(الرئيسية!$N$8,'ورقة العمل'!$T$1:$T$13,'ورقة العمل'!$V$1:$V$13)</f>
        <v>105</v>
      </c>
    </row>
    <row r="99" spans="1:41">
      <c r="A99" s="636">
        <f t="shared" si="34"/>
        <v>98</v>
      </c>
      <c r="B99" s="637"/>
      <c r="C99" s="803"/>
      <c r="D99" s="802" t="e">
        <f>VLOOKUP(C99,TABVACT,'f-travail'!$BG$2+1,FALSE)</f>
        <v>#N/A</v>
      </c>
      <c r="E99" s="804"/>
      <c r="F99" s="804"/>
      <c r="G99" s="803"/>
      <c r="H99" s="804"/>
      <c r="I99" s="804"/>
      <c r="J99" s="803"/>
      <c r="K99" s="803"/>
      <c r="M99" s="803"/>
      <c r="N99" s="803"/>
      <c r="O99" s="670" t="e">
        <f>VLOOKUP(C99,TABVACT,'f-travail'!$BG$2+5,FALSE)</f>
        <v>#N/A</v>
      </c>
      <c r="P99" s="670" t="e">
        <f>VLOOKUP(C99,TABVACT,'f-travail'!$BG$2+6,FALSE)</f>
        <v>#N/A</v>
      </c>
      <c r="Q99" s="811" t="str">
        <f t="shared" si="20"/>
        <v/>
      </c>
      <c r="R99" s="677" t="b">
        <f t="shared" si="19"/>
        <v>0</v>
      </c>
      <c r="S99" s="678">
        <f t="shared" si="21"/>
        <v>0</v>
      </c>
      <c r="T99" s="673">
        <f t="shared" si="22"/>
        <v>0</v>
      </c>
      <c r="U99" s="678">
        <f t="shared" si="23"/>
        <v>0</v>
      </c>
      <c r="V99" s="675"/>
      <c r="W99" s="675"/>
      <c r="X99" s="678" t="b">
        <f t="shared" si="24"/>
        <v>0</v>
      </c>
      <c r="Y99" s="807" t="b">
        <f t="shared" si="25"/>
        <v>0</v>
      </c>
      <c r="Z99" s="673" t="b">
        <f>IF(E99="ك",VLOOKUP(C99,TABVACT,'f-travail'!$BG$2+9,FALSE),IF(E99="ج",0))</f>
        <v>0</v>
      </c>
      <c r="AA99" s="673" t="b">
        <f>IF(E99="ك",VLOOKUP(C99,TABVACT,'f-travail'!$BG$2+10,FALSE),IF(E99="ج",ROUND((44.42)*AO99,2)))</f>
        <v>0</v>
      </c>
      <c r="AB99" s="673" t="b">
        <f>IF(E99="ك",ROUND(VLOOKUP(C99,TABVACT,'f-travail'!$BG$2+11,FALSE)*(X99+Y99),2),IF(E99="ج",ROUND(((Y99+51.92)*VLOOKUP(C99,TABVACT,'f-travail'!$BG$2+11,FALSE)*AO99),2)))</f>
        <v>0</v>
      </c>
      <c r="AC99" s="673" t="b">
        <f>IF(E99="ك",ROUND(VLOOKUP(C99,TABVACT,'f-travail'!$BG$2+12,FALSE)*(X99+Y99),2),IF(E99="ج",ROUND(((Y99+51.92)*VLOOKUP(C99,TABVACT,'f-travail'!$BG$2+12,FALSE)*AO99),2)))</f>
        <v>0</v>
      </c>
      <c r="AD99" s="673" t="b">
        <f>IF(E99="ك",ROUND(VLOOKUP(C99,TABVACT,'f-travail'!$BG$2+13,FALSE)*(X99+Y99),2),IF(E99="ج",ROUND(((Y99+51.92)*VLOOKUP(C99,TABVACT,'f-travail'!$BG$2+13,FALSE)*AO99),2)))</f>
        <v>0</v>
      </c>
      <c r="AE99" s="673" t="b">
        <f>IF(E99="ك",ROUND(VLOOKUP(C99,TABVACT,'f-travail'!$BG$2+14,FALSE)*(X99+Y99),2),IF(E99="ج",ROUND(((Y99+51.92)*VLOOKUP(C99,TABVACT,'f-travail'!$BG$2+14,FALSE)*AO99),2)))</f>
        <v>0</v>
      </c>
      <c r="AF99" s="673" t="b">
        <f>IF(E99="ك",ROUND(VLOOKUP(C99,TABVACT,'f-travail'!$BG$2+15,FALSE)*(X99+Y99),2),IF(E99="ج",ROUND(((Y99+51.92)*VLOOKUP(C99,TABVACT,'f-travail'!$BG$2+15,FALSE)*AO99),2)))</f>
        <v>0</v>
      </c>
      <c r="AG99" s="673" t="b">
        <f t="shared" si="26"/>
        <v>0</v>
      </c>
      <c r="AH99" s="673">
        <f t="shared" si="27"/>
        <v>0</v>
      </c>
      <c r="AI99" s="673">
        <f t="shared" si="28"/>
        <v>0</v>
      </c>
      <c r="AJ99" s="673">
        <f t="shared" si="29"/>
        <v>0</v>
      </c>
      <c r="AK99" s="674">
        <f t="shared" si="30"/>
        <v>0</v>
      </c>
      <c r="AL99" s="673">
        <f t="shared" si="31"/>
        <v>0</v>
      </c>
      <c r="AM99" s="673">
        <f t="shared" si="32"/>
        <v>0</v>
      </c>
      <c r="AN99" s="810" t="str">
        <f t="shared" si="33"/>
        <v>عازب(ة)</v>
      </c>
      <c r="AO99" s="817">
        <f>LOOKUP(الرئيسية!$N$8,'ورقة العمل'!$T$1:$T$13,'ورقة العمل'!$V$1:$V$13)</f>
        <v>105</v>
      </c>
    </row>
    <row r="100" spans="1:41">
      <c r="A100" s="636">
        <f t="shared" si="34"/>
        <v>99</v>
      </c>
      <c r="B100" s="637"/>
      <c r="C100" s="803"/>
      <c r="D100" s="802" t="e">
        <f>VLOOKUP(C100,TABVACT,'f-travail'!$BG$2+1,FALSE)</f>
        <v>#N/A</v>
      </c>
      <c r="E100" s="804"/>
      <c r="F100" s="804"/>
      <c r="G100" s="803"/>
      <c r="H100" s="804"/>
      <c r="I100" s="804"/>
      <c r="J100" s="803"/>
      <c r="K100" s="803"/>
      <c r="M100" s="803"/>
      <c r="N100" s="803"/>
      <c r="O100" s="670" t="e">
        <f>VLOOKUP(C100,TABVACT,'f-travail'!$BG$2+5,FALSE)</f>
        <v>#N/A</v>
      </c>
      <c r="P100" s="670" t="e">
        <f>VLOOKUP(C100,TABVACT,'f-travail'!$BG$2+6,FALSE)</f>
        <v>#N/A</v>
      </c>
      <c r="Q100" s="811" t="str">
        <f t="shared" si="20"/>
        <v/>
      </c>
      <c r="R100" s="677" t="b">
        <f t="shared" si="19"/>
        <v>0</v>
      </c>
      <c r="S100" s="678">
        <f t="shared" si="21"/>
        <v>0</v>
      </c>
      <c r="T100" s="673">
        <f t="shared" si="22"/>
        <v>0</v>
      </c>
      <c r="U100" s="678">
        <f t="shared" si="23"/>
        <v>0</v>
      </c>
      <c r="V100" s="675"/>
      <c r="W100" s="675"/>
      <c r="X100" s="678" t="b">
        <f t="shared" si="24"/>
        <v>0</v>
      </c>
      <c r="Y100" s="807" t="b">
        <f t="shared" si="25"/>
        <v>0</v>
      </c>
      <c r="Z100" s="673" t="b">
        <f>IF(E100="ك",VLOOKUP(C100,TABVACT,'f-travail'!$BG$2+9,FALSE),IF(E100="ج",0))</f>
        <v>0</v>
      </c>
      <c r="AA100" s="673" t="b">
        <f>IF(E100="ك",VLOOKUP(C100,TABVACT,'f-travail'!$BG$2+10,FALSE),IF(E100="ج",ROUND((44.42)*AO100,2)))</f>
        <v>0</v>
      </c>
      <c r="AB100" s="673" t="b">
        <f>IF(E100="ك",ROUND(VLOOKUP(C100,TABVACT,'f-travail'!$BG$2+11,FALSE)*(X100+Y100),2),IF(E100="ج",ROUND(((Y100+51.92)*VLOOKUP(C100,TABVACT,'f-travail'!$BG$2+11,FALSE)*AO100),2)))</f>
        <v>0</v>
      </c>
      <c r="AC100" s="673" t="b">
        <f>IF(E100="ك",ROUND(VLOOKUP(C100,TABVACT,'f-travail'!$BG$2+12,FALSE)*(X100+Y100),2),IF(E100="ج",ROUND(((Y100+51.92)*VLOOKUP(C100,TABVACT,'f-travail'!$BG$2+12,FALSE)*AO100),2)))</f>
        <v>0</v>
      </c>
      <c r="AD100" s="673" t="b">
        <f>IF(E100="ك",ROUND(VLOOKUP(C100,TABVACT,'f-travail'!$BG$2+13,FALSE)*(X100+Y100),2),IF(E100="ج",ROUND(((Y100+51.92)*VLOOKUP(C100,TABVACT,'f-travail'!$BG$2+13,FALSE)*AO100),2)))</f>
        <v>0</v>
      </c>
      <c r="AE100" s="673" t="b">
        <f>IF(E100="ك",ROUND(VLOOKUP(C100,TABVACT,'f-travail'!$BG$2+14,FALSE)*(X100+Y100),2),IF(E100="ج",ROUND(((Y100+51.92)*VLOOKUP(C100,TABVACT,'f-travail'!$BG$2+14,FALSE)*AO100),2)))</f>
        <v>0</v>
      </c>
      <c r="AF100" s="673" t="b">
        <f>IF(E100="ك",ROUND(VLOOKUP(C100,TABVACT,'f-travail'!$BG$2+15,FALSE)*(X100+Y100),2),IF(E100="ج",ROUND(((Y100+51.92)*VLOOKUP(C100,TABVACT,'f-travail'!$BG$2+15,FALSE)*AO100),2)))</f>
        <v>0</v>
      </c>
      <c r="AG100" s="673" t="b">
        <f t="shared" si="26"/>
        <v>0</v>
      </c>
      <c r="AH100" s="673">
        <f t="shared" si="27"/>
        <v>0</v>
      </c>
      <c r="AI100" s="673">
        <f t="shared" si="28"/>
        <v>0</v>
      </c>
      <c r="AJ100" s="673">
        <f t="shared" si="29"/>
        <v>0</v>
      </c>
      <c r="AK100" s="674">
        <f t="shared" si="30"/>
        <v>0</v>
      </c>
      <c r="AL100" s="673">
        <f t="shared" si="31"/>
        <v>0</v>
      </c>
      <c r="AM100" s="673">
        <f t="shared" si="32"/>
        <v>0</v>
      </c>
      <c r="AN100" s="810" t="str">
        <f t="shared" si="33"/>
        <v>عازب(ة)</v>
      </c>
      <c r="AO100" s="817">
        <f>LOOKUP(الرئيسية!$N$8,'ورقة العمل'!$T$1:$T$13,'ورقة العمل'!$V$1:$V$13)</f>
        <v>105</v>
      </c>
    </row>
  </sheetData>
  <dataValidations count="7">
    <dataValidation type="list" allowBlank="1" showInputMessage="1" showErrorMessage="1" error="الرقم المحجوز خارج نطاق القائمة الموضوعة لتحديد الرتبة أعد إدخال رقم جديد ضمن القائمة المحددة التي تجدها في التعليق" sqref="C2:C100">
      <formula1>"1,2,3,4,5,6,7,8,9,10,11,12,13"</formula1>
    </dataValidation>
    <dataValidation type="list" allowBlank="1" showInputMessage="1" showErrorMessage="1" error="خطأ في رمز عقد العمل أعد إدخال إحدى الرموز المبينة ضمن التعليق" sqref="E2:E100">
      <formula1>"ك,ج"</formula1>
    </dataValidation>
    <dataValidation type="list" allowBlank="1" showInputMessage="1" showErrorMessage="1" error="خطأ ....... لا توجد هذه الحالة ..... إختر واحدة ضمن القائمة ." sqref="G2:G100">
      <formula1>"عازب(ة),عازب(ة)كفيل,متزوج(ة),متزوج(ة)ماكثة,متزوج(ة)عاملة, مطلق(ة)"</formula1>
    </dataValidation>
    <dataValidation type="list" allowBlank="1" showInputMessage="1" showErrorMessage="1" error="خطأ ..... لا يجب أن يفوق العدد 3 أطفال طبقا للنصوص التنظيمية المعمول بها" sqref="I2:I100">
      <formula1>"1,2,3"</formula1>
    </dataValidation>
    <dataValidation type="list" allowBlank="1" showInputMessage="1" showErrorMessage="1" sqref="H2:H100">
      <formula1>"0,1,2,3,4,5,6,7,8,9,10,11,12,13,14,15,16,17,18,19,20"</formula1>
    </dataValidation>
    <dataValidation type="list" allowBlank="1" showInputMessage="1" showErrorMessage="1" error="خطأ ..... لاتوجد هذه القيمة ...إختر إحدى القيمتين من القائمة الموضحة في التعليق" sqref="J2:J100">
      <formula1>"0,1"</formula1>
    </dataValidation>
    <dataValidation type="list" allowBlank="1" showInputMessage="1" showErrorMessage="1" error="خطأ........إختر إحدى المقرات الموجودة في القائمة" sqref="M2:N100">
      <formula1>"الخزينة الولائية,لبنك الوطني الجزائري,بنك الفلاحة و التنمية الريفية,بنك التنمية المحلية,البنك الخارجي الجزائري,الحساب الجاري البريدي,القرض الشعبي الجزائري,الصندوق الوطني للتوفير والإحتياط"</formula1>
    </dataValidation>
  </dataValidations>
  <pageMargins left="0.78740157499999996" right="0.78740157499999996" top="0.984251969" bottom="0.984251969" header="0.4921259845" footer="0.4921259845"/>
  <pageSetup paperSize="9" orientation="portrait" horizontalDpi="180" verticalDpi="18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filterMode="1">
    <tabColor rgb="FF00B050"/>
  </sheetPr>
  <dimension ref="A1:AV118"/>
  <sheetViews>
    <sheetView showGridLines="0" rightToLeft="1" view="pageBreakPreview" zoomScale="40" zoomScaleSheetLayoutView="40" workbookViewId="0">
      <selection activeCell="E16" sqref="E16"/>
    </sheetView>
  </sheetViews>
  <sheetFormatPr baseColWidth="10" defaultRowHeight="12.75"/>
  <cols>
    <col min="1" max="1" width="13" style="77" bestFit="1" customWidth="1"/>
    <col min="3" max="3" width="42.85546875" customWidth="1"/>
    <col min="4" max="4" width="32" customWidth="1"/>
    <col min="5" max="5" width="53.7109375" customWidth="1"/>
    <col min="6" max="6" width="41.85546875" customWidth="1"/>
    <col min="7" max="7" width="37.28515625" customWidth="1"/>
    <col min="8" max="8" width="40.7109375" customWidth="1"/>
    <col min="9" max="10" width="38.42578125" customWidth="1"/>
    <col min="11" max="11" width="31.7109375" customWidth="1"/>
    <col min="12" max="12" width="40.7109375" customWidth="1"/>
    <col min="13" max="13" width="34.42578125" customWidth="1"/>
    <col min="14" max="17" width="40.7109375" customWidth="1"/>
    <col min="18" max="18" width="39" customWidth="1"/>
    <col min="19" max="19" width="35" customWidth="1"/>
    <col min="20" max="20" width="38.42578125" customWidth="1"/>
    <col min="21" max="21" width="37.28515625" customWidth="1"/>
    <col min="22" max="23" width="40.7109375" customWidth="1"/>
    <col min="24" max="24" width="34.42578125" customWidth="1"/>
    <col min="25" max="25" width="40.7109375" customWidth="1"/>
    <col min="26" max="26" width="49.28515625" style="73" customWidth="1"/>
    <col min="27" max="27" width="34.28515625" hidden="1" customWidth="1"/>
    <col min="28" max="28" width="14.5703125" bestFit="1" customWidth="1"/>
    <col min="30" max="32" width="11.42578125" style="66"/>
    <col min="33" max="34" width="0" style="1120" hidden="1" customWidth="1"/>
    <col min="35" max="35" width="13.28515625" style="1120" hidden="1" customWidth="1"/>
    <col min="36" max="36" width="0" style="66" hidden="1" customWidth="1"/>
    <col min="37" max="40" width="0" hidden="1" customWidth="1"/>
  </cols>
  <sheetData>
    <row r="1" spans="1:43" ht="39.75" customHeight="1">
      <c r="C1" s="60"/>
      <c r="D1" s="21"/>
      <c r="E1" s="61"/>
      <c r="AD1" s="63"/>
      <c r="AE1" s="63"/>
      <c r="AF1" s="64"/>
      <c r="AG1" s="1119"/>
      <c r="AI1" s="1119"/>
      <c r="AJ1" s="65"/>
    </row>
    <row r="2" spans="1:43" ht="39.75" customHeight="1">
      <c r="C2" s="59"/>
      <c r="D2" s="58"/>
      <c r="E2" s="61"/>
      <c r="AD2" s="63"/>
      <c r="AE2" s="63"/>
      <c r="AF2" s="64"/>
      <c r="AG2" s="1119"/>
      <c r="AI2" s="1119"/>
      <c r="AJ2" s="65"/>
    </row>
    <row r="3" spans="1:43" ht="39.75" customHeight="1">
      <c r="AD3" s="63"/>
      <c r="AE3" s="63"/>
      <c r="AF3" s="64"/>
      <c r="AG3" s="1119"/>
      <c r="AI3" s="1119"/>
      <c r="AJ3" s="65"/>
    </row>
    <row r="4" spans="1:43" ht="39.75" customHeight="1">
      <c r="AD4" s="63"/>
      <c r="AE4" s="63"/>
      <c r="AF4" s="64"/>
      <c r="AG4" s="1119"/>
      <c r="AI4" s="1119"/>
      <c r="AJ4" s="65"/>
    </row>
    <row r="5" spans="1:43" s="2" customFormat="1" ht="41.25" customHeight="1">
      <c r="A5" s="78"/>
      <c r="B5" s="57"/>
      <c r="C5" s="57"/>
      <c r="D5" s="57"/>
      <c r="E5" s="57"/>
      <c r="F5" s="57"/>
      <c r="G5" s="57"/>
      <c r="H5" s="57"/>
      <c r="I5" s="57"/>
      <c r="J5" s="57"/>
      <c r="K5" s="57"/>
      <c r="L5" s="57"/>
      <c r="M5" s="57"/>
      <c r="N5" s="57"/>
      <c r="O5" s="57"/>
      <c r="P5" s="57"/>
      <c r="Q5" s="57"/>
      <c r="R5" s="57"/>
      <c r="S5" s="57"/>
      <c r="T5" s="57"/>
      <c r="U5" s="57"/>
      <c r="V5" s="57"/>
      <c r="W5" s="57"/>
      <c r="X5" s="57"/>
      <c r="Y5" s="5"/>
      <c r="Z5" s="74"/>
      <c r="AD5" s="63"/>
      <c r="AE5" s="63"/>
      <c r="AF5" s="64"/>
      <c r="AG5" s="1119"/>
      <c r="AH5" s="1121"/>
      <c r="AI5" s="1119"/>
      <c r="AJ5" s="65"/>
      <c r="AK5" s="6"/>
      <c r="AM5" s="6"/>
      <c r="AO5" s="6"/>
      <c r="AQ5" s="6"/>
    </row>
    <row r="6" spans="1:43" s="2" customFormat="1" ht="45">
      <c r="A6" s="78"/>
      <c r="B6" s="7"/>
      <c r="C6" s="53" t="s">
        <v>1</v>
      </c>
      <c r="D6" s="8"/>
      <c r="E6" s="9"/>
      <c r="F6" s="10"/>
      <c r="G6" s="10"/>
      <c r="H6" s="11"/>
      <c r="I6" s="11"/>
      <c r="J6" s="11"/>
      <c r="K6" s="11"/>
      <c r="L6" s="11"/>
      <c r="M6" s="12"/>
      <c r="N6" s="11"/>
      <c r="O6" s="11"/>
      <c r="P6" s="11"/>
      <c r="Q6" s="11"/>
      <c r="R6" s="11"/>
      <c r="S6" s="11"/>
      <c r="T6" s="11"/>
      <c r="U6" s="11"/>
      <c r="V6" s="11"/>
      <c r="W6" s="11"/>
      <c r="X6" s="11"/>
      <c r="Y6" s="5"/>
      <c r="Z6" s="74"/>
      <c r="AD6" s="67"/>
      <c r="AE6" s="67"/>
      <c r="AF6" s="64"/>
      <c r="AG6" s="1119"/>
      <c r="AH6" s="1121"/>
      <c r="AI6" s="1119"/>
      <c r="AJ6" s="67"/>
      <c r="AK6" s="6"/>
      <c r="AM6" s="6"/>
      <c r="AO6" s="6"/>
      <c r="AQ6" s="6"/>
    </row>
    <row r="7" spans="1:43" s="2" customFormat="1" ht="45">
      <c r="A7" s="78"/>
      <c r="B7" s="13"/>
      <c r="C7" s="1384" t="s">
        <v>808</v>
      </c>
      <c r="D7" s="8"/>
      <c r="E7" s="9"/>
      <c r="F7" s="14"/>
      <c r="G7" s="14"/>
      <c r="H7" s="14"/>
      <c r="I7" s="14"/>
      <c r="J7" s="14"/>
      <c r="K7" s="14"/>
      <c r="L7" s="14"/>
      <c r="M7" s="15"/>
      <c r="N7" s="14"/>
      <c r="O7" s="14"/>
      <c r="P7" s="14"/>
      <c r="Q7" s="14"/>
      <c r="R7" s="14"/>
      <c r="S7" s="14"/>
      <c r="T7" s="14"/>
      <c r="U7" s="14"/>
      <c r="V7" s="14"/>
      <c r="W7" s="14"/>
      <c r="X7" s="14"/>
      <c r="Y7" s="5"/>
      <c r="Z7" s="74"/>
      <c r="AD7" s="67"/>
      <c r="AE7" s="67"/>
      <c r="AF7" s="64"/>
      <c r="AG7" s="1119"/>
      <c r="AH7" s="1121"/>
      <c r="AI7" s="1119"/>
      <c r="AJ7" s="67"/>
      <c r="AK7" s="6"/>
      <c r="AM7" s="6"/>
      <c r="AO7" s="6"/>
      <c r="AQ7" s="6"/>
    </row>
    <row r="8" spans="1:43" s="2" customFormat="1" ht="45">
      <c r="A8" s="78"/>
      <c r="B8" s="13"/>
      <c r="C8" s="1384" t="s">
        <v>887</v>
      </c>
      <c r="D8" s="8"/>
      <c r="E8" s="9"/>
      <c r="F8" s="14"/>
      <c r="G8" s="14"/>
      <c r="H8" s="16"/>
      <c r="I8" s="14"/>
      <c r="J8" s="14"/>
      <c r="K8" s="14"/>
      <c r="L8" s="14"/>
      <c r="M8" s="15"/>
      <c r="N8" s="14"/>
      <c r="O8" s="14"/>
      <c r="P8" s="14"/>
      <c r="Q8" s="14"/>
      <c r="R8" s="14"/>
      <c r="S8" s="14"/>
      <c r="T8" s="14"/>
      <c r="U8" s="14"/>
      <c r="V8" s="14"/>
      <c r="W8" s="14"/>
      <c r="X8" s="14"/>
      <c r="Y8" s="5"/>
      <c r="Z8" s="74"/>
      <c r="AD8" s="67"/>
      <c r="AE8" s="67"/>
      <c r="AF8" s="64"/>
      <c r="AG8" s="1119"/>
      <c r="AH8" s="1121"/>
      <c r="AI8" s="1119"/>
      <c r="AJ8" s="67"/>
      <c r="AK8" s="6"/>
      <c r="AM8" s="6"/>
      <c r="AO8" s="6"/>
      <c r="AQ8" s="6"/>
    </row>
    <row r="9" spans="1:43" s="2" customFormat="1" ht="35.25">
      <c r="A9" s="78"/>
      <c r="B9" s="13"/>
      <c r="C9" s="17"/>
      <c r="D9" s="18"/>
      <c r="E9" s="17"/>
      <c r="F9" s="19"/>
      <c r="G9" s="19"/>
      <c r="H9" s="19"/>
      <c r="I9" s="19"/>
      <c r="J9" s="19"/>
      <c r="K9" s="20"/>
      <c r="L9" s="20"/>
      <c r="M9" s="977"/>
      <c r="N9" s="20"/>
      <c r="O9" s="14"/>
      <c r="P9" s="14"/>
      <c r="Q9" s="14"/>
      <c r="R9" s="14"/>
      <c r="S9" s="14"/>
      <c r="T9" s="14"/>
      <c r="U9" s="14"/>
      <c r="V9" s="14"/>
      <c r="W9" s="14"/>
      <c r="X9" s="14"/>
      <c r="Y9" s="5"/>
      <c r="Z9" s="74"/>
      <c r="AD9" s="67"/>
      <c r="AE9" s="67"/>
      <c r="AF9" s="64"/>
      <c r="AG9" s="1119"/>
      <c r="AH9" s="1121"/>
      <c r="AI9" s="1119"/>
      <c r="AJ9" s="67"/>
      <c r="AK9" s="6"/>
      <c r="AM9" s="6"/>
      <c r="AO9" s="6"/>
      <c r="AQ9" s="6"/>
    </row>
    <row r="10" spans="1:43" s="36" customFormat="1" ht="53.25" customHeight="1">
      <c r="A10" s="79"/>
      <c r="B10" s="37"/>
      <c r="C10" s="1399" t="s">
        <v>805</v>
      </c>
      <c r="D10" s="1400"/>
      <c r="E10" s="1385" t="s">
        <v>888</v>
      </c>
      <c r="F10" s="1269" t="str">
        <f ca="1">CONCATENATE("أجـــرة شهـــر"," ",الرئيسية!N8," ",YEAR(TODAY()))</f>
        <v>أجـــرة شهـــر جوان 2019</v>
      </c>
      <c r="G10" s="45"/>
      <c r="H10" s="38"/>
      <c r="I10" s="38"/>
      <c r="J10" s="38"/>
      <c r="K10" s="981"/>
      <c r="L10" s="38"/>
      <c r="M10" s="978"/>
      <c r="O10" s="39"/>
      <c r="P10" s="39"/>
      <c r="Q10" s="39"/>
      <c r="R10" s="39"/>
      <c r="S10" s="39"/>
      <c r="T10" s="39"/>
      <c r="U10" s="39"/>
      <c r="V10" s="39"/>
      <c r="W10" s="39"/>
      <c r="X10" s="39"/>
      <c r="Y10" s="40"/>
      <c r="Z10" s="75"/>
      <c r="AD10" s="64"/>
      <c r="AE10" s="64"/>
      <c r="AF10" s="64"/>
      <c r="AG10" s="1119"/>
      <c r="AH10" s="1122"/>
      <c r="AI10" s="1119"/>
      <c r="AJ10" s="64"/>
      <c r="AK10" s="41"/>
      <c r="AM10" s="41"/>
      <c r="AO10" s="41"/>
      <c r="AQ10" s="41"/>
    </row>
    <row r="11" spans="1:43" s="36" customFormat="1" ht="53.25" customHeight="1">
      <c r="A11" s="79"/>
      <c r="B11" s="37"/>
      <c r="C11" s="1414" t="s">
        <v>21</v>
      </c>
      <c r="D11" s="1415"/>
      <c r="E11" s="1386" t="s">
        <v>889</v>
      </c>
      <c r="F11" s="46"/>
      <c r="G11" s="46"/>
      <c r="H11" s="42"/>
      <c r="I11" s="42"/>
      <c r="J11" s="43"/>
      <c r="K11" s="981"/>
      <c r="L11" s="38"/>
      <c r="M11" s="978"/>
      <c r="N11" s="38"/>
      <c r="O11" s="39"/>
      <c r="P11" s="39"/>
      <c r="Q11" s="39"/>
      <c r="R11" s="39"/>
      <c r="S11" s="39"/>
      <c r="T11" s="39"/>
      <c r="U11" s="39"/>
      <c r="V11" s="39"/>
      <c r="W11" s="39"/>
      <c r="X11" s="39"/>
      <c r="Y11" s="40"/>
      <c r="Z11" s="75"/>
      <c r="AD11" s="64"/>
      <c r="AE11" s="64"/>
      <c r="AF11" s="64"/>
      <c r="AG11" s="1119"/>
      <c r="AH11" s="1122"/>
      <c r="AI11" s="1119"/>
      <c r="AJ11" s="64"/>
      <c r="AK11" s="41"/>
      <c r="AM11" s="41"/>
      <c r="AO11" s="41"/>
      <c r="AQ11" s="41"/>
    </row>
    <row r="12" spans="1:43" s="36" customFormat="1" ht="64.5" customHeight="1">
      <c r="A12" s="79"/>
      <c r="B12" s="37"/>
      <c r="C12" s="1416" t="s">
        <v>890</v>
      </c>
      <c r="D12" s="1417"/>
      <c r="E12" s="1268" t="s">
        <v>717</v>
      </c>
      <c r="F12" s="976" t="str">
        <f>LOOKUP(J12,'ورقة العمل'!Y2:Y12,'ورقة العمل'!X2:X12)</f>
        <v>بنك التنمية المحلية</v>
      </c>
      <c r="G12" s="47"/>
      <c r="H12" s="980"/>
      <c r="I12" s="983" t="s">
        <v>298</v>
      </c>
      <c r="J12" s="1287">
        <v>72</v>
      </c>
      <c r="K12" s="982"/>
      <c r="L12" s="979"/>
      <c r="M12" s="979"/>
      <c r="N12" s="44"/>
      <c r="O12" s="38"/>
      <c r="P12" s="38"/>
      <c r="Q12" s="38"/>
      <c r="R12" s="38"/>
      <c r="S12" s="38"/>
      <c r="T12" s="38"/>
      <c r="U12" s="38"/>
      <c r="V12" s="38"/>
      <c r="W12" s="38"/>
      <c r="X12" s="38"/>
      <c r="Y12" s="40"/>
      <c r="Z12" s="75"/>
      <c r="AD12" s="64"/>
      <c r="AE12" s="64"/>
      <c r="AF12" s="64"/>
      <c r="AG12" s="1119"/>
      <c r="AH12" s="1122"/>
      <c r="AI12" s="1119"/>
      <c r="AJ12" s="64"/>
      <c r="AK12" s="41"/>
      <c r="AM12" s="41"/>
      <c r="AO12" s="41"/>
      <c r="AQ12" s="41"/>
    </row>
    <row r="13" spans="1:43" s="34" customFormat="1" ht="71.25" customHeight="1">
      <c r="A13" s="80"/>
      <c r="B13" s="1409" t="s">
        <v>19</v>
      </c>
      <c r="C13" s="1409" t="s">
        <v>42</v>
      </c>
      <c r="D13" s="1270"/>
      <c r="E13" s="1271"/>
      <c r="F13" s="1272"/>
      <c r="G13" s="1273"/>
      <c r="H13" s="1411" t="s">
        <v>44</v>
      </c>
      <c r="I13" s="1412"/>
      <c r="J13" s="1412"/>
      <c r="K13" s="1412"/>
      <c r="L13" s="1412"/>
      <c r="M13" s="1413"/>
      <c r="N13" s="1274"/>
      <c r="O13" s="1275" t="s">
        <v>35</v>
      </c>
      <c r="P13" s="1403" t="s">
        <v>34</v>
      </c>
      <c r="Q13" s="1404"/>
      <c r="R13" s="1404"/>
      <c r="S13" s="1404"/>
      <c r="T13" s="1404"/>
      <c r="U13" s="1404"/>
      <c r="V13" s="1404"/>
      <c r="W13" s="1405"/>
      <c r="X13" s="1275" t="s">
        <v>22</v>
      </c>
      <c r="Y13" s="1401" t="s">
        <v>23</v>
      </c>
      <c r="Z13" s="76"/>
      <c r="AD13" s="65"/>
      <c r="AE13" s="68"/>
      <c r="AF13" s="65"/>
      <c r="AG13" s="1123"/>
      <c r="AH13" s="1119"/>
      <c r="AI13" s="1123"/>
      <c r="AJ13" s="65"/>
      <c r="AK13" s="35"/>
      <c r="AM13" s="35"/>
      <c r="AO13" s="35"/>
      <c r="AQ13" s="35"/>
    </row>
    <row r="14" spans="1:43" s="34" customFormat="1" ht="189" customHeight="1">
      <c r="A14" s="80"/>
      <c r="B14" s="1410"/>
      <c r="C14" s="1410"/>
      <c r="D14" s="1276" t="s">
        <v>41</v>
      </c>
      <c r="E14" s="1276" t="s">
        <v>40</v>
      </c>
      <c r="F14" s="1276" t="s">
        <v>39</v>
      </c>
      <c r="G14" s="1277" t="s">
        <v>38</v>
      </c>
      <c r="H14" s="1278" t="s">
        <v>24</v>
      </c>
      <c r="I14" s="1275" t="s">
        <v>25</v>
      </c>
      <c r="J14" s="1279" t="s">
        <v>26</v>
      </c>
      <c r="K14" s="1280" t="s">
        <v>27</v>
      </c>
      <c r="L14" s="1280" t="s">
        <v>28</v>
      </c>
      <c r="M14" s="1281" t="s">
        <v>29</v>
      </c>
      <c r="N14" s="1282" t="s">
        <v>37</v>
      </c>
      <c r="O14" s="1283" t="s">
        <v>4</v>
      </c>
      <c r="P14" s="1279" t="s">
        <v>30</v>
      </c>
      <c r="Q14" s="1283" t="s">
        <v>718</v>
      </c>
      <c r="R14" s="1283" t="s">
        <v>36</v>
      </c>
      <c r="S14" s="1286" t="s">
        <v>719</v>
      </c>
      <c r="T14" s="1284" t="s">
        <v>720</v>
      </c>
      <c r="U14" s="1283" t="s">
        <v>46</v>
      </c>
      <c r="V14" s="1283" t="s">
        <v>721</v>
      </c>
      <c r="W14" s="1285" t="s">
        <v>31</v>
      </c>
      <c r="X14" s="1275" t="s">
        <v>45</v>
      </c>
      <c r="Y14" s="1402"/>
      <c r="Z14" s="1196" t="str">
        <f>F12</f>
        <v>بنك التنمية المحلية</v>
      </c>
      <c r="AA14" s="59"/>
      <c r="AB14" s="58"/>
      <c r="AD14" s="65"/>
      <c r="AE14" s="68"/>
      <c r="AF14" s="65"/>
      <c r="AG14" s="1123" t="s">
        <v>705</v>
      </c>
      <c r="AH14" s="1119" t="s">
        <v>706</v>
      </c>
      <c r="AI14" s="1123" t="s">
        <v>707</v>
      </c>
      <c r="AJ14" s="65"/>
      <c r="AK14" s="35"/>
      <c r="AM14" s="35"/>
      <c r="AO14" s="35"/>
      <c r="AQ14" s="35"/>
    </row>
    <row r="15" spans="1:43" s="48" customFormat="1" ht="111.75" hidden="1" customHeight="1" thickBot="1">
      <c r="A15" s="81">
        <f>'Base-D'!A2</f>
        <v>1</v>
      </c>
      <c r="B15" s="1118">
        <v>1</v>
      </c>
      <c r="C15" s="50" t="str">
        <f>LOOKUP(A15,'Base-D'!A:A,'Base-D'!AX:AX)</f>
        <v>لللللللللللللللللللللل</v>
      </c>
      <c r="D15" s="50" t="str">
        <f>LOOKUP(A15,'Base-D'!A:A,'Base-D'!AY:AY)</f>
        <v>ب 1 أ 16 - د 5</v>
      </c>
      <c r="E15" s="50">
        <f>LOOKUP(A15,'Base-D'!A:A,'Base-D'!R:R)</f>
        <v>2525252</v>
      </c>
      <c r="F15" s="51">
        <f>N15-M15-L15-K15-J15-I15-H15-G15</f>
        <v>178566.28</v>
      </c>
      <c r="G15" s="51">
        <f>LOOKUP(A15,'ورقة العمل'!A:A,'ورقة العمل'!E:E)</f>
        <v>5000</v>
      </c>
      <c r="H15" s="51">
        <f>LOOKUP(A15,'Base-D'!A:A,'Base-D'!BK:BK)</f>
        <v>20913.3</v>
      </c>
      <c r="I15" s="51">
        <f>LOOKUP(A15,'Base-D'!A:A,'Base-D'!BM:BM)</f>
        <v>30081.17</v>
      </c>
      <c r="J15" s="51">
        <f>ROUND((N15-X15-M15-L15-K15-I15-H15)*Y15/30,2)</f>
        <v>0</v>
      </c>
      <c r="K15" s="51">
        <f>LOOKUP(A15,'Base-D'!A:A,'Base-D'!BI:BI)</f>
        <v>0</v>
      </c>
      <c r="L15" s="51">
        <f>LOOKUP(A15,'Base-D'!A:A,'Base-D'!BG:BG)</f>
        <v>2323.6999999999998</v>
      </c>
      <c r="M15" s="51">
        <f>LOOKUP(A15,'Base-D'!A:A,'Base-D'!BH:BH)</f>
        <v>3485.55</v>
      </c>
      <c r="N15" s="51">
        <f>SUM(O15:X15)</f>
        <v>240370</v>
      </c>
      <c r="O15" s="51">
        <f>LOOKUP(A15,'Base-D'!A:A,'Base-D'!AZ:AZ)</f>
        <v>76000</v>
      </c>
      <c r="P15" s="51">
        <f>LOOKUP(A15,'Base-D'!A:A,'Base-D'!AI:AI)</f>
        <v>3850</v>
      </c>
      <c r="Q15" s="51">
        <f>LOOKUP(A15,'Base-D'!A:A,'Base-D'!BB:BB)</f>
        <v>0</v>
      </c>
      <c r="R15" s="51">
        <f>LOOKUP(A15,'Base-D'!A:A,'Base-D'!AJ:AJ)</f>
        <v>38520</v>
      </c>
      <c r="S15" s="51">
        <f>LOOKUP(A15,'Base-D'!A:A,'Base-D'!BC:BC)</f>
        <v>38000</v>
      </c>
      <c r="T15" s="51">
        <f>LOOKUP(A15,'Base-D'!A:A,'Base-D'!BD:BD)</f>
        <v>38000</v>
      </c>
      <c r="U15" s="51">
        <f>LOOKUP(A15,'Base-D'!A:A,'Base-D'!BE:BE)</f>
        <v>8000</v>
      </c>
      <c r="V15" s="51">
        <f>LOOKUP(A15,'Base-D'!A:A,'Base-D'!BF:BF)</f>
        <v>38000</v>
      </c>
      <c r="W15" s="51">
        <f>LOOKUP(A15,'Base-D'!A:A,'Base-D'!AT:AT)</f>
        <v>0</v>
      </c>
      <c r="X15" s="51">
        <f>LOOKUP(A15,'Base-D'!A:A,'Base-D'!AE:AE)</f>
        <v>0</v>
      </c>
      <c r="Y15" s="51">
        <f>LOOKUP(A15,'ورقة العمل'!A:A,'ورقة العمل'!F:F)</f>
        <v>0</v>
      </c>
      <c r="Z15" s="689" t="str">
        <f>LOOKUP(A15,'Base-D'!A:A,'Base-D'!S:S)</f>
        <v>لبنك الوطني الجزائري</v>
      </c>
      <c r="AA15" s="51">
        <f>LOOKUP(A15,'Base-D'!A:A,'Base-D'!N:N)</f>
        <v>8000</v>
      </c>
      <c r="AD15" s="69"/>
      <c r="AE15" s="70"/>
      <c r="AF15" s="69"/>
      <c r="AG15" s="1124">
        <f>IF(Z15="لبنك الوطني الجزائري",B15,"")</f>
        <v>1</v>
      </c>
      <c r="AH15" s="1124" t="str">
        <f>IF(Z15="بنك التنمية المحلية",B15,"")</f>
        <v/>
      </c>
      <c r="AI15" s="1124" t="str">
        <f>IF(Z15="بنك الفلاحة و التنمية الريفية",B15,"")</f>
        <v/>
      </c>
      <c r="AJ15" s="1117" t="s">
        <v>704</v>
      </c>
      <c r="AK15" s="1116" t="s">
        <v>704</v>
      </c>
      <c r="AM15" s="49"/>
      <c r="AO15" s="49"/>
      <c r="AQ15" s="49"/>
    </row>
    <row r="16" spans="1:43" ht="63" customHeight="1">
      <c r="A16" s="81">
        <f>'Base-D'!A3</f>
        <v>2</v>
      </c>
      <c r="B16" s="1118">
        <v>1</v>
      </c>
      <c r="C16" s="50" t="str">
        <f>LOOKUP(A16,'Base-D'!A:A,'Base-D'!AX:AX)</f>
        <v>فففففففففففففففففففف</v>
      </c>
      <c r="D16" s="50" t="str">
        <f>LOOKUP(A16,'Base-D'!A:A,'Base-D'!AY:AY)</f>
        <v>ب 1 أ 14 - د 2</v>
      </c>
      <c r="E16" s="50">
        <f>LOOKUP(A16,'Base-D'!A:A,'Base-D'!R:R)</f>
        <v>326532</v>
      </c>
      <c r="F16" s="51">
        <f t="shared" ref="F16:F79" si="0">N16-M16-L16-K16-J16-I16-H16-G16</f>
        <v>151377.62</v>
      </c>
      <c r="G16" s="51">
        <f>LOOKUP(A16,'ورقة العمل'!A:A,'ورقة العمل'!E:E)</f>
        <v>5000</v>
      </c>
      <c r="H16" s="51">
        <f>LOOKUP(A16,'Base-D'!A:A,'Base-D'!BK:BK)</f>
        <v>18514.62</v>
      </c>
      <c r="I16" s="51">
        <f>LOOKUP(A16,'Base-D'!A:A,'Base-D'!BM:BM)</f>
        <v>26192.75</v>
      </c>
      <c r="J16" s="51">
        <f t="shared" ref="J16:J79" si="1">ROUND((N16-X16-M16-L16-K16-I16-H16)*Y16/30,2)</f>
        <v>0</v>
      </c>
      <c r="K16" s="51">
        <f>LOOKUP(A16,'Base-D'!A:A,'Base-D'!BI:BI)</f>
        <v>9523.81</v>
      </c>
      <c r="L16" s="51">
        <f>LOOKUP(A16,'Base-D'!A:A,'Base-D'!BG:BG)</f>
        <v>2057.1799999999998</v>
      </c>
      <c r="M16" s="51">
        <f>LOOKUP(A16,'Base-D'!A:A,'Base-D'!BH:BH)</f>
        <v>3085.77</v>
      </c>
      <c r="N16" s="51">
        <f t="shared" ref="N16:N79" si="2">SUM(O16:X16)</f>
        <v>215751.75</v>
      </c>
      <c r="O16" s="51">
        <f>LOOKUP(A16,'Base-D'!A:A,'Base-D'!AZ:AZ)</f>
        <v>66880</v>
      </c>
      <c r="P16" s="51">
        <f>LOOKUP(A16,'Base-D'!A:A,'Base-D'!AI:AI)</f>
        <v>3850</v>
      </c>
      <c r="Q16" s="51">
        <f>LOOKUP(A16,'Base-D'!A:A,'Base-D'!BB:BB)</f>
        <v>0</v>
      </c>
      <c r="R16" s="51">
        <f>LOOKUP(A16,'Base-D'!A:A,'Base-D'!AJ:AJ)</f>
        <v>34668</v>
      </c>
      <c r="S16" s="51">
        <f>LOOKUP(A16,'Base-D'!A:A,'Base-D'!BC:BC)</f>
        <v>33440</v>
      </c>
      <c r="T16" s="51">
        <f>LOOKUP(A16,'Base-D'!A:A,'Base-D'!BD:BD)</f>
        <v>33440</v>
      </c>
      <c r="U16" s="51">
        <f>LOOKUP(A16,'Base-D'!A:A,'Base-D'!BE:BE)</f>
        <v>8000</v>
      </c>
      <c r="V16" s="51">
        <f>LOOKUP(A16,'Base-D'!A:A,'Base-D'!BF:BF)</f>
        <v>33440</v>
      </c>
      <c r="W16" s="51">
        <f>LOOKUP(A16,'Base-D'!A:A,'Base-D'!AT:AT)</f>
        <v>0</v>
      </c>
      <c r="X16" s="51">
        <f>LOOKUP(A16,'Base-D'!A:A,'Base-D'!AE:AE)</f>
        <v>2033.75</v>
      </c>
      <c r="Y16" s="51">
        <f>LOOKUP(A16,'ورقة العمل'!A:A,'ورقة العمل'!F:F)</f>
        <v>0</v>
      </c>
      <c r="Z16" s="689" t="str">
        <f>LOOKUP(A16,'Base-D'!A:A,'Base-D'!S:S)</f>
        <v>بنك الفلاحة و التنمية الريفية</v>
      </c>
      <c r="AA16" s="51">
        <f>LOOKUP(A16,'Base-D'!A:A,'Base-D'!N:N)</f>
        <v>8000</v>
      </c>
      <c r="AG16" s="1124" t="str">
        <f>IF(Z16="لبنك الوطني الجزائري",B16,"")</f>
        <v/>
      </c>
      <c r="AH16" s="1124" t="str">
        <f>IF(Z16="بنك التنمية المحلية",B16,"")</f>
        <v/>
      </c>
      <c r="AI16" s="1124">
        <f>IF(Z16="بنك الفلاحة و التنمية الريفية",B16,"")</f>
        <v>1</v>
      </c>
    </row>
    <row r="17" spans="1:35" ht="63" hidden="1" customHeight="1">
      <c r="A17" s="81">
        <f>'Base-D'!A4</f>
        <v>3</v>
      </c>
      <c r="B17" s="1118">
        <v>1</v>
      </c>
      <c r="C17" s="50" t="str">
        <f>LOOKUP(A17,'Base-D'!A:A,'Base-D'!AX:AX)</f>
        <v>يسلللللللسيييييييي</v>
      </c>
      <c r="D17" s="50" t="str">
        <f>LOOKUP(A17,'Base-D'!A:A,'Base-D'!AY:AY)</f>
        <v xml:space="preserve"> أ 14 - د 9</v>
      </c>
      <c r="E17" s="50">
        <f>LOOKUP(A17,'Base-D'!A:A,'Base-D'!R:R)</f>
        <v>22222222222</v>
      </c>
      <c r="F17" s="51">
        <f t="shared" si="0"/>
        <v>83164.899999999994</v>
      </c>
      <c r="G17" s="51">
        <f>LOOKUP(A17,'ورقة العمل'!A:A,'ورقة العمل'!E:E)</f>
        <v>0</v>
      </c>
      <c r="H17" s="51">
        <f>LOOKUP(A17,'Base-D'!A:A,'Base-D'!BK:BK)</f>
        <v>9413.4599999999991</v>
      </c>
      <c r="I17" s="51">
        <f>LOOKUP(A17,'Base-D'!A:A,'Base-D'!BM:BM)</f>
        <v>10446.73</v>
      </c>
      <c r="J17" s="51">
        <f t="shared" si="1"/>
        <v>0</v>
      </c>
      <c r="K17" s="51">
        <f>LOOKUP(A17,'Base-D'!A:A,'Base-D'!BI:BI)</f>
        <v>0</v>
      </c>
      <c r="L17" s="51">
        <f>LOOKUP(A17,'Base-D'!A:A,'Base-D'!BG:BG)</f>
        <v>0</v>
      </c>
      <c r="M17" s="51">
        <f>LOOKUP(A17,'Base-D'!A:A,'Base-D'!BH:BH)</f>
        <v>1568.91</v>
      </c>
      <c r="N17" s="51">
        <f t="shared" si="2"/>
        <v>104594</v>
      </c>
      <c r="O17" s="51">
        <f>LOOKUP(A17,'Base-D'!A:A,'Base-D'!AZ:AZ)</f>
        <v>40500</v>
      </c>
      <c r="P17" s="51">
        <f>LOOKUP(A17,'Base-D'!A:A,'Base-D'!AI:AI)</f>
        <v>1869</v>
      </c>
      <c r="Q17" s="51">
        <f>LOOKUP(A17,'Base-D'!A:A,'Base-D'!BB:BB)</f>
        <v>16200</v>
      </c>
      <c r="R17" s="51">
        <f>LOOKUP(A17,'Base-D'!A:A,'Base-D'!AJ:AJ)</f>
        <v>32400</v>
      </c>
      <c r="S17" s="51">
        <f>LOOKUP(A17,'Base-D'!A:A,'Base-D'!BC:BC)</f>
        <v>0</v>
      </c>
      <c r="T17" s="51">
        <f>LOOKUP(A17,'Base-D'!A:A,'Base-D'!BD:BD)</f>
        <v>1500</v>
      </c>
      <c r="U17" s="51">
        <f>LOOKUP(A17,'Base-D'!A:A,'Base-D'!BE:BE)</f>
        <v>2000</v>
      </c>
      <c r="V17" s="51">
        <f>LOOKUP(A17,'Base-D'!A:A,'Base-D'!BF:BF)</f>
        <v>10125</v>
      </c>
      <c r="W17" s="51">
        <f>LOOKUP(A17,'Base-D'!A:A,'Base-D'!AT:AT)</f>
        <v>0</v>
      </c>
      <c r="X17" s="51">
        <f>LOOKUP(A17,'Base-D'!A:A,'Base-D'!AE:AE)</f>
        <v>0</v>
      </c>
      <c r="Y17" s="51">
        <f>LOOKUP(A17,'ورقة العمل'!A:A,'ورقة العمل'!F:F)</f>
        <v>0</v>
      </c>
      <c r="Z17" s="689" t="str">
        <f>LOOKUP(A17,'Base-D'!A:A,'Base-D'!S:S)</f>
        <v>الحساب الجاري البريدي</v>
      </c>
      <c r="AA17" s="51">
        <f>LOOKUP(A17,'Base-D'!A:A,'Base-D'!N:N)</f>
        <v>0</v>
      </c>
      <c r="AG17" s="1124" t="str">
        <f t="shared" ref="AG17:AG26" si="3">IF(Z17="لبنك الوطني الجزائري",B17,"")</f>
        <v/>
      </c>
      <c r="AH17" s="1124" t="str">
        <f t="shared" ref="AH17:AH26" si="4">IF(Z17="بنك التنمية المحلية",B17,"")</f>
        <v/>
      </c>
      <c r="AI17" s="1124" t="str">
        <f t="shared" ref="AI17:AI26" si="5">IF(Z17="بنك الفلاحة و التنمية الريفية",B17,"")</f>
        <v/>
      </c>
    </row>
    <row r="18" spans="1:35" ht="63" hidden="1" customHeight="1">
      <c r="A18" s="81">
        <f>'Base-D'!A5</f>
        <v>4</v>
      </c>
      <c r="B18" s="1118">
        <v>1</v>
      </c>
      <c r="C18" s="50" t="str">
        <f>LOOKUP(A18,'Base-D'!A:A,'Base-D'!AX:AX)</f>
        <v>ررءرءؤرؤءرليسليسليسل</v>
      </c>
      <c r="D18" s="50" t="str">
        <f>LOOKUP(A18,'Base-D'!A:A,'Base-D'!AY:AY)</f>
        <v>م8 أ 14 - د 7</v>
      </c>
      <c r="E18" s="50">
        <f>LOOKUP(A18,'Base-D'!A:A,'Base-D'!R:R)</f>
        <v>111111111</v>
      </c>
      <c r="F18" s="51">
        <f t="shared" si="0"/>
        <v>80407.009999999995</v>
      </c>
      <c r="G18" s="51">
        <f>LOOKUP(A18,'ورقة العمل'!A:A,'ورقة العمل'!E:E)</f>
        <v>5000</v>
      </c>
      <c r="H18" s="51">
        <f>LOOKUP(A18,'Base-D'!A:A,'Base-D'!BK:BK)</f>
        <v>9408.02</v>
      </c>
      <c r="I18" s="51">
        <f>LOOKUP(A18,'Base-D'!A:A,'Base-D'!BM:BM)</f>
        <v>10918.47</v>
      </c>
      <c r="J18" s="51">
        <f t="shared" si="1"/>
        <v>0</v>
      </c>
      <c r="K18" s="51">
        <f>LOOKUP(A18,'Base-D'!A:A,'Base-D'!BI:BI)</f>
        <v>0</v>
      </c>
      <c r="L18" s="51">
        <f>LOOKUP(A18,'Base-D'!A:A,'Base-D'!BG:BG)</f>
        <v>0</v>
      </c>
      <c r="M18" s="51">
        <f>LOOKUP(A18,'Base-D'!A:A,'Base-D'!BH:BH)</f>
        <v>0</v>
      </c>
      <c r="N18" s="51">
        <f t="shared" si="2"/>
        <v>105733.5</v>
      </c>
      <c r="O18" s="51">
        <f>LOOKUP(A18,'Base-D'!A:A,'Base-D'!AZ:AZ)</f>
        <v>46485</v>
      </c>
      <c r="P18" s="51">
        <f>LOOKUP(A18,'Base-D'!A:A,'Base-D'!AI:AI)</f>
        <v>1869</v>
      </c>
      <c r="Q18" s="51">
        <f>LOOKUP(A18,'Base-D'!A:A,'Base-D'!BB:BB)</f>
        <v>15084</v>
      </c>
      <c r="R18" s="51">
        <f>LOOKUP(A18,'Base-D'!A:A,'Base-D'!AJ:AJ)</f>
        <v>30168</v>
      </c>
      <c r="S18" s="51">
        <f>LOOKUP(A18,'Base-D'!A:A,'Base-D'!BC:BC)</f>
        <v>0</v>
      </c>
      <c r="T18" s="51">
        <f>LOOKUP(A18,'Base-D'!A:A,'Base-D'!BD:BD)</f>
        <v>1500</v>
      </c>
      <c r="U18" s="51">
        <f>LOOKUP(A18,'Base-D'!A:A,'Base-D'!BE:BE)</f>
        <v>0</v>
      </c>
      <c r="V18" s="51">
        <f>LOOKUP(A18,'Base-D'!A:A,'Base-D'!BF:BF)</f>
        <v>9427.5</v>
      </c>
      <c r="W18" s="51">
        <f>LOOKUP(A18,'Base-D'!A:A,'Base-D'!AT:AT)</f>
        <v>0</v>
      </c>
      <c r="X18" s="51">
        <f>LOOKUP(A18,'Base-D'!A:A,'Base-D'!AE:AE)</f>
        <v>1200</v>
      </c>
      <c r="Y18" s="51">
        <f>LOOKUP(A18,'ورقة العمل'!A:A,'ورقة العمل'!F:F)</f>
        <v>0</v>
      </c>
      <c r="Z18" s="689" t="str">
        <f>LOOKUP(A18,'Base-D'!A:A,'Base-D'!S:S)</f>
        <v>الخزينة الولائية</v>
      </c>
      <c r="AA18" s="51">
        <f>LOOKUP(A18,'Base-D'!A:A,'Base-D'!N:N)</f>
        <v>0</v>
      </c>
      <c r="AG18" s="1124" t="str">
        <f t="shared" si="3"/>
        <v/>
      </c>
      <c r="AH18" s="1124" t="str">
        <f t="shared" si="4"/>
        <v/>
      </c>
      <c r="AI18" s="1124" t="str">
        <f t="shared" si="5"/>
        <v/>
      </c>
    </row>
    <row r="19" spans="1:35" ht="63" hidden="1" customHeight="1">
      <c r="A19" s="81">
        <f>'Base-D'!A6</f>
        <v>5</v>
      </c>
      <c r="B19" s="1118">
        <v>2</v>
      </c>
      <c r="C19" s="50" t="str">
        <f>LOOKUP(A19,'Base-D'!A:A,'Base-D'!AX:AX)</f>
        <v>صثقصقثصقضشللبيسلبيشل</v>
      </c>
      <c r="D19" s="50" t="str">
        <f>LOOKUP(A19,'Base-D'!A:A,'Base-D'!AY:AY)</f>
        <v>م8 أ 14 - د 11</v>
      </c>
      <c r="E19" s="50">
        <f>LOOKUP(A19,'Base-D'!A:A,'Base-D'!R:R)</f>
        <v>555555</v>
      </c>
      <c r="F19" s="51">
        <f t="shared" si="0"/>
        <v>65454.79</v>
      </c>
      <c r="G19" s="51">
        <f>LOOKUP(A19,'ورقة العمل'!A:A,'ورقة العمل'!E:E)</f>
        <v>0</v>
      </c>
      <c r="H19" s="51">
        <f>LOOKUP(A19,'Base-D'!A:A,'Base-D'!BK:BK)</f>
        <v>10648.33</v>
      </c>
      <c r="I19" s="51">
        <f>LOOKUP(A19,'Base-D'!A:A,'Base-D'!BM:BM)</f>
        <v>12967.99</v>
      </c>
      <c r="J19" s="51">
        <f t="shared" si="1"/>
        <v>31566.14</v>
      </c>
      <c r="K19" s="51">
        <f>LOOKUP(A19,'Base-D'!A:A,'Base-D'!BI:BI)</f>
        <v>0</v>
      </c>
      <c r="L19" s="51">
        <f>LOOKUP(A19,'Base-D'!A:A,'Base-D'!BG:BG)</f>
        <v>0</v>
      </c>
      <c r="M19" s="51">
        <f>LOOKUP(A19,'Base-D'!A:A,'Base-D'!BH:BH)</f>
        <v>0</v>
      </c>
      <c r="N19" s="51">
        <f t="shared" si="2"/>
        <v>120637.25</v>
      </c>
      <c r="O19" s="51">
        <f>LOOKUP(A19,'Base-D'!A:A,'Base-D'!AZ:AZ)</f>
        <v>52110</v>
      </c>
      <c r="P19" s="51">
        <f>LOOKUP(A19,'Base-D'!A:A,'Base-D'!AI:AI)</f>
        <v>1869</v>
      </c>
      <c r="Q19" s="51">
        <f>LOOKUP(A19,'Base-D'!A:A,'Base-D'!BB:BB)</f>
        <v>17334</v>
      </c>
      <c r="R19" s="51">
        <f>LOOKUP(A19,'Base-D'!A:A,'Base-D'!AJ:AJ)</f>
        <v>34668</v>
      </c>
      <c r="S19" s="51">
        <f>LOOKUP(A19,'Base-D'!A:A,'Base-D'!BC:BC)</f>
        <v>0</v>
      </c>
      <c r="T19" s="51">
        <f>LOOKUP(A19,'Base-D'!A:A,'Base-D'!BD:BD)</f>
        <v>1500</v>
      </c>
      <c r="U19" s="51">
        <f>LOOKUP(A19,'Base-D'!A:A,'Base-D'!BE:BE)</f>
        <v>0</v>
      </c>
      <c r="V19" s="51">
        <f>LOOKUP(A19,'Base-D'!A:A,'Base-D'!BF:BF)</f>
        <v>10833.75</v>
      </c>
      <c r="W19" s="51">
        <f>LOOKUP(A19,'Base-D'!A:A,'Base-D'!AT:AT)</f>
        <v>0</v>
      </c>
      <c r="X19" s="51">
        <f>LOOKUP(A19,'Base-D'!A:A,'Base-D'!AE:AE)</f>
        <v>2322.5</v>
      </c>
      <c r="Y19" s="51">
        <f>LOOKUP(A19,'ورقة العمل'!A:A,'ورقة العمل'!F:F)</f>
        <v>10</v>
      </c>
      <c r="Z19" s="689" t="str">
        <f>LOOKUP(A19,'Base-D'!A:A,'Base-D'!S:S)</f>
        <v>الخزينة الولائية</v>
      </c>
      <c r="AA19" s="51">
        <f>LOOKUP(A19,'Base-D'!A:A,'Base-D'!N:N)</f>
        <v>0</v>
      </c>
      <c r="AG19" s="1124" t="str">
        <f t="shared" si="3"/>
        <v/>
      </c>
      <c r="AH19" s="1124" t="str">
        <f t="shared" si="4"/>
        <v/>
      </c>
      <c r="AI19" s="1124" t="str">
        <f t="shared" si="5"/>
        <v/>
      </c>
    </row>
    <row r="20" spans="1:35" ht="63" hidden="1" customHeight="1">
      <c r="A20" s="81">
        <f>'Base-D'!A7</f>
        <v>6</v>
      </c>
      <c r="B20" s="1118">
        <v>3</v>
      </c>
      <c r="C20" s="50" t="str">
        <f>LOOKUP(A20,'Base-D'!A:A,'Base-D'!AX:AX)</f>
        <v>صثقثصقثصقصثرسيبرشبيسب</v>
      </c>
      <c r="D20" s="50" t="str">
        <f>LOOKUP(A20,'Base-D'!A:A,'Base-D'!AY:AY)</f>
        <v>م8 أ 14 - د 11</v>
      </c>
      <c r="E20" s="50">
        <f>LOOKUP(A20,'Base-D'!A:A,'Base-D'!R:R)</f>
        <v>6666666</v>
      </c>
      <c r="F20" s="51">
        <f t="shared" si="0"/>
        <v>90060.77</v>
      </c>
      <c r="G20" s="51">
        <f>LOOKUP(A20,'ورقة العمل'!A:A,'ورقة العمل'!E:E)</f>
        <v>0</v>
      </c>
      <c r="H20" s="51">
        <f>LOOKUP(A20,'Base-D'!A:A,'Base-D'!BK:BK)</f>
        <v>10063.31</v>
      </c>
      <c r="I20" s="51">
        <f>LOOKUP(A20,'Base-D'!A:A,'Base-D'!BM:BM)</f>
        <v>12035.7</v>
      </c>
      <c r="J20" s="51">
        <f t="shared" si="1"/>
        <v>0</v>
      </c>
      <c r="K20" s="51">
        <f>LOOKUP(A20,'Base-D'!A:A,'Base-D'!BI:BI)</f>
        <v>0</v>
      </c>
      <c r="L20" s="51">
        <f>LOOKUP(A20,'Base-D'!A:A,'Base-D'!BG:BG)</f>
        <v>0</v>
      </c>
      <c r="M20" s="51">
        <f>LOOKUP(A20,'Base-D'!A:A,'Base-D'!BH:BH)</f>
        <v>1677.22</v>
      </c>
      <c r="N20" s="51">
        <f t="shared" si="2"/>
        <v>113837</v>
      </c>
      <c r="O20" s="51">
        <f>LOOKUP(A20,'Base-D'!A:A,'Base-D'!AZ:AZ)</f>
        <v>52110</v>
      </c>
      <c r="P20" s="51">
        <f>LOOKUP(A20,'Base-D'!A:A,'Base-D'!AI:AI)</f>
        <v>1869</v>
      </c>
      <c r="Q20" s="51">
        <f>LOOKUP(A20,'Base-D'!A:A,'Base-D'!BB:BB)</f>
        <v>17334</v>
      </c>
      <c r="R20" s="51">
        <f>LOOKUP(A20,'Base-D'!A:A,'Base-D'!AJ:AJ)</f>
        <v>34668</v>
      </c>
      <c r="S20" s="51">
        <f>LOOKUP(A20,'Base-D'!A:A,'Base-D'!BC:BC)</f>
        <v>0</v>
      </c>
      <c r="T20" s="51">
        <f>LOOKUP(A20,'Base-D'!A:A,'Base-D'!BD:BD)</f>
        <v>1500</v>
      </c>
      <c r="U20" s="51">
        <f>LOOKUP(A20,'Base-D'!A:A,'Base-D'!BE:BE)</f>
        <v>0</v>
      </c>
      <c r="V20" s="51">
        <f>LOOKUP(A20,'Base-D'!A:A,'Base-D'!BF:BF)</f>
        <v>4333.5</v>
      </c>
      <c r="W20" s="51">
        <f>LOOKUP(A20,'Base-D'!A:A,'Base-D'!AT:AT)</f>
        <v>0</v>
      </c>
      <c r="X20" s="51">
        <f>LOOKUP(A20,'Base-D'!A:A,'Base-D'!AE:AE)</f>
        <v>2022.5</v>
      </c>
      <c r="Y20" s="51">
        <f>LOOKUP(A20,'ورقة العمل'!A:A,'ورقة العمل'!F:F)</f>
        <v>0</v>
      </c>
      <c r="Z20" s="689" t="str">
        <f>LOOKUP(A20,'Base-D'!A:A,'Base-D'!S:S)</f>
        <v>الخزينة الولائية</v>
      </c>
      <c r="AA20" s="51">
        <f>LOOKUP(A20,'Base-D'!A:A,'Base-D'!N:N)</f>
        <v>0</v>
      </c>
      <c r="AG20" s="1124" t="str">
        <f t="shared" si="3"/>
        <v/>
      </c>
      <c r="AH20" s="1124" t="str">
        <f t="shared" si="4"/>
        <v/>
      </c>
      <c r="AI20" s="1124" t="str">
        <f t="shared" si="5"/>
        <v/>
      </c>
    </row>
    <row r="21" spans="1:35" ht="63" hidden="1" customHeight="1">
      <c r="A21" s="81">
        <f>'Base-D'!A8</f>
        <v>7</v>
      </c>
      <c r="B21" s="1118">
        <v>2</v>
      </c>
      <c r="C21" s="50" t="str">
        <f>LOOKUP(A21,'Base-D'!A:A,'Base-D'!AX:AX)</f>
        <v>للللللللبيسلبيليبسل</v>
      </c>
      <c r="D21" s="50" t="str">
        <f>LOOKUP(A21,'Base-D'!A:A,'Base-D'!AY:AY)</f>
        <v>م8 أ 12 - د 2</v>
      </c>
      <c r="E21" s="50">
        <f>LOOKUP(A21,'Base-D'!A:A,'Base-D'!R:R)</f>
        <v>7777777777</v>
      </c>
      <c r="F21" s="51">
        <f t="shared" si="0"/>
        <v>60679.34</v>
      </c>
      <c r="G21" s="51">
        <f>LOOKUP(A21,'ورقة العمل'!A:A,'ورقة العمل'!E:E)</f>
        <v>0</v>
      </c>
      <c r="H21" s="51">
        <f>LOOKUP(A21,'Base-D'!A:A,'Base-D'!BK:BK)</f>
        <v>6566.63</v>
      </c>
      <c r="I21" s="51">
        <f>LOOKUP(A21,'Base-D'!A:A,'Base-D'!BM:BM)</f>
        <v>6616.53</v>
      </c>
      <c r="J21" s="51">
        <f t="shared" si="1"/>
        <v>0</v>
      </c>
      <c r="K21" s="51">
        <f>LOOKUP(A21,'Base-D'!A:A,'Base-D'!BI:BI)</f>
        <v>0</v>
      </c>
      <c r="L21" s="51">
        <f>LOOKUP(A21,'Base-D'!A:A,'Base-D'!BG:BG)</f>
        <v>0</v>
      </c>
      <c r="M21" s="51">
        <f>LOOKUP(A21,'Base-D'!A:A,'Base-D'!BH:BH)</f>
        <v>0</v>
      </c>
      <c r="N21" s="51">
        <f t="shared" si="2"/>
        <v>73862.5</v>
      </c>
      <c r="O21" s="51">
        <f>LOOKUP(A21,'Base-D'!A:A,'Base-D'!AZ:AZ)</f>
        <v>35370</v>
      </c>
      <c r="P21" s="51">
        <f>LOOKUP(A21,'Base-D'!A:A,'Base-D'!AI:AI)</f>
        <v>1519</v>
      </c>
      <c r="Q21" s="51">
        <f>LOOKUP(A21,'Base-D'!A:A,'Base-D'!BB:BB)</f>
        <v>10638</v>
      </c>
      <c r="R21" s="51">
        <f>LOOKUP(A21,'Base-D'!A:A,'Base-D'!AJ:AJ)</f>
        <v>21276</v>
      </c>
      <c r="S21" s="51">
        <f>LOOKUP(A21,'Base-D'!A:A,'Base-D'!BC:BC)</f>
        <v>0</v>
      </c>
      <c r="T21" s="51">
        <f>LOOKUP(A21,'Base-D'!A:A,'Base-D'!BD:BD)</f>
        <v>1500</v>
      </c>
      <c r="U21" s="51">
        <f>LOOKUP(A21,'Base-D'!A:A,'Base-D'!BE:BE)</f>
        <v>0</v>
      </c>
      <c r="V21" s="51">
        <f>LOOKUP(A21,'Base-D'!A:A,'Base-D'!BF:BF)</f>
        <v>2659.5</v>
      </c>
      <c r="W21" s="51">
        <f>LOOKUP(A21,'Base-D'!A:A,'Base-D'!AT:AT)</f>
        <v>0</v>
      </c>
      <c r="X21" s="51">
        <f>LOOKUP(A21,'Base-D'!A:A,'Base-D'!AE:AE)</f>
        <v>900</v>
      </c>
      <c r="Y21" s="51">
        <f>LOOKUP(A21,'ورقة العمل'!A:A,'ورقة العمل'!F:F)</f>
        <v>0</v>
      </c>
      <c r="Z21" s="689" t="str">
        <f>LOOKUP(A21,'Base-D'!A:A,'Base-D'!S:S)</f>
        <v>الحساب الجاري البريدي</v>
      </c>
      <c r="AA21" s="51">
        <f>LOOKUP(A21,'Base-D'!A:A,'Base-D'!N:N)</f>
        <v>0</v>
      </c>
      <c r="AG21" s="1124" t="str">
        <f t="shared" si="3"/>
        <v/>
      </c>
      <c r="AH21" s="1124" t="str">
        <f t="shared" si="4"/>
        <v/>
      </c>
      <c r="AI21" s="1124" t="str">
        <f t="shared" si="5"/>
        <v/>
      </c>
    </row>
    <row r="22" spans="1:35" ht="63" hidden="1" customHeight="1">
      <c r="A22" s="81">
        <f>'Base-D'!A9</f>
        <v>8</v>
      </c>
      <c r="B22" s="1118">
        <v>1</v>
      </c>
      <c r="C22" s="50" t="str">
        <f>LOOKUP(A22,'Base-D'!A:A,'Base-D'!AX:AX)</f>
        <v>ففففففففلللللللللللللل</v>
      </c>
      <c r="D22" s="50" t="str">
        <f>LOOKUP(A22,'Base-D'!A:A,'Base-D'!AY:AY)</f>
        <v>م8 أ 13 - د 11</v>
      </c>
      <c r="E22" s="50">
        <f>LOOKUP(A22,'Base-D'!A:A,'Base-D'!R:R)</f>
        <v>7777777777</v>
      </c>
      <c r="F22" s="51">
        <f t="shared" si="0"/>
        <v>85819.56</v>
      </c>
      <c r="G22" s="51">
        <f>LOOKUP(A22,'ورقة العمل'!A:A,'ورقة العمل'!E:E)</f>
        <v>5000</v>
      </c>
      <c r="H22" s="51">
        <f>LOOKUP(A22,'Base-D'!A:A,'Base-D'!BK:BK)</f>
        <v>9960.84</v>
      </c>
      <c r="I22" s="51">
        <f>LOOKUP(A22,'Base-D'!A:A,'Base-D'!BM:BM)</f>
        <v>11918.1</v>
      </c>
      <c r="J22" s="51">
        <f t="shared" si="1"/>
        <v>0</v>
      </c>
      <c r="K22" s="51">
        <f>LOOKUP(A22,'Base-D'!A:A,'Base-D'!BI:BI)</f>
        <v>0</v>
      </c>
      <c r="L22" s="51">
        <f>LOOKUP(A22,'Base-D'!A:A,'Base-D'!BG:BG)</f>
        <v>0</v>
      </c>
      <c r="M22" s="51">
        <f>LOOKUP(A22,'Base-D'!A:A,'Base-D'!BH:BH)</f>
        <v>0</v>
      </c>
      <c r="N22" s="51">
        <f t="shared" si="2"/>
        <v>112698.5</v>
      </c>
      <c r="O22" s="51">
        <f>LOOKUP(A22,'Base-D'!A:A,'Base-D'!AZ:AZ)</f>
        <v>49095</v>
      </c>
      <c r="P22" s="51">
        <f>LOOKUP(A22,'Base-D'!A:A,'Base-D'!AI:AI)</f>
        <v>1617</v>
      </c>
      <c r="Q22" s="51">
        <f>LOOKUP(A22,'Base-D'!A:A,'Base-D'!BB:BB)</f>
        <v>16128</v>
      </c>
      <c r="R22" s="51">
        <f>LOOKUP(A22,'Base-D'!A:A,'Base-D'!AJ:AJ)</f>
        <v>32256</v>
      </c>
      <c r="S22" s="51">
        <f>LOOKUP(A22,'Base-D'!A:A,'Base-D'!BC:BC)</f>
        <v>0</v>
      </c>
      <c r="T22" s="51">
        <f>LOOKUP(A22,'Base-D'!A:A,'Base-D'!BD:BD)</f>
        <v>1500</v>
      </c>
      <c r="U22" s="51">
        <f>LOOKUP(A22,'Base-D'!A:A,'Base-D'!BE:BE)</f>
        <v>0</v>
      </c>
      <c r="V22" s="51">
        <f>LOOKUP(A22,'Base-D'!A:A,'Base-D'!BF:BF)</f>
        <v>10080</v>
      </c>
      <c r="W22" s="51">
        <f>LOOKUP(A22,'Base-D'!A:A,'Base-D'!AT:AT)</f>
        <v>0</v>
      </c>
      <c r="X22" s="51">
        <f>LOOKUP(A22,'Base-D'!A:A,'Base-D'!AE:AE)</f>
        <v>2022.5</v>
      </c>
      <c r="Y22" s="51">
        <f>LOOKUP(A22,'ورقة العمل'!A:A,'ورقة العمل'!F:F)</f>
        <v>0</v>
      </c>
      <c r="Z22" s="689" t="str">
        <f>LOOKUP(A22,'Base-D'!A:A,'Base-D'!S:S)</f>
        <v>بنك التنمية المحلية</v>
      </c>
      <c r="AA22" s="51">
        <f>LOOKUP(A22,'Base-D'!A:A,'Base-D'!N:N)</f>
        <v>0</v>
      </c>
      <c r="AG22" s="1124" t="str">
        <f t="shared" si="3"/>
        <v/>
      </c>
      <c r="AH22" s="1124">
        <f t="shared" si="4"/>
        <v>1</v>
      </c>
      <c r="AI22" s="1124" t="str">
        <f t="shared" si="5"/>
        <v/>
      </c>
    </row>
    <row r="23" spans="1:35" ht="63" customHeight="1">
      <c r="A23" s="81">
        <f>'Base-D'!A10</f>
        <v>9</v>
      </c>
      <c r="B23" s="1118">
        <v>2</v>
      </c>
      <c r="C23" s="50" t="str">
        <f>LOOKUP(A23,'Base-D'!A:A,'Base-D'!AX:AX)</f>
        <v>سييييييييفففففففففففف</v>
      </c>
      <c r="D23" s="50" t="str">
        <f>LOOKUP(A23,'Base-D'!A:A,'Base-D'!AY:AY)</f>
        <v>م8 أ 14 - د 11</v>
      </c>
      <c r="E23" s="50">
        <f>LOOKUP(A23,'Base-D'!A:A,'Base-D'!R:R)</f>
        <v>7777777777</v>
      </c>
      <c r="F23" s="51">
        <f t="shared" si="0"/>
        <v>95830.93</v>
      </c>
      <c r="G23" s="51">
        <f>LOOKUP(A23,'ورقة العمل'!A:A,'ورقة العمل'!E:E)</f>
        <v>0</v>
      </c>
      <c r="H23" s="51">
        <f>LOOKUP(A23,'Base-D'!A:A,'Base-D'!BK:BK)</f>
        <v>10648.33</v>
      </c>
      <c r="I23" s="51">
        <f>LOOKUP(A23,'Base-D'!A:A,'Base-D'!BM:BM)</f>
        <v>12757.99</v>
      </c>
      <c r="J23" s="51">
        <f t="shared" si="1"/>
        <v>0</v>
      </c>
      <c r="K23" s="51">
        <f>LOOKUP(A23,'Base-D'!A:A,'Base-D'!BI:BI)</f>
        <v>0</v>
      </c>
      <c r="L23" s="51">
        <f>LOOKUP(A23,'Base-D'!A:A,'Base-D'!BG:BG)</f>
        <v>0</v>
      </c>
      <c r="M23" s="51">
        <f>LOOKUP(A23,'Base-D'!A:A,'Base-D'!BH:BH)</f>
        <v>0</v>
      </c>
      <c r="N23" s="51">
        <f t="shared" si="2"/>
        <v>119237.25</v>
      </c>
      <c r="O23" s="51">
        <f>LOOKUP(A23,'Base-D'!A:A,'Base-D'!AZ:AZ)</f>
        <v>52110</v>
      </c>
      <c r="P23" s="51">
        <f>LOOKUP(A23,'Base-D'!A:A,'Base-D'!AI:AI)</f>
        <v>1869</v>
      </c>
      <c r="Q23" s="51">
        <f>LOOKUP(A23,'Base-D'!A:A,'Base-D'!BB:BB)</f>
        <v>17334</v>
      </c>
      <c r="R23" s="51">
        <f>LOOKUP(A23,'Base-D'!A:A,'Base-D'!AJ:AJ)</f>
        <v>34668</v>
      </c>
      <c r="S23" s="51">
        <f>LOOKUP(A23,'Base-D'!A:A,'Base-D'!BC:BC)</f>
        <v>0</v>
      </c>
      <c r="T23" s="51">
        <f>LOOKUP(A23,'Base-D'!A:A,'Base-D'!BD:BD)</f>
        <v>1500</v>
      </c>
      <c r="U23" s="51">
        <f>LOOKUP(A23,'Base-D'!A:A,'Base-D'!BE:BE)</f>
        <v>0</v>
      </c>
      <c r="V23" s="51">
        <f>LOOKUP(A23,'Base-D'!A:A,'Base-D'!BF:BF)</f>
        <v>10833.75</v>
      </c>
      <c r="W23" s="51">
        <f>LOOKUP(A23,'Base-D'!A:A,'Base-D'!AT:AT)</f>
        <v>0</v>
      </c>
      <c r="X23" s="51">
        <f>LOOKUP(A23,'Base-D'!A:A,'Base-D'!AE:AE)</f>
        <v>922.5</v>
      </c>
      <c r="Y23" s="51">
        <f>LOOKUP(A23,'ورقة العمل'!A:A,'ورقة العمل'!F:F)</f>
        <v>0</v>
      </c>
      <c r="Z23" s="689" t="str">
        <f>LOOKUP(A23,'Base-D'!A:A,'Base-D'!S:S)</f>
        <v>بنك الفلاحة و التنمية الريفية</v>
      </c>
      <c r="AA23" s="51">
        <f>LOOKUP(A23,'Base-D'!A:A,'Base-D'!N:N)</f>
        <v>0</v>
      </c>
      <c r="AG23" s="1124" t="str">
        <f t="shared" si="3"/>
        <v/>
      </c>
      <c r="AH23" s="1124" t="str">
        <f t="shared" si="4"/>
        <v/>
      </c>
      <c r="AI23" s="1124">
        <f t="shared" si="5"/>
        <v>2</v>
      </c>
    </row>
    <row r="24" spans="1:35" ht="63" hidden="1" customHeight="1">
      <c r="A24" s="81">
        <f>'Base-D'!A11</f>
        <v>10</v>
      </c>
      <c r="B24" s="1118">
        <v>3</v>
      </c>
      <c r="C24" s="50" t="str">
        <f>LOOKUP(A24,'Base-D'!A:A,'Base-D'!AX:AX)</f>
        <v>ليسليسليسليسللللللل</v>
      </c>
      <c r="D24" s="50" t="str">
        <f>LOOKUP(A24,'Base-D'!A:A,'Base-D'!AY:AY)</f>
        <v>م8 ب 10 - د 12</v>
      </c>
      <c r="E24" s="50">
        <f>LOOKUP(A24,'Base-D'!A:A,'Base-D'!R:R)</f>
        <v>7777777777</v>
      </c>
      <c r="F24" s="51">
        <f t="shared" si="0"/>
        <v>62051.46</v>
      </c>
      <c r="G24" s="51">
        <f>LOOKUP(A24,'ورقة العمل'!A:A,'ورقة العمل'!E:E)</f>
        <v>5000</v>
      </c>
      <c r="H24" s="51">
        <f>LOOKUP(A24,'Base-D'!A:A,'Base-D'!BK:BK)</f>
        <v>7244.73</v>
      </c>
      <c r="I24" s="51">
        <f>LOOKUP(A24,'Base-D'!A:A,'Base-D'!BM:BM)</f>
        <v>7627.1</v>
      </c>
      <c r="J24" s="51">
        <f t="shared" si="1"/>
        <v>0</v>
      </c>
      <c r="K24" s="51">
        <f>LOOKUP(A24,'Base-D'!A:A,'Base-D'!BI:BI)</f>
        <v>0</v>
      </c>
      <c r="L24" s="51">
        <f>LOOKUP(A24,'Base-D'!A:A,'Base-D'!BG:BG)</f>
        <v>0</v>
      </c>
      <c r="M24" s="51">
        <f>LOOKUP(A24,'Base-D'!A:A,'Base-D'!BH:BH)</f>
        <v>1207.46</v>
      </c>
      <c r="N24" s="51">
        <f t="shared" si="2"/>
        <v>83130.75</v>
      </c>
      <c r="O24" s="51">
        <f>LOOKUP(A24,'Base-D'!A:A,'Base-D'!AZ:AZ)</f>
        <v>41400</v>
      </c>
      <c r="P24" s="51">
        <f>LOOKUP(A24,'Base-D'!A:A,'Base-D'!AI:AI)</f>
        <v>1372</v>
      </c>
      <c r="Q24" s="51">
        <f>LOOKUP(A24,'Base-D'!A:A,'Base-D'!BB:BB)</f>
        <v>9787.5</v>
      </c>
      <c r="R24" s="51">
        <f>LOOKUP(A24,'Base-D'!A:A,'Base-D'!AJ:AJ)</f>
        <v>14681.25</v>
      </c>
      <c r="S24" s="51">
        <f>LOOKUP(A24,'Base-D'!A:A,'Base-D'!BC:BC)</f>
        <v>0</v>
      </c>
      <c r="T24" s="51">
        <f>LOOKUP(A24,'Base-D'!A:A,'Base-D'!BD:BD)</f>
        <v>3100</v>
      </c>
      <c r="U24" s="51">
        <f>LOOKUP(A24,'Base-D'!A:A,'Base-D'!BE:BE)</f>
        <v>2000</v>
      </c>
      <c r="V24" s="51">
        <f>LOOKUP(A24,'Base-D'!A:A,'Base-D'!BF:BF)</f>
        <v>8156.25</v>
      </c>
      <c r="W24" s="51">
        <f>LOOKUP(A24,'Base-D'!A:A,'Base-D'!AT:AT)</f>
        <v>0</v>
      </c>
      <c r="X24" s="51">
        <f>LOOKUP(A24,'Base-D'!A:A,'Base-D'!AE:AE)</f>
        <v>2633.75</v>
      </c>
      <c r="Y24" s="51">
        <f>LOOKUP(A24,'ورقة العمل'!A:A,'ورقة العمل'!F:F)</f>
        <v>0</v>
      </c>
      <c r="Z24" s="689" t="str">
        <f>LOOKUP(A24,'Base-D'!A:A,'Base-D'!S:S)</f>
        <v>الحساب الجاري البريدي</v>
      </c>
      <c r="AA24" s="51">
        <f>LOOKUP(A24,'Base-D'!A:A,'Base-D'!N:N)</f>
        <v>0</v>
      </c>
      <c r="AG24" s="1124" t="str">
        <f t="shared" si="3"/>
        <v/>
      </c>
      <c r="AH24" s="1124" t="str">
        <f t="shared" si="4"/>
        <v/>
      </c>
      <c r="AI24" s="1124" t="str">
        <f t="shared" si="5"/>
        <v/>
      </c>
    </row>
    <row r="25" spans="1:35" ht="63" hidden="1" customHeight="1">
      <c r="A25" s="81">
        <f>'Base-D'!A12</f>
        <v>11</v>
      </c>
      <c r="B25" s="1118">
        <v>4</v>
      </c>
      <c r="C25" s="50" t="str">
        <f>LOOKUP(A25,'Base-D'!A:A,'Base-D'!AX:AX)</f>
        <v>شللبيسلبيشلررءرءؤرؤءر</v>
      </c>
      <c r="D25" s="50" t="str">
        <f>LOOKUP(A25,'Base-D'!A:A,'Base-D'!AY:AY)</f>
        <v>م8 أ 13 - د 11</v>
      </c>
      <c r="E25" s="50">
        <f>LOOKUP(A25,'Base-D'!A:A,'Base-D'!R:R)</f>
        <v>7777777777</v>
      </c>
      <c r="F25" s="51">
        <f t="shared" si="0"/>
        <v>89034.69</v>
      </c>
      <c r="G25" s="51">
        <f>LOOKUP(A25,'ورقة العمل'!A:A,'ورقة العمل'!E:E)</f>
        <v>5000</v>
      </c>
      <c r="H25" s="51">
        <f>LOOKUP(A25,'Base-D'!A:A,'Base-D'!BK:BK)</f>
        <v>10503.72</v>
      </c>
      <c r="I25" s="51">
        <f>LOOKUP(A25,'Base-D'!A:A,'Base-D'!BM:BM)</f>
        <v>12441.47</v>
      </c>
      <c r="J25" s="51">
        <f t="shared" si="1"/>
        <v>0</v>
      </c>
      <c r="K25" s="51">
        <f>LOOKUP(A25,'Base-D'!A:A,'Base-D'!BI:BI)</f>
        <v>0</v>
      </c>
      <c r="L25" s="51">
        <f>LOOKUP(A25,'Base-D'!A:A,'Base-D'!BG:BG)</f>
        <v>0</v>
      </c>
      <c r="M25" s="51">
        <f>LOOKUP(A25,'Base-D'!A:A,'Base-D'!BH:BH)</f>
        <v>1750.62</v>
      </c>
      <c r="N25" s="51">
        <f t="shared" si="2"/>
        <v>118730.5</v>
      </c>
      <c r="O25" s="51">
        <f>LOOKUP(A25,'Base-D'!A:A,'Base-D'!AZ:AZ)</f>
        <v>49095</v>
      </c>
      <c r="P25" s="51">
        <f>LOOKUP(A25,'Base-D'!A:A,'Base-D'!AI:AI)</f>
        <v>1617</v>
      </c>
      <c r="Q25" s="51">
        <f>LOOKUP(A25,'Base-D'!A:A,'Base-D'!BB:BB)</f>
        <v>16128</v>
      </c>
      <c r="R25" s="51">
        <f>LOOKUP(A25,'Base-D'!A:A,'Base-D'!AJ:AJ)</f>
        <v>36288</v>
      </c>
      <c r="S25" s="51">
        <f>LOOKUP(A25,'Base-D'!A:A,'Base-D'!BC:BC)</f>
        <v>0</v>
      </c>
      <c r="T25" s="51">
        <f>LOOKUP(A25,'Base-D'!A:A,'Base-D'!BD:BD)</f>
        <v>1500</v>
      </c>
      <c r="U25" s="51">
        <f>LOOKUP(A25,'Base-D'!A:A,'Base-D'!BE:BE)</f>
        <v>2000</v>
      </c>
      <c r="V25" s="51">
        <f>LOOKUP(A25,'Base-D'!A:A,'Base-D'!BF:BF)</f>
        <v>10080</v>
      </c>
      <c r="W25" s="51">
        <f>LOOKUP(A25,'Base-D'!A:A,'Base-D'!AT:AT)</f>
        <v>0</v>
      </c>
      <c r="X25" s="51">
        <f>LOOKUP(A25,'Base-D'!A:A,'Base-D'!AE:AE)</f>
        <v>2022.5</v>
      </c>
      <c r="Y25" s="51">
        <f>LOOKUP(A25,'ورقة العمل'!A:A,'ورقة العمل'!F:F)</f>
        <v>0</v>
      </c>
      <c r="Z25" s="689" t="str">
        <f>LOOKUP(A25,'Base-D'!A:A,'Base-D'!S:S)</f>
        <v>الحساب الجاري البريدي</v>
      </c>
      <c r="AA25" s="51">
        <f>LOOKUP(A25,'Base-D'!A:A,'Base-D'!N:N)</f>
        <v>0</v>
      </c>
      <c r="AG25" s="1124" t="str">
        <f t="shared" si="3"/>
        <v/>
      </c>
      <c r="AH25" s="1124" t="str">
        <f t="shared" si="4"/>
        <v/>
      </c>
      <c r="AI25" s="1124" t="str">
        <f t="shared" si="5"/>
        <v/>
      </c>
    </row>
    <row r="26" spans="1:35" ht="63" hidden="1" customHeight="1">
      <c r="A26" s="81">
        <f>'Base-D'!A13</f>
        <v>12</v>
      </c>
      <c r="B26" s="1118">
        <v>4</v>
      </c>
      <c r="C26" s="50" t="str">
        <f>LOOKUP(A26,'Base-D'!A:A,'Base-D'!AX:AX)</f>
        <v>رسيبرشبيسبصثقصقثصقض</v>
      </c>
      <c r="D26" s="50" t="str">
        <f>LOOKUP(A26,'Base-D'!A:A,'Base-D'!AY:AY)</f>
        <v>م7 أ 12 - د 11</v>
      </c>
      <c r="E26" s="50">
        <f>LOOKUP(A26,'Base-D'!A:A,'Base-D'!R:R)</f>
        <v>7777777777</v>
      </c>
      <c r="F26" s="51">
        <f t="shared" si="0"/>
        <v>79140.929999999993</v>
      </c>
      <c r="G26" s="51">
        <f>LOOKUP(A26,'ورقة العمل'!A:A,'ورقة العمل'!E:E)</f>
        <v>5000</v>
      </c>
      <c r="H26" s="51">
        <f>LOOKUP(A26,'Base-D'!A:A,'Base-D'!BK:BK)</f>
        <v>9123.2999999999993</v>
      </c>
      <c r="I26" s="51">
        <f>LOOKUP(A26,'Base-D'!A:A,'Base-D'!BM:BM)</f>
        <v>10739.52</v>
      </c>
      <c r="J26" s="51">
        <f t="shared" si="1"/>
        <v>0</v>
      </c>
      <c r="K26" s="51">
        <f>LOOKUP(A26,'Base-D'!A:A,'Base-D'!BI:BI)</f>
        <v>0</v>
      </c>
      <c r="L26" s="51">
        <f>LOOKUP(A26,'Base-D'!A:A,'Base-D'!BG:BG)</f>
        <v>0</v>
      </c>
      <c r="M26" s="51">
        <f>LOOKUP(A26,'Base-D'!A:A,'Base-D'!BH:BH)</f>
        <v>0</v>
      </c>
      <c r="N26" s="51">
        <f t="shared" si="2"/>
        <v>104003.75</v>
      </c>
      <c r="O26" s="51">
        <f>LOOKUP(A26,'Base-D'!A:A,'Base-D'!AZ:AZ)</f>
        <v>43965</v>
      </c>
      <c r="P26" s="51">
        <f>LOOKUP(A26,'Base-D'!A:A,'Base-D'!AI:AI)</f>
        <v>1617</v>
      </c>
      <c r="Q26" s="51">
        <f>LOOKUP(A26,'Base-D'!A:A,'Base-D'!BB:BB)</f>
        <v>14976</v>
      </c>
      <c r="R26" s="51">
        <f>LOOKUP(A26,'Base-D'!A:A,'Base-D'!AJ:AJ)</f>
        <v>29952</v>
      </c>
      <c r="S26" s="51">
        <f>LOOKUP(A26,'Base-D'!A:A,'Base-D'!BC:BC)</f>
        <v>0</v>
      </c>
      <c r="T26" s="51">
        <f>LOOKUP(A26,'Base-D'!A:A,'Base-D'!BD:BD)</f>
        <v>1500</v>
      </c>
      <c r="U26" s="51">
        <f>LOOKUP(A26,'Base-D'!A:A,'Base-D'!BE:BE)</f>
        <v>0</v>
      </c>
      <c r="V26" s="51">
        <f>LOOKUP(A26,'Base-D'!A:A,'Base-D'!BF:BF)</f>
        <v>9360</v>
      </c>
      <c r="W26" s="51">
        <f>LOOKUP(A26,'Base-D'!A:A,'Base-D'!AT:AT)</f>
        <v>0</v>
      </c>
      <c r="X26" s="51">
        <f>LOOKUP(A26,'Base-D'!A:A,'Base-D'!AE:AE)</f>
        <v>2633.75</v>
      </c>
      <c r="Y26" s="51">
        <f>LOOKUP(A26,'ورقة العمل'!A:A,'ورقة العمل'!F:F)</f>
        <v>0</v>
      </c>
      <c r="Z26" s="689" t="str">
        <f>LOOKUP(A26,'Base-D'!A:A,'Base-D'!S:S)</f>
        <v>الخزينة الولائية</v>
      </c>
      <c r="AA26" s="51">
        <f>LOOKUP(A26,'Base-D'!A:A,'Base-D'!N:N)</f>
        <v>0</v>
      </c>
      <c r="AG26" s="1124" t="str">
        <f t="shared" si="3"/>
        <v/>
      </c>
      <c r="AH26" s="1124" t="str">
        <f t="shared" si="4"/>
        <v/>
      </c>
      <c r="AI26" s="1124" t="str">
        <f t="shared" si="5"/>
        <v/>
      </c>
    </row>
    <row r="27" spans="1:35" ht="63" hidden="1" customHeight="1">
      <c r="A27" s="81">
        <f>'Base-D'!A14</f>
        <v>13</v>
      </c>
      <c r="B27" s="1118">
        <v>5</v>
      </c>
      <c r="C27" s="50" t="str">
        <f>LOOKUP(A27,'Base-D'!A:A,'Base-D'!AX:AX)</f>
        <v>بيسلبيليبسلصثقثصقثصقصث</v>
      </c>
      <c r="D27" s="50" t="str">
        <f>LOOKUP(A27,'Base-D'!A:A,'Base-D'!AY:AY)</f>
        <v>م7 أ 12 - د 2</v>
      </c>
      <c r="E27" s="50">
        <f>LOOKUP(A27,'Base-D'!A:A,'Base-D'!R:R)</f>
        <v>7777777777</v>
      </c>
      <c r="F27" s="51">
        <f t="shared" si="0"/>
        <v>58707.15</v>
      </c>
      <c r="G27" s="51">
        <f>LOOKUP(A27,'ورقة العمل'!A:A,'ورقة العمل'!E:E)</f>
        <v>5000</v>
      </c>
      <c r="H27" s="51">
        <f>LOOKUP(A27,'Base-D'!A:A,'Base-D'!BK:BK)</f>
        <v>6911.98</v>
      </c>
      <c r="I27" s="51">
        <f>LOOKUP(A27,'Base-D'!A:A,'Base-D'!BM:BM)</f>
        <v>6780.62</v>
      </c>
      <c r="J27" s="51">
        <f t="shared" si="1"/>
        <v>0</v>
      </c>
      <c r="K27" s="51">
        <f>LOOKUP(A27,'Base-D'!A:A,'Base-D'!BI:BI)</f>
        <v>0</v>
      </c>
      <c r="L27" s="51">
        <f>LOOKUP(A27,'Base-D'!A:A,'Base-D'!BG:BG)</f>
        <v>0</v>
      </c>
      <c r="M27" s="51">
        <f>LOOKUP(A27,'Base-D'!A:A,'Base-D'!BH:BH)</f>
        <v>0</v>
      </c>
      <c r="N27" s="51">
        <f t="shared" si="2"/>
        <v>77399.75</v>
      </c>
      <c r="O27" s="51">
        <f>LOOKUP(A27,'Base-D'!A:A,'Base-D'!AZ:AZ)</f>
        <v>33120</v>
      </c>
      <c r="P27" s="51">
        <f>LOOKUP(A27,'Base-D'!A:A,'Base-D'!AI:AI)</f>
        <v>1617</v>
      </c>
      <c r="Q27" s="51">
        <f>LOOKUP(A27,'Base-D'!A:A,'Base-D'!BB:BB)</f>
        <v>10638</v>
      </c>
      <c r="R27" s="51">
        <f>LOOKUP(A27,'Base-D'!A:A,'Base-D'!AJ:AJ)</f>
        <v>21276</v>
      </c>
      <c r="S27" s="51">
        <f>LOOKUP(A27,'Base-D'!A:A,'Base-D'!BC:BC)</f>
        <v>0</v>
      </c>
      <c r="T27" s="51">
        <f>LOOKUP(A27,'Base-D'!A:A,'Base-D'!BD:BD)</f>
        <v>1500</v>
      </c>
      <c r="U27" s="51">
        <f>LOOKUP(A27,'Base-D'!A:A,'Base-D'!BE:BE)</f>
        <v>2000</v>
      </c>
      <c r="V27" s="51">
        <f>LOOKUP(A27,'Base-D'!A:A,'Base-D'!BF:BF)</f>
        <v>6648.75</v>
      </c>
      <c r="W27" s="51">
        <f>LOOKUP(A27,'Base-D'!A:A,'Base-D'!AT:AT)</f>
        <v>0</v>
      </c>
      <c r="X27" s="51">
        <f>LOOKUP(A27,'Base-D'!A:A,'Base-D'!AE:AE)</f>
        <v>600</v>
      </c>
      <c r="Y27" s="51">
        <f>LOOKUP(A27,'ورقة العمل'!A:A,'ورقة العمل'!F:F)</f>
        <v>0</v>
      </c>
      <c r="Z27" s="689" t="str">
        <f>LOOKUP(A27,'Base-D'!A:A,'Base-D'!S:S)</f>
        <v>الخزينة الولائية</v>
      </c>
      <c r="AA27" s="51">
        <f>LOOKUP(A27,'Base-D'!A:A,'Base-D'!N:N)</f>
        <v>0</v>
      </c>
      <c r="AG27" s="1124" t="str">
        <f t="shared" ref="AG27:AG90" si="6">IF(Z27="لبنك الوطني الجزائري",B27,"")</f>
        <v/>
      </c>
      <c r="AH27" s="1124" t="str">
        <f t="shared" ref="AH27:AH90" si="7">IF(Z27="بنك التنمية المحلية",B27,"")</f>
        <v/>
      </c>
      <c r="AI27" s="1124" t="str">
        <f t="shared" ref="AI27:AI90" si="8">IF(Z27="بنك الفلاحة و التنمية الريفية",B27,"")</f>
        <v/>
      </c>
    </row>
    <row r="28" spans="1:35" ht="63" hidden="1" customHeight="1">
      <c r="A28" s="81">
        <f>'Base-D'!A15</f>
        <v>14</v>
      </c>
      <c r="B28" s="1118">
        <v>5</v>
      </c>
      <c r="C28" s="50" t="str">
        <f>LOOKUP(A28,'Base-D'!A:A,'Base-D'!AX:AX)</f>
        <v>لللللللللللللللللللللل</v>
      </c>
      <c r="D28" s="50" t="str">
        <f>LOOKUP(A28,'Base-D'!A:A,'Base-D'!AY:AY)</f>
        <v>م7 أ 12 - د 2</v>
      </c>
      <c r="E28" s="50">
        <f>LOOKUP(A28,'Base-D'!A:A,'Base-D'!R:R)</f>
        <v>7777777777</v>
      </c>
      <c r="F28" s="51">
        <f t="shared" si="0"/>
        <v>61350.15</v>
      </c>
      <c r="G28" s="51">
        <f>LOOKUP(A28,'ورقة العمل'!A:A,'ورقة العمل'!E:E)</f>
        <v>0</v>
      </c>
      <c r="H28" s="51">
        <f>LOOKUP(A28,'Base-D'!A:A,'Base-D'!BK:BK)</f>
        <v>6731.98</v>
      </c>
      <c r="I28" s="51">
        <f>LOOKUP(A28,'Base-D'!A:A,'Base-D'!BM:BM)</f>
        <v>6717.62</v>
      </c>
      <c r="J28" s="51">
        <f t="shared" si="1"/>
        <v>0</v>
      </c>
      <c r="K28" s="51">
        <f>LOOKUP(A28,'Base-D'!A:A,'Base-D'!BI:BI)</f>
        <v>0</v>
      </c>
      <c r="L28" s="51">
        <f>LOOKUP(A28,'Base-D'!A:A,'Base-D'!BG:BG)</f>
        <v>0</v>
      </c>
      <c r="M28" s="51">
        <f>LOOKUP(A28,'Base-D'!A:A,'Base-D'!BH:BH)</f>
        <v>0</v>
      </c>
      <c r="N28" s="51">
        <f t="shared" si="2"/>
        <v>74799.75</v>
      </c>
      <c r="O28" s="51">
        <f>LOOKUP(A28,'Base-D'!A:A,'Base-D'!AZ:AZ)</f>
        <v>33120</v>
      </c>
      <c r="P28" s="51">
        <f>LOOKUP(A28,'Base-D'!A:A,'Base-D'!AI:AI)</f>
        <v>1617</v>
      </c>
      <c r="Q28" s="51">
        <f>LOOKUP(A28,'Base-D'!A:A,'Base-D'!BB:BB)</f>
        <v>10638</v>
      </c>
      <c r="R28" s="51">
        <f>LOOKUP(A28,'Base-D'!A:A,'Base-D'!AJ:AJ)</f>
        <v>21276</v>
      </c>
      <c r="S28" s="51">
        <f>LOOKUP(A28,'Base-D'!A:A,'Base-D'!BC:BC)</f>
        <v>0</v>
      </c>
      <c r="T28" s="51">
        <f>LOOKUP(A28,'Base-D'!A:A,'Base-D'!BD:BD)</f>
        <v>1500</v>
      </c>
      <c r="U28" s="51">
        <f>LOOKUP(A28,'Base-D'!A:A,'Base-D'!BE:BE)</f>
        <v>0</v>
      </c>
      <c r="V28" s="51">
        <f>LOOKUP(A28,'Base-D'!A:A,'Base-D'!BF:BF)</f>
        <v>6648.75</v>
      </c>
      <c r="W28" s="51">
        <f>LOOKUP(A28,'Base-D'!A:A,'Base-D'!AT:AT)</f>
        <v>0</v>
      </c>
      <c r="X28" s="51">
        <f>LOOKUP(A28,'Base-D'!A:A,'Base-D'!AE:AE)</f>
        <v>0</v>
      </c>
      <c r="Y28" s="51">
        <f>LOOKUP(A28,'ورقة العمل'!A:A,'ورقة العمل'!F:F)</f>
        <v>0</v>
      </c>
      <c r="Z28" s="689" t="str">
        <f>LOOKUP(A28,'Base-D'!A:A,'Base-D'!S:S)</f>
        <v>الحساب الجاري البريدي</v>
      </c>
      <c r="AA28" s="51">
        <f>LOOKUP(A28,'Base-D'!A:A,'Base-D'!N:N)</f>
        <v>0</v>
      </c>
      <c r="AG28" s="1124" t="str">
        <f t="shared" si="6"/>
        <v/>
      </c>
      <c r="AH28" s="1124" t="str">
        <f t="shared" si="7"/>
        <v/>
      </c>
      <c r="AI28" s="1124" t="str">
        <f t="shared" si="8"/>
        <v/>
      </c>
    </row>
    <row r="29" spans="1:35" ht="63" hidden="1" customHeight="1">
      <c r="A29" s="81">
        <f>'Base-D'!A16</f>
        <v>15</v>
      </c>
      <c r="B29" s="1118">
        <v>6</v>
      </c>
      <c r="C29" s="50" t="str">
        <f>LOOKUP(A29,'Base-D'!A:A,'Base-D'!AX:AX)</f>
        <v>فففففففففففففففففففف</v>
      </c>
      <c r="D29" s="50" t="str">
        <f>LOOKUP(A29,'Base-D'!A:A,'Base-D'!AY:AY)</f>
        <v>م7 أ 12 - د 2</v>
      </c>
      <c r="E29" s="50">
        <f>LOOKUP(A29,'Base-D'!A:A,'Base-D'!R:R)</f>
        <v>7777777777</v>
      </c>
      <c r="F29" s="51">
        <f t="shared" si="0"/>
        <v>61350.15</v>
      </c>
      <c r="G29" s="51">
        <f>LOOKUP(A29,'ورقة العمل'!A:A,'ورقة العمل'!E:E)</f>
        <v>0</v>
      </c>
      <c r="H29" s="51">
        <f>LOOKUP(A29,'Base-D'!A:A,'Base-D'!BK:BK)</f>
        <v>6731.98</v>
      </c>
      <c r="I29" s="51">
        <f>LOOKUP(A29,'Base-D'!A:A,'Base-D'!BM:BM)</f>
        <v>6717.62</v>
      </c>
      <c r="J29" s="51">
        <f t="shared" si="1"/>
        <v>0</v>
      </c>
      <c r="K29" s="51">
        <f>LOOKUP(A29,'Base-D'!A:A,'Base-D'!BI:BI)</f>
        <v>0</v>
      </c>
      <c r="L29" s="51">
        <f>LOOKUP(A29,'Base-D'!A:A,'Base-D'!BG:BG)</f>
        <v>0</v>
      </c>
      <c r="M29" s="51">
        <f>LOOKUP(A29,'Base-D'!A:A,'Base-D'!BH:BH)</f>
        <v>0</v>
      </c>
      <c r="N29" s="51">
        <f t="shared" si="2"/>
        <v>74799.75</v>
      </c>
      <c r="O29" s="51">
        <f>LOOKUP(A29,'Base-D'!A:A,'Base-D'!AZ:AZ)</f>
        <v>33120</v>
      </c>
      <c r="P29" s="51">
        <f>LOOKUP(A29,'Base-D'!A:A,'Base-D'!AI:AI)</f>
        <v>1617</v>
      </c>
      <c r="Q29" s="51">
        <f>LOOKUP(A29,'Base-D'!A:A,'Base-D'!BB:BB)</f>
        <v>10638</v>
      </c>
      <c r="R29" s="51">
        <f>LOOKUP(A29,'Base-D'!A:A,'Base-D'!AJ:AJ)</f>
        <v>21276</v>
      </c>
      <c r="S29" s="51">
        <f>LOOKUP(A29,'Base-D'!A:A,'Base-D'!BC:BC)</f>
        <v>0</v>
      </c>
      <c r="T29" s="51">
        <f>LOOKUP(A29,'Base-D'!A:A,'Base-D'!BD:BD)</f>
        <v>1500</v>
      </c>
      <c r="U29" s="51">
        <f>LOOKUP(A29,'Base-D'!A:A,'Base-D'!BE:BE)</f>
        <v>0</v>
      </c>
      <c r="V29" s="51">
        <f>LOOKUP(A29,'Base-D'!A:A,'Base-D'!BF:BF)</f>
        <v>6648.75</v>
      </c>
      <c r="W29" s="51">
        <f>LOOKUP(A29,'Base-D'!A:A,'Base-D'!AT:AT)</f>
        <v>0</v>
      </c>
      <c r="X29" s="51">
        <f>LOOKUP(A29,'Base-D'!A:A,'Base-D'!AE:AE)</f>
        <v>0</v>
      </c>
      <c r="Y29" s="51">
        <f>LOOKUP(A29,'ورقة العمل'!A:A,'ورقة العمل'!F:F)</f>
        <v>0</v>
      </c>
      <c r="Z29" s="689" t="str">
        <f>LOOKUP(A29,'Base-D'!A:A,'Base-D'!S:S)</f>
        <v>الحساب الجاري البريدي</v>
      </c>
      <c r="AA29" s="51">
        <f>LOOKUP(A29,'Base-D'!A:A,'Base-D'!N:N)</f>
        <v>0</v>
      </c>
      <c r="AG29" s="1124" t="str">
        <f t="shared" si="6"/>
        <v/>
      </c>
      <c r="AH29" s="1124" t="str">
        <f t="shared" si="7"/>
        <v/>
      </c>
      <c r="AI29" s="1124" t="str">
        <f t="shared" si="8"/>
        <v/>
      </c>
    </row>
    <row r="30" spans="1:35" ht="63" hidden="1" customHeight="1">
      <c r="A30" s="81">
        <f>'Base-D'!A17</f>
        <v>16</v>
      </c>
      <c r="B30" s="1118">
        <v>7</v>
      </c>
      <c r="C30" s="50" t="str">
        <f>LOOKUP(A30,'Base-D'!A:A,'Base-D'!AX:AX)</f>
        <v>يسلللللللسيييييييي</v>
      </c>
      <c r="D30" s="50" t="str">
        <f>LOOKUP(A30,'Base-D'!A:A,'Base-D'!AY:AY)</f>
        <v>م7 ب 10 - د 12</v>
      </c>
      <c r="E30" s="50">
        <f>LOOKUP(A30,'Base-D'!A:A,'Base-D'!R:R)</f>
        <v>11111111111</v>
      </c>
      <c r="F30" s="51">
        <f t="shared" si="0"/>
        <v>56184.31</v>
      </c>
      <c r="G30" s="51">
        <f>LOOKUP(A30,'ورقة العمل'!A:A,'ورقة العمل'!E:E)</f>
        <v>5000</v>
      </c>
      <c r="H30" s="51">
        <f>LOOKUP(A30,'Base-D'!A:A,'Base-D'!BK:BK)</f>
        <v>6568.61</v>
      </c>
      <c r="I30" s="51">
        <f>LOOKUP(A30,'Base-D'!A:A,'Base-D'!BM:BM)</f>
        <v>6731.58</v>
      </c>
      <c r="J30" s="51">
        <f t="shared" si="1"/>
        <v>0</v>
      </c>
      <c r="K30" s="51">
        <f>LOOKUP(A30,'Base-D'!A:A,'Base-D'!BI:BI)</f>
        <v>0</v>
      </c>
      <c r="L30" s="51">
        <f>LOOKUP(A30,'Base-D'!A:A,'Base-D'!BG:BG)</f>
        <v>0</v>
      </c>
      <c r="M30" s="51">
        <f>LOOKUP(A30,'Base-D'!A:A,'Base-D'!BH:BH)</f>
        <v>0</v>
      </c>
      <c r="N30" s="51">
        <f t="shared" si="2"/>
        <v>74484.5</v>
      </c>
      <c r="O30" s="51">
        <f>LOOKUP(A30,'Base-D'!A:A,'Base-D'!AZ:AZ)</f>
        <v>39150</v>
      </c>
      <c r="P30" s="51">
        <f>LOOKUP(A30,'Base-D'!A:A,'Base-D'!AI:AI)</f>
        <v>1372</v>
      </c>
      <c r="Q30" s="51">
        <f>LOOKUP(A30,'Base-D'!A:A,'Base-D'!BB:BB)</f>
        <v>9787.5</v>
      </c>
      <c r="R30" s="51">
        <f>LOOKUP(A30,'Base-D'!A:A,'Base-D'!AJ:AJ)</f>
        <v>11418.75</v>
      </c>
      <c r="S30" s="51">
        <f>LOOKUP(A30,'Base-D'!A:A,'Base-D'!BC:BC)</f>
        <v>0</v>
      </c>
      <c r="T30" s="51">
        <f>LOOKUP(A30,'Base-D'!A:A,'Base-D'!BD:BD)</f>
        <v>3100</v>
      </c>
      <c r="U30" s="51">
        <f>LOOKUP(A30,'Base-D'!A:A,'Base-D'!BE:BE)</f>
        <v>0</v>
      </c>
      <c r="V30" s="51">
        <f>LOOKUP(A30,'Base-D'!A:A,'Base-D'!BF:BF)</f>
        <v>8156.25</v>
      </c>
      <c r="W30" s="51">
        <f>LOOKUP(A30,'Base-D'!A:A,'Base-D'!AT:AT)</f>
        <v>0</v>
      </c>
      <c r="X30" s="51">
        <f>LOOKUP(A30,'Base-D'!A:A,'Base-D'!AE:AE)</f>
        <v>1500</v>
      </c>
      <c r="Y30" s="51">
        <f>LOOKUP(A30,'ورقة العمل'!A:A,'ورقة العمل'!F:F)</f>
        <v>0</v>
      </c>
      <c r="Z30" s="689" t="str">
        <f>LOOKUP(A30,'Base-D'!A:A,'Base-D'!S:S)</f>
        <v>الحساب الجاري البريدي</v>
      </c>
      <c r="AA30" s="51">
        <f>LOOKUP(A30,'Base-D'!A:A,'Base-D'!N:N)</f>
        <v>0</v>
      </c>
      <c r="AG30" s="1124" t="str">
        <f t="shared" si="6"/>
        <v/>
      </c>
      <c r="AH30" s="1124" t="str">
        <f t="shared" si="7"/>
        <v/>
      </c>
      <c r="AI30" s="1124" t="str">
        <f t="shared" si="8"/>
        <v/>
      </c>
    </row>
    <row r="31" spans="1:35" ht="63" hidden="1" customHeight="1">
      <c r="A31" s="81">
        <f>'Base-D'!A18</f>
        <v>17</v>
      </c>
      <c r="B31" s="1118">
        <v>6</v>
      </c>
      <c r="C31" s="50" t="str">
        <f>LOOKUP(A31,'Base-D'!A:A,'Base-D'!AX:AX)</f>
        <v>ررءرءؤرؤءرليسليسليسل</v>
      </c>
      <c r="D31" s="50" t="str">
        <f>LOOKUP(A31,'Base-D'!A:A,'Base-D'!AY:AY)</f>
        <v xml:space="preserve"> ب 10 - د 10</v>
      </c>
      <c r="E31" s="50">
        <f>LOOKUP(A31,'Base-D'!A:A,'Base-D'!R:R)</f>
        <v>11111111111</v>
      </c>
      <c r="F31" s="51">
        <f t="shared" si="0"/>
        <v>47660.74</v>
      </c>
      <c r="G31" s="51">
        <f>LOOKUP(A31,'ورقة العمل'!A:A,'ورقة العمل'!E:E)</f>
        <v>5000</v>
      </c>
      <c r="H31" s="51">
        <f>LOOKUP(A31,'Base-D'!A:A,'Base-D'!BK:BK)</f>
        <v>5635.08</v>
      </c>
      <c r="I31" s="51">
        <f>LOOKUP(A31,'Base-D'!A:A,'Base-D'!BM:BM)</f>
        <v>5227.43</v>
      </c>
      <c r="J31" s="51">
        <f t="shared" si="1"/>
        <v>0</v>
      </c>
      <c r="K31" s="51">
        <f>LOOKUP(A31,'Base-D'!A:A,'Base-D'!BI:BI)</f>
        <v>0</v>
      </c>
      <c r="L31" s="51">
        <f>LOOKUP(A31,'Base-D'!A:A,'Base-D'!BG:BG)</f>
        <v>0</v>
      </c>
      <c r="M31" s="51">
        <f>LOOKUP(A31,'Base-D'!A:A,'Base-D'!BH:BH)</f>
        <v>0</v>
      </c>
      <c r="N31" s="51">
        <f t="shared" si="2"/>
        <v>63523.25</v>
      </c>
      <c r="O31" s="51">
        <f>LOOKUP(A31,'Base-D'!A:A,'Base-D'!AZ:AZ)</f>
        <v>30600</v>
      </c>
      <c r="P31" s="51">
        <f>LOOKUP(A31,'Base-D'!A:A,'Base-D'!AI:AI)</f>
        <v>1372</v>
      </c>
      <c r="Q31" s="51">
        <f>LOOKUP(A31,'Base-D'!A:A,'Base-D'!BB:BB)</f>
        <v>9180</v>
      </c>
      <c r="R31" s="51">
        <f>LOOKUP(A31,'Base-D'!A:A,'Base-D'!AJ:AJ)</f>
        <v>10710</v>
      </c>
      <c r="S31" s="51">
        <f>LOOKUP(A31,'Base-D'!A:A,'Base-D'!BC:BC)</f>
        <v>0</v>
      </c>
      <c r="T31" s="51">
        <f>LOOKUP(A31,'Base-D'!A:A,'Base-D'!BD:BD)</f>
        <v>3100</v>
      </c>
      <c r="U31" s="51">
        <f>LOOKUP(A31,'Base-D'!A:A,'Base-D'!BE:BE)</f>
        <v>0</v>
      </c>
      <c r="V31" s="51">
        <f>LOOKUP(A31,'Base-D'!A:A,'Base-D'!BF:BF)</f>
        <v>7650</v>
      </c>
      <c r="W31" s="51">
        <f>LOOKUP(A31,'Base-D'!A:A,'Base-D'!AT:AT)</f>
        <v>0</v>
      </c>
      <c r="X31" s="51">
        <f>LOOKUP(A31,'Base-D'!A:A,'Base-D'!AE:AE)</f>
        <v>911.25</v>
      </c>
      <c r="Y31" s="51">
        <f>LOOKUP(A31,'ورقة العمل'!A:A,'ورقة العمل'!F:F)</f>
        <v>0</v>
      </c>
      <c r="Z31" s="689" t="str">
        <f>LOOKUP(A31,'Base-D'!A:A,'Base-D'!S:S)</f>
        <v>الخزينة الولائية</v>
      </c>
      <c r="AA31" s="51">
        <f>LOOKUP(A31,'Base-D'!A:A,'Base-D'!N:N)</f>
        <v>0</v>
      </c>
      <c r="AG31" s="1124" t="str">
        <f t="shared" si="6"/>
        <v/>
      </c>
      <c r="AH31" s="1124" t="str">
        <f t="shared" si="7"/>
        <v/>
      </c>
      <c r="AI31" s="1124" t="str">
        <f t="shared" si="8"/>
        <v/>
      </c>
    </row>
    <row r="32" spans="1:35" ht="63" hidden="1" customHeight="1">
      <c r="A32" s="81">
        <f>'Base-D'!A19</f>
        <v>18</v>
      </c>
      <c r="B32" s="1118">
        <v>8</v>
      </c>
      <c r="C32" s="50" t="str">
        <f>LOOKUP(A32,'Base-D'!A:A,'Base-D'!AX:AX)</f>
        <v>صثقصقثصقضشللبيسلبيشل</v>
      </c>
      <c r="D32" s="50" t="str">
        <f>LOOKUP(A32,'Base-D'!A:A,'Base-D'!AY:AY)</f>
        <v>م7 أ 14 - د 3</v>
      </c>
      <c r="E32" s="50">
        <f>LOOKUP(A32,'Base-D'!A:A,'Base-D'!R:R)</f>
        <v>11111111111</v>
      </c>
      <c r="F32" s="51">
        <f t="shared" si="0"/>
        <v>66126.240000000005</v>
      </c>
      <c r="G32" s="51">
        <f>LOOKUP(A32,'ورقة العمل'!A:A,'ورقة العمل'!E:E)</f>
        <v>5000</v>
      </c>
      <c r="H32" s="51">
        <f>LOOKUP(A32,'Base-D'!A:A,'Base-D'!BK:BK)</f>
        <v>7721.37</v>
      </c>
      <c r="I32" s="51">
        <f>LOOKUP(A32,'Base-D'!A:A,'Base-D'!BM:BM)</f>
        <v>8045.39</v>
      </c>
      <c r="J32" s="51">
        <f t="shared" si="1"/>
        <v>0</v>
      </c>
      <c r="K32" s="51">
        <f>LOOKUP(A32,'Base-D'!A:A,'Base-D'!BI:BI)</f>
        <v>0</v>
      </c>
      <c r="L32" s="51">
        <f>LOOKUP(A32,'Base-D'!A:A,'Base-D'!BG:BG)</f>
        <v>0</v>
      </c>
      <c r="M32" s="51">
        <f>LOOKUP(A32,'Base-D'!A:A,'Base-D'!BH:BH)</f>
        <v>0</v>
      </c>
      <c r="N32" s="51">
        <f t="shared" si="2"/>
        <v>86893</v>
      </c>
      <c r="O32" s="51">
        <f>LOOKUP(A32,'Base-D'!A:A,'Base-D'!AZ:AZ)</f>
        <v>38655</v>
      </c>
      <c r="P32" s="51">
        <f>LOOKUP(A32,'Base-D'!A:A,'Base-D'!AI:AI)</f>
        <v>1869</v>
      </c>
      <c r="Q32" s="51">
        <f>LOOKUP(A32,'Base-D'!A:A,'Base-D'!BB:BB)</f>
        <v>12852</v>
      </c>
      <c r="R32" s="51">
        <f>LOOKUP(A32,'Base-D'!A:A,'Base-D'!AJ:AJ)</f>
        <v>25704</v>
      </c>
      <c r="S32" s="51">
        <f>LOOKUP(A32,'Base-D'!A:A,'Base-D'!BC:BC)</f>
        <v>0</v>
      </c>
      <c r="T32" s="51">
        <f>LOOKUP(A32,'Base-D'!A:A,'Base-D'!BD:BD)</f>
        <v>1500</v>
      </c>
      <c r="U32" s="51">
        <f>LOOKUP(A32,'Base-D'!A:A,'Base-D'!BE:BE)</f>
        <v>2000</v>
      </c>
      <c r="V32" s="51">
        <f>LOOKUP(A32,'Base-D'!A:A,'Base-D'!BF:BF)</f>
        <v>3213</v>
      </c>
      <c r="W32" s="51">
        <f>LOOKUP(A32,'Base-D'!A:A,'Base-D'!AT:AT)</f>
        <v>0</v>
      </c>
      <c r="X32" s="51">
        <f>LOOKUP(A32,'Base-D'!A:A,'Base-D'!AE:AE)</f>
        <v>1100</v>
      </c>
      <c r="Y32" s="51">
        <f>LOOKUP(A32,'ورقة العمل'!A:A,'ورقة العمل'!F:F)</f>
        <v>0</v>
      </c>
      <c r="Z32" s="689" t="str">
        <f>LOOKUP(A32,'Base-D'!A:A,'Base-D'!S:S)</f>
        <v>الحساب الجاري البريدي</v>
      </c>
      <c r="AA32" s="51">
        <f>LOOKUP(A32,'Base-D'!A:A,'Base-D'!N:N)</f>
        <v>0</v>
      </c>
      <c r="AG32" s="1124" t="str">
        <f t="shared" si="6"/>
        <v/>
      </c>
      <c r="AH32" s="1124" t="str">
        <f t="shared" si="7"/>
        <v/>
      </c>
      <c r="AI32" s="1124" t="str">
        <f t="shared" si="8"/>
        <v/>
      </c>
    </row>
    <row r="33" spans="1:35" ht="63" hidden="1" customHeight="1">
      <c r="A33" s="81">
        <f>'Base-D'!A20</f>
        <v>19</v>
      </c>
      <c r="B33" s="1118">
        <v>9</v>
      </c>
      <c r="C33" s="50" t="str">
        <f>LOOKUP(A33,'Base-D'!A:A,'Base-D'!AX:AX)</f>
        <v>صثقثصقثصقصثرسيبرشبيسب</v>
      </c>
      <c r="D33" s="50" t="str">
        <f>LOOKUP(A33,'Base-D'!A:A,'Base-D'!AY:AY)</f>
        <v>م5 ب 10 - د 10</v>
      </c>
      <c r="E33" s="50">
        <f>LOOKUP(A33,'Base-D'!A:A,'Base-D'!R:R)</f>
        <v>11111111111</v>
      </c>
      <c r="F33" s="51">
        <f t="shared" si="0"/>
        <v>49068.85</v>
      </c>
      <c r="G33" s="51">
        <f>LOOKUP(A33,'ورقة العمل'!A:A,'ورقة العمل'!E:E)</f>
        <v>5000</v>
      </c>
      <c r="H33" s="51">
        <f>LOOKUP(A33,'Base-D'!A:A,'Base-D'!BK:BK)</f>
        <v>6118.83</v>
      </c>
      <c r="I33" s="51">
        <f>LOOKUP(A33,'Base-D'!A:A,'Base-D'!BM:BM)</f>
        <v>5782.8</v>
      </c>
      <c r="J33" s="51">
        <f t="shared" si="1"/>
        <v>3739.02</v>
      </c>
      <c r="K33" s="51">
        <f>LOOKUP(A33,'Base-D'!A:A,'Base-D'!BI:BI)</f>
        <v>0</v>
      </c>
      <c r="L33" s="51">
        <f>LOOKUP(A33,'Base-D'!A:A,'Base-D'!BG:BG)</f>
        <v>0</v>
      </c>
      <c r="M33" s="51">
        <f>LOOKUP(A33,'Base-D'!A:A,'Base-D'!BH:BH)</f>
        <v>0</v>
      </c>
      <c r="N33" s="51">
        <f t="shared" si="2"/>
        <v>69709.5</v>
      </c>
      <c r="O33" s="51">
        <f>LOOKUP(A33,'Base-D'!A:A,'Base-D'!AZ:AZ)</f>
        <v>33975</v>
      </c>
      <c r="P33" s="51">
        <f>LOOKUP(A33,'Base-D'!A:A,'Base-D'!AI:AI)</f>
        <v>1372</v>
      </c>
      <c r="Q33" s="51">
        <f>LOOKUP(A33,'Base-D'!A:A,'Base-D'!BB:BB)</f>
        <v>9180</v>
      </c>
      <c r="R33" s="51">
        <f>LOOKUP(A33,'Base-D'!A:A,'Base-D'!AJ:AJ)</f>
        <v>10710</v>
      </c>
      <c r="S33" s="51">
        <f>LOOKUP(A33,'Base-D'!A:A,'Base-D'!BC:BC)</f>
        <v>0</v>
      </c>
      <c r="T33" s="51">
        <f>LOOKUP(A33,'Base-D'!A:A,'Base-D'!BD:BD)</f>
        <v>3100</v>
      </c>
      <c r="U33" s="51">
        <f>LOOKUP(A33,'Base-D'!A:A,'Base-D'!BE:BE)</f>
        <v>2000</v>
      </c>
      <c r="V33" s="51">
        <f>LOOKUP(A33,'Base-D'!A:A,'Base-D'!BF:BF)</f>
        <v>7650</v>
      </c>
      <c r="W33" s="51">
        <f>LOOKUP(A33,'Base-D'!A:A,'Base-D'!AT:AT)</f>
        <v>0</v>
      </c>
      <c r="X33" s="51">
        <f>LOOKUP(A33,'Base-D'!A:A,'Base-D'!AE:AE)</f>
        <v>1722.5</v>
      </c>
      <c r="Y33" s="51">
        <f>LOOKUP(A33,'ورقة العمل'!A:A,'ورقة العمل'!F:F)</f>
        <v>2</v>
      </c>
      <c r="Z33" s="689" t="str">
        <f>LOOKUP(A33,'Base-D'!A:A,'Base-D'!S:S)</f>
        <v>الخزينة الولائية</v>
      </c>
      <c r="AA33" s="51">
        <f>LOOKUP(A33,'Base-D'!A:A,'Base-D'!N:N)</f>
        <v>0</v>
      </c>
      <c r="AG33" s="1124" t="str">
        <f t="shared" si="6"/>
        <v/>
      </c>
      <c r="AH33" s="1124" t="str">
        <f t="shared" si="7"/>
        <v/>
      </c>
      <c r="AI33" s="1124" t="str">
        <f t="shared" si="8"/>
        <v/>
      </c>
    </row>
    <row r="34" spans="1:35" ht="63" hidden="1" customHeight="1">
      <c r="A34" s="81">
        <f>'Base-D'!A21</f>
        <v>20</v>
      </c>
      <c r="B34" s="1118">
        <v>8</v>
      </c>
      <c r="C34" s="50" t="str">
        <f>LOOKUP(A34,'Base-D'!A:A,'Base-D'!AX:AX)</f>
        <v>للللللللبيسلبيليبسل</v>
      </c>
      <c r="D34" s="50" t="str">
        <f>LOOKUP(A34,'Base-D'!A:A,'Base-D'!AY:AY)</f>
        <v>م5 ب 10 - د 10</v>
      </c>
      <c r="E34" s="50">
        <f>LOOKUP(A34,'Base-D'!A:A,'Base-D'!R:R)</f>
        <v>11111111111</v>
      </c>
      <c r="F34" s="51">
        <f t="shared" si="0"/>
        <v>53563.31</v>
      </c>
      <c r="G34" s="51">
        <f>LOOKUP(A34,'ورقة العمل'!A:A,'ورقة العمل'!E:E)</f>
        <v>5000</v>
      </c>
      <c r="H34" s="51">
        <f>LOOKUP(A34,'Base-D'!A:A,'Base-D'!BK:BK)</f>
        <v>6118.83</v>
      </c>
      <c r="I34" s="51">
        <f>LOOKUP(A34,'Base-D'!A:A,'Base-D'!BM:BM)</f>
        <v>5916.11</v>
      </c>
      <c r="J34" s="51">
        <f t="shared" si="1"/>
        <v>0</v>
      </c>
      <c r="K34" s="51">
        <f>LOOKUP(A34,'Base-D'!A:A,'Base-D'!BI:BI)</f>
        <v>0</v>
      </c>
      <c r="L34" s="51">
        <f>LOOKUP(A34,'Base-D'!A:A,'Base-D'!BG:BG)</f>
        <v>0</v>
      </c>
      <c r="M34" s="51">
        <f>LOOKUP(A34,'Base-D'!A:A,'Base-D'!BH:BH)</f>
        <v>0</v>
      </c>
      <c r="N34" s="51">
        <f t="shared" si="2"/>
        <v>70598.25</v>
      </c>
      <c r="O34" s="51">
        <f>LOOKUP(A34,'Base-D'!A:A,'Base-D'!AZ:AZ)</f>
        <v>33975</v>
      </c>
      <c r="P34" s="51">
        <f>LOOKUP(A34,'Base-D'!A:A,'Base-D'!AI:AI)</f>
        <v>1372</v>
      </c>
      <c r="Q34" s="51">
        <f>LOOKUP(A34,'Base-D'!A:A,'Base-D'!BB:BB)</f>
        <v>9180</v>
      </c>
      <c r="R34" s="51">
        <f>LOOKUP(A34,'Base-D'!A:A,'Base-D'!AJ:AJ)</f>
        <v>10710</v>
      </c>
      <c r="S34" s="51">
        <f>LOOKUP(A34,'Base-D'!A:A,'Base-D'!BC:BC)</f>
        <v>0</v>
      </c>
      <c r="T34" s="51">
        <f>LOOKUP(A34,'Base-D'!A:A,'Base-D'!BD:BD)</f>
        <v>3100</v>
      </c>
      <c r="U34" s="51">
        <f>LOOKUP(A34,'Base-D'!A:A,'Base-D'!BE:BE)</f>
        <v>2000</v>
      </c>
      <c r="V34" s="51">
        <f>LOOKUP(A34,'Base-D'!A:A,'Base-D'!BF:BF)</f>
        <v>7650</v>
      </c>
      <c r="W34" s="51">
        <f>LOOKUP(A34,'Base-D'!A:A,'Base-D'!AT:AT)</f>
        <v>0</v>
      </c>
      <c r="X34" s="51">
        <f>LOOKUP(A34,'Base-D'!A:A,'Base-D'!AE:AE)</f>
        <v>2611.25</v>
      </c>
      <c r="Y34" s="51">
        <f>LOOKUP(A34,'ورقة العمل'!A:A,'ورقة العمل'!F:F)</f>
        <v>0</v>
      </c>
      <c r="Z34" s="689" t="str">
        <f>LOOKUP(A34,'Base-D'!A:A,'Base-D'!S:S)</f>
        <v>الخزينة الولائية</v>
      </c>
      <c r="AA34" s="51">
        <f>LOOKUP(A34,'Base-D'!A:A,'Base-D'!N:N)</f>
        <v>0</v>
      </c>
      <c r="AG34" s="1124" t="str">
        <f t="shared" si="6"/>
        <v/>
      </c>
      <c r="AH34" s="1124" t="str">
        <f t="shared" si="7"/>
        <v/>
      </c>
      <c r="AI34" s="1124" t="str">
        <f t="shared" si="8"/>
        <v/>
      </c>
    </row>
    <row r="35" spans="1:35" ht="63" hidden="1" customHeight="1">
      <c r="A35" s="81">
        <f>'Base-D'!A22</f>
        <v>21</v>
      </c>
      <c r="B35" s="1118">
        <v>9</v>
      </c>
      <c r="C35" s="50" t="str">
        <f>LOOKUP(A35,'Base-D'!A:A,'Base-D'!AX:AX)</f>
        <v>ففففففففلللللللللللللل</v>
      </c>
      <c r="D35" s="50" t="str">
        <f>LOOKUP(A35,'Base-D'!A:A,'Base-D'!AY:AY)</f>
        <v>م5 ب 10 - د 2</v>
      </c>
      <c r="E35" s="50">
        <f>LOOKUP(A35,'Base-D'!A:A,'Base-D'!R:R)</f>
        <v>11111111111</v>
      </c>
      <c r="F35" s="51">
        <f t="shared" si="0"/>
        <v>47230.720000000001</v>
      </c>
      <c r="G35" s="51">
        <f>LOOKUP(A35,'ورقة العمل'!A:A,'ورقة العمل'!E:E)</f>
        <v>0</v>
      </c>
      <c r="H35" s="51">
        <f>LOOKUP(A35,'Base-D'!A:A,'Base-D'!BK:BK)</f>
        <v>4920.03</v>
      </c>
      <c r="I35" s="51">
        <f>LOOKUP(A35,'Base-D'!A:A,'Base-D'!BM:BM)</f>
        <v>3916.25</v>
      </c>
      <c r="J35" s="51">
        <f t="shared" si="1"/>
        <v>0</v>
      </c>
      <c r="K35" s="51">
        <f>LOOKUP(A35,'Base-D'!A:A,'Base-D'!BI:BI)</f>
        <v>0</v>
      </c>
      <c r="L35" s="51">
        <f>LOOKUP(A35,'Base-D'!A:A,'Base-D'!BG:BG)</f>
        <v>0</v>
      </c>
      <c r="M35" s="51">
        <f>LOOKUP(A35,'Base-D'!A:A,'Base-D'!BH:BH)</f>
        <v>0</v>
      </c>
      <c r="N35" s="51">
        <f t="shared" si="2"/>
        <v>56067</v>
      </c>
      <c r="O35" s="51">
        <f>LOOKUP(A35,'Base-D'!A:A,'Base-D'!AZ:AZ)</f>
        <v>25785</v>
      </c>
      <c r="P35" s="51">
        <f>LOOKUP(A35,'Base-D'!A:A,'Base-D'!AI:AI)</f>
        <v>1372</v>
      </c>
      <c r="Q35" s="51">
        <f>LOOKUP(A35,'Base-D'!A:A,'Base-D'!BB:BB)</f>
        <v>6723</v>
      </c>
      <c r="R35" s="51">
        <f>LOOKUP(A35,'Base-D'!A:A,'Base-D'!AJ:AJ)</f>
        <v>10084.5</v>
      </c>
      <c r="S35" s="51">
        <f>LOOKUP(A35,'Base-D'!A:A,'Base-D'!BC:BC)</f>
        <v>0</v>
      </c>
      <c r="T35" s="51">
        <f>LOOKUP(A35,'Base-D'!A:A,'Base-D'!BD:BD)</f>
        <v>3100</v>
      </c>
      <c r="U35" s="51">
        <f>LOOKUP(A35,'Base-D'!A:A,'Base-D'!BE:BE)</f>
        <v>2000</v>
      </c>
      <c r="V35" s="51">
        <f>LOOKUP(A35,'Base-D'!A:A,'Base-D'!BF:BF)</f>
        <v>5602.5</v>
      </c>
      <c r="W35" s="51">
        <f>LOOKUP(A35,'Base-D'!A:A,'Base-D'!AT:AT)</f>
        <v>0</v>
      </c>
      <c r="X35" s="51">
        <f>LOOKUP(A35,'Base-D'!A:A,'Base-D'!AE:AE)</f>
        <v>1400</v>
      </c>
      <c r="Y35" s="51">
        <f>LOOKUP(A35,'ورقة العمل'!A:A,'ورقة العمل'!F:F)</f>
        <v>0</v>
      </c>
      <c r="Z35" s="689" t="str">
        <f>LOOKUP(A35,'Base-D'!A:A,'Base-D'!S:S)</f>
        <v>الحساب الجاري البريدي</v>
      </c>
      <c r="AA35" s="51">
        <f>LOOKUP(A35,'Base-D'!A:A,'Base-D'!N:N)</f>
        <v>0</v>
      </c>
      <c r="AG35" s="1124" t="str">
        <f t="shared" si="6"/>
        <v/>
      </c>
      <c r="AH35" s="1124" t="str">
        <f t="shared" si="7"/>
        <v/>
      </c>
      <c r="AI35" s="1124" t="str">
        <f t="shared" si="8"/>
        <v/>
      </c>
    </row>
    <row r="36" spans="1:35" ht="63" hidden="1" customHeight="1">
      <c r="A36" s="81">
        <f>'Base-D'!A23</f>
        <v>22</v>
      </c>
      <c r="B36" s="1118">
        <v>10</v>
      </c>
      <c r="C36" s="50" t="str">
        <f>LOOKUP(A36,'Base-D'!A:A,'Base-D'!AX:AX)</f>
        <v>سييييييييفففففففففففف</v>
      </c>
      <c r="D36" s="50" t="str">
        <f>LOOKUP(A36,'Base-D'!A:A,'Base-D'!AY:AY)</f>
        <v>م5 ب 10 - د 11</v>
      </c>
      <c r="E36" s="50">
        <f>LOOKUP(A36,'Base-D'!A:A,'Base-D'!R:R)</f>
        <v>11111111111</v>
      </c>
      <c r="F36" s="51">
        <f t="shared" si="0"/>
        <v>56961.31</v>
      </c>
      <c r="G36" s="51">
        <f>LOOKUP(A36,'ورقة العمل'!A:A,'ورقة العمل'!E:E)</f>
        <v>5000</v>
      </c>
      <c r="H36" s="51">
        <f>LOOKUP(A36,'Base-D'!A:A,'Base-D'!BK:BK)</f>
        <v>6572.43</v>
      </c>
      <c r="I36" s="51">
        <f>LOOKUP(A36,'Base-D'!A:A,'Base-D'!BM:BM)</f>
        <v>6515.76</v>
      </c>
      <c r="J36" s="51">
        <f t="shared" si="1"/>
        <v>0</v>
      </c>
      <c r="K36" s="51">
        <f>LOOKUP(A36,'Base-D'!A:A,'Base-D'!BI:BI)</f>
        <v>0</v>
      </c>
      <c r="L36" s="51">
        <f>LOOKUP(A36,'Base-D'!A:A,'Base-D'!BG:BG)</f>
        <v>0</v>
      </c>
      <c r="M36" s="51">
        <f>LOOKUP(A36,'Base-D'!A:A,'Base-D'!BH:BH)</f>
        <v>0</v>
      </c>
      <c r="N36" s="51">
        <f t="shared" si="2"/>
        <v>75049.5</v>
      </c>
      <c r="O36" s="51">
        <f>LOOKUP(A36,'Base-D'!A:A,'Base-D'!AZ:AZ)</f>
        <v>34965</v>
      </c>
      <c r="P36" s="51">
        <f>LOOKUP(A36,'Base-D'!A:A,'Base-D'!AI:AI)</f>
        <v>1372</v>
      </c>
      <c r="Q36" s="51">
        <f>LOOKUP(A36,'Base-D'!A:A,'Base-D'!BB:BB)</f>
        <v>9477</v>
      </c>
      <c r="R36" s="51">
        <f>LOOKUP(A36,'Base-D'!A:A,'Base-D'!AJ:AJ)</f>
        <v>14215.5</v>
      </c>
      <c r="S36" s="51">
        <f>LOOKUP(A36,'Base-D'!A:A,'Base-D'!BC:BC)</f>
        <v>0</v>
      </c>
      <c r="T36" s="51">
        <f>LOOKUP(A36,'Base-D'!A:A,'Base-D'!BD:BD)</f>
        <v>3100</v>
      </c>
      <c r="U36" s="51">
        <f>LOOKUP(A36,'Base-D'!A:A,'Base-D'!BE:BE)</f>
        <v>2000</v>
      </c>
      <c r="V36" s="51">
        <f>LOOKUP(A36,'Base-D'!A:A,'Base-D'!BF:BF)</f>
        <v>7897.5</v>
      </c>
      <c r="W36" s="51">
        <f>LOOKUP(A36,'Base-D'!A:A,'Base-D'!AT:AT)</f>
        <v>0</v>
      </c>
      <c r="X36" s="51">
        <f>LOOKUP(A36,'Base-D'!A:A,'Base-D'!AE:AE)</f>
        <v>2022.5</v>
      </c>
      <c r="Y36" s="51">
        <f>LOOKUP(A36,'ورقة العمل'!A:A,'ورقة العمل'!F:F)</f>
        <v>0</v>
      </c>
      <c r="Z36" s="689" t="str">
        <f>LOOKUP(A36,'Base-D'!A:A,'Base-D'!S:S)</f>
        <v>الحساب الجاري البريدي</v>
      </c>
      <c r="AA36" s="51">
        <f>LOOKUP(A36,'Base-D'!A:A,'Base-D'!N:N)</f>
        <v>0</v>
      </c>
      <c r="AG36" s="1124" t="str">
        <f t="shared" si="6"/>
        <v/>
      </c>
      <c r="AH36" s="1124" t="str">
        <f t="shared" si="7"/>
        <v/>
      </c>
      <c r="AI36" s="1124" t="str">
        <f t="shared" si="8"/>
        <v/>
      </c>
    </row>
    <row r="37" spans="1:35" ht="63" hidden="1" customHeight="1">
      <c r="A37" s="81">
        <f>'Base-D'!A24</f>
        <v>23</v>
      </c>
      <c r="B37" s="1118">
        <v>11</v>
      </c>
      <c r="C37" s="50" t="str">
        <f>LOOKUP(A37,'Base-D'!A:A,'Base-D'!AX:AX)</f>
        <v>ليسليسليسليسللللللل</v>
      </c>
      <c r="D37" s="50" t="str">
        <f>LOOKUP(A37,'Base-D'!A:A,'Base-D'!AY:AY)</f>
        <v>م5 ب 10 - د 2</v>
      </c>
      <c r="E37" s="50">
        <f>LOOKUP(A37,'Base-D'!A:A,'Base-D'!R:R)</f>
        <v>11111111111</v>
      </c>
      <c r="F37" s="51">
        <f t="shared" si="0"/>
        <v>46805.72</v>
      </c>
      <c r="G37" s="51">
        <f>LOOKUP(A37,'ورقة العمل'!A:A,'ورقة العمل'!E:E)</f>
        <v>0</v>
      </c>
      <c r="H37" s="51">
        <f>LOOKUP(A37,'Base-D'!A:A,'Base-D'!BK:BK)</f>
        <v>4920.03</v>
      </c>
      <c r="I37" s="51">
        <f>LOOKUP(A37,'Base-D'!A:A,'Base-D'!BM:BM)</f>
        <v>3841.25</v>
      </c>
      <c r="J37" s="51">
        <f t="shared" si="1"/>
        <v>0</v>
      </c>
      <c r="K37" s="51">
        <f>LOOKUP(A37,'Base-D'!A:A,'Base-D'!BI:BI)</f>
        <v>0</v>
      </c>
      <c r="L37" s="51">
        <f>LOOKUP(A37,'Base-D'!A:A,'Base-D'!BG:BG)</f>
        <v>0</v>
      </c>
      <c r="M37" s="51">
        <f>LOOKUP(A37,'Base-D'!A:A,'Base-D'!BH:BH)</f>
        <v>0</v>
      </c>
      <c r="N37" s="51">
        <f t="shared" si="2"/>
        <v>55567</v>
      </c>
      <c r="O37" s="51">
        <f>LOOKUP(A37,'Base-D'!A:A,'Base-D'!AZ:AZ)</f>
        <v>25785</v>
      </c>
      <c r="P37" s="51">
        <f>LOOKUP(A37,'Base-D'!A:A,'Base-D'!AI:AI)</f>
        <v>1372</v>
      </c>
      <c r="Q37" s="51">
        <f>LOOKUP(A37,'Base-D'!A:A,'Base-D'!BB:BB)</f>
        <v>6723</v>
      </c>
      <c r="R37" s="51">
        <f>LOOKUP(A37,'Base-D'!A:A,'Base-D'!AJ:AJ)</f>
        <v>10084.5</v>
      </c>
      <c r="S37" s="51">
        <f>LOOKUP(A37,'Base-D'!A:A,'Base-D'!BC:BC)</f>
        <v>0</v>
      </c>
      <c r="T37" s="51">
        <f>LOOKUP(A37,'Base-D'!A:A,'Base-D'!BD:BD)</f>
        <v>3100</v>
      </c>
      <c r="U37" s="51">
        <f>LOOKUP(A37,'Base-D'!A:A,'Base-D'!BE:BE)</f>
        <v>2000</v>
      </c>
      <c r="V37" s="51">
        <f>LOOKUP(A37,'Base-D'!A:A,'Base-D'!BF:BF)</f>
        <v>5602.5</v>
      </c>
      <c r="W37" s="51">
        <f>LOOKUP(A37,'Base-D'!A:A,'Base-D'!AT:AT)</f>
        <v>0</v>
      </c>
      <c r="X37" s="51">
        <f>LOOKUP(A37,'Base-D'!A:A,'Base-D'!AE:AE)</f>
        <v>900</v>
      </c>
      <c r="Y37" s="51">
        <f>LOOKUP(A37,'ورقة العمل'!A:A,'ورقة العمل'!F:F)</f>
        <v>0</v>
      </c>
      <c r="Z37" s="689" t="str">
        <f>LOOKUP(A37,'Base-D'!A:A,'Base-D'!S:S)</f>
        <v>الحساب الجاري البريدي</v>
      </c>
      <c r="AA37" s="51">
        <f>LOOKUP(A37,'Base-D'!A:A,'Base-D'!N:N)</f>
        <v>0</v>
      </c>
      <c r="AG37" s="1124" t="str">
        <f t="shared" si="6"/>
        <v/>
      </c>
      <c r="AH37" s="1124" t="str">
        <f t="shared" si="7"/>
        <v/>
      </c>
      <c r="AI37" s="1124" t="str">
        <f t="shared" si="8"/>
        <v/>
      </c>
    </row>
    <row r="38" spans="1:35" ht="63" hidden="1" customHeight="1">
      <c r="A38" s="81">
        <f>'Base-D'!A25</f>
        <v>24</v>
      </c>
      <c r="B38" s="1118">
        <v>9</v>
      </c>
      <c r="C38" s="50" t="str">
        <f>LOOKUP(A38,'Base-D'!A:A,'Base-D'!AX:AX)</f>
        <v>شللبيسلبيشلررءرءؤرؤءر</v>
      </c>
      <c r="D38" s="50" t="str">
        <f>LOOKUP(A38,'Base-D'!A:A,'Base-D'!AY:AY)</f>
        <v>م5 ب 9 - د 11</v>
      </c>
      <c r="E38" s="50">
        <f>LOOKUP(A38,'Base-D'!A:A,'Base-D'!R:R)</f>
        <v>11111111111</v>
      </c>
      <c r="F38" s="51">
        <f t="shared" si="0"/>
        <v>54808.79</v>
      </c>
      <c r="G38" s="51">
        <f>LOOKUP(A38,'ورقة العمل'!A:A,'ورقة العمل'!E:E)</f>
        <v>0</v>
      </c>
      <c r="H38" s="51">
        <f>LOOKUP(A38,'Base-D'!A:A,'Base-D'!BK:BK)</f>
        <v>5857.79</v>
      </c>
      <c r="I38" s="51">
        <f>LOOKUP(A38,'Base-D'!A:A,'Base-D'!BM:BM)</f>
        <v>5454.87</v>
      </c>
      <c r="J38" s="51">
        <f t="shared" si="1"/>
        <v>0</v>
      </c>
      <c r="K38" s="51">
        <f>LOOKUP(A38,'Base-D'!A:A,'Base-D'!BI:BI)</f>
        <v>0</v>
      </c>
      <c r="L38" s="51">
        <f>LOOKUP(A38,'Base-D'!A:A,'Base-D'!BG:BG)</f>
        <v>0</v>
      </c>
      <c r="M38" s="51">
        <f>LOOKUP(A38,'Base-D'!A:A,'Base-D'!BH:BH)</f>
        <v>976.3</v>
      </c>
      <c r="N38" s="51">
        <f t="shared" si="2"/>
        <v>67097.75</v>
      </c>
      <c r="O38" s="51">
        <f>LOOKUP(A38,'Base-D'!A:A,'Base-D'!AZ:AZ)</f>
        <v>32535</v>
      </c>
      <c r="P38" s="51">
        <f>LOOKUP(A38,'Base-D'!A:A,'Base-D'!AI:AI)</f>
        <v>1207.5</v>
      </c>
      <c r="Q38" s="51">
        <f>LOOKUP(A38,'Base-D'!A:A,'Base-D'!BB:BB)</f>
        <v>8748</v>
      </c>
      <c r="R38" s="51">
        <f>LOOKUP(A38,'Base-D'!A:A,'Base-D'!AJ:AJ)</f>
        <v>10206</v>
      </c>
      <c r="S38" s="51">
        <f>LOOKUP(A38,'Base-D'!A:A,'Base-D'!BC:BC)</f>
        <v>0</v>
      </c>
      <c r="T38" s="51">
        <f>LOOKUP(A38,'Base-D'!A:A,'Base-D'!BD:BD)</f>
        <v>3100</v>
      </c>
      <c r="U38" s="51">
        <f>LOOKUP(A38,'Base-D'!A:A,'Base-D'!BE:BE)</f>
        <v>2000</v>
      </c>
      <c r="V38" s="51">
        <f>LOOKUP(A38,'Base-D'!A:A,'Base-D'!BF:BF)</f>
        <v>7290</v>
      </c>
      <c r="W38" s="51">
        <f>LOOKUP(A38,'Base-D'!A:A,'Base-D'!AT:AT)</f>
        <v>0</v>
      </c>
      <c r="X38" s="51">
        <f>LOOKUP(A38,'Base-D'!A:A,'Base-D'!AE:AE)</f>
        <v>2011.25</v>
      </c>
      <c r="Y38" s="51">
        <f>LOOKUP(A38,'ورقة العمل'!A:A,'ورقة العمل'!F:F)</f>
        <v>0</v>
      </c>
      <c r="Z38" s="689" t="str">
        <f>LOOKUP(A38,'Base-D'!A:A,'Base-D'!S:S)</f>
        <v>الخزينة الولائية</v>
      </c>
      <c r="AA38" s="51">
        <f>LOOKUP(A38,'Base-D'!A:A,'Base-D'!N:N)</f>
        <v>0</v>
      </c>
      <c r="AG38" s="1124" t="str">
        <f t="shared" si="6"/>
        <v/>
      </c>
      <c r="AH38" s="1124" t="str">
        <f t="shared" si="7"/>
        <v/>
      </c>
      <c r="AI38" s="1124" t="str">
        <f t="shared" si="8"/>
        <v/>
      </c>
    </row>
    <row r="39" spans="1:35" ht="63" hidden="1" customHeight="1">
      <c r="A39" s="81">
        <f>'Base-D'!A26</f>
        <v>25</v>
      </c>
      <c r="B39" s="1118">
        <v>12</v>
      </c>
      <c r="C39" s="50" t="str">
        <f>LOOKUP(A39,'Base-D'!A:A,'Base-D'!AX:AX)</f>
        <v>رسيبرشبيسبصثقصقثصقض</v>
      </c>
      <c r="D39" s="50" t="str">
        <f>LOOKUP(A39,'Base-D'!A:A,'Base-D'!AY:AY)</f>
        <v>م5 ب 9 - د 10</v>
      </c>
      <c r="E39" s="50">
        <f>LOOKUP(A39,'Base-D'!A:A,'Base-D'!R:R)</f>
        <v>11111111111</v>
      </c>
      <c r="F39" s="51">
        <f t="shared" si="0"/>
        <v>50634.14</v>
      </c>
      <c r="G39" s="51">
        <f>LOOKUP(A39,'ورقة العمل'!A:A,'ورقة العمل'!E:E)</f>
        <v>5000</v>
      </c>
      <c r="H39" s="51">
        <f>LOOKUP(A39,'Base-D'!A:A,'Base-D'!BK:BK)</f>
        <v>5950.13</v>
      </c>
      <c r="I39" s="51">
        <f>LOOKUP(A39,'Base-D'!A:A,'Base-D'!BM:BM)</f>
        <v>5428.23</v>
      </c>
      <c r="J39" s="51">
        <f t="shared" si="1"/>
        <v>0</v>
      </c>
      <c r="K39" s="51">
        <f>LOOKUP(A39,'Base-D'!A:A,'Base-D'!BI:BI)</f>
        <v>0</v>
      </c>
      <c r="L39" s="51">
        <f>LOOKUP(A39,'Base-D'!A:A,'Base-D'!BG:BG)</f>
        <v>0</v>
      </c>
      <c r="M39" s="51">
        <f>LOOKUP(A39,'Base-D'!A:A,'Base-D'!BH:BH)</f>
        <v>0</v>
      </c>
      <c r="N39" s="51">
        <f t="shared" si="2"/>
        <v>67012.5</v>
      </c>
      <c r="O39" s="51">
        <f>LOOKUP(A39,'Base-D'!A:A,'Base-D'!AZ:AZ)</f>
        <v>31590</v>
      </c>
      <c r="P39" s="51">
        <f>LOOKUP(A39,'Base-D'!A:A,'Base-D'!AI:AI)</f>
        <v>1207.5</v>
      </c>
      <c r="Q39" s="51">
        <f>LOOKUP(A39,'Base-D'!A:A,'Base-D'!BB:BB)</f>
        <v>8464.5</v>
      </c>
      <c r="R39" s="51">
        <f>LOOKUP(A39,'Base-D'!A:A,'Base-D'!AJ:AJ)</f>
        <v>12696.75</v>
      </c>
      <c r="S39" s="51">
        <f>LOOKUP(A39,'Base-D'!A:A,'Base-D'!BC:BC)</f>
        <v>0</v>
      </c>
      <c r="T39" s="51">
        <f>LOOKUP(A39,'Base-D'!A:A,'Base-D'!BD:BD)</f>
        <v>3100</v>
      </c>
      <c r="U39" s="51">
        <f>LOOKUP(A39,'Base-D'!A:A,'Base-D'!BE:BE)</f>
        <v>2000</v>
      </c>
      <c r="V39" s="51">
        <f>LOOKUP(A39,'Base-D'!A:A,'Base-D'!BF:BF)</f>
        <v>7053.75</v>
      </c>
      <c r="W39" s="51">
        <f>LOOKUP(A39,'Base-D'!A:A,'Base-D'!AT:AT)</f>
        <v>0</v>
      </c>
      <c r="X39" s="51">
        <f>LOOKUP(A39,'Base-D'!A:A,'Base-D'!AE:AE)</f>
        <v>900</v>
      </c>
      <c r="Y39" s="51">
        <f>LOOKUP(A39,'ورقة العمل'!A:A,'ورقة العمل'!F:F)</f>
        <v>0</v>
      </c>
      <c r="Z39" s="689" t="str">
        <f>LOOKUP(A39,'Base-D'!A:A,'Base-D'!S:S)</f>
        <v>الحساب الجاري البريدي</v>
      </c>
      <c r="AA39" s="51">
        <f>LOOKUP(A39,'Base-D'!A:A,'Base-D'!N:N)</f>
        <v>0</v>
      </c>
      <c r="AG39" s="1124" t="str">
        <f t="shared" si="6"/>
        <v/>
      </c>
      <c r="AH39" s="1124" t="str">
        <f t="shared" si="7"/>
        <v/>
      </c>
      <c r="AI39" s="1124" t="str">
        <f t="shared" si="8"/>
        <v/>
      </c>
    </row>
    <row r="40" spans="1:35" ht="63" customHeight="1" thickBot="1">
      <c r="A40" s="81">
        <f>'Base-D'!A27</f>
        <v>26</v>
      </c>
      <c r="B40" s="1118">
        <v>3</v>
      </c>
      <c r="C40" s="50" t="str">
        <f>LOOKUP(A40,'Base-D'!A:A,'Base-D'!AX:AX)</f>
        <v>بيسلبيليبسلصثقثصقثصقصث</v>
      </c>
      <c r="D40" s="50" t="str">
        <f>LOOKUP(A40,'Base-D'!A:A,'Base-D'!AY:AY)</f>
        <v xml:space="preserve"> ب 10 - د 8</v>
      </c>
      <c r="E40" s="50">
        <f>LOOKUP(A40,'Base-D'!A:A,'Base-D'!R:R)</f>
        <v>11111111111</v>
      </c>
      <c r="F40" s="51">
        <f t="shared" si="0"/>
        <v>48749.82</v>
      </c>
      <c r="G40" s="51">
        <f>LOOKUP(A40,'ورقة العمل'!A:A,'ورقة العمل'!E:E)</f>
        <v>5000</v>
      </c>
      <c r="H40" s="51">
        <f>LOOKUP(A40,'Base-D'!A:A,'Base-D'!BK:BK)</f>
        <v>5821.11</v>
      </c>
      <c r="I40" s="51">
        <f>LOOKUP(A40,'Base-D'!A:A,'Base-D'!BM:BM)</f>
        <v>5237.88</v>
      </c>
      <c r="J40" s="51">
        <f t="shared" si="1"/>
        <v>0</v>
      </c>
      <c r="K40" s="51">
        <f>LOOKUP(A40,'Base-D'!A:A,'Base-D'!BI:BI)</f>
        <v>0</v>
      </c>
      <c r="L40" s="51">
        <f>LOOKUP(A40,'Base-D'!A:A,'Base-D'!BG:BG)</f>
        <v>0</v>
      </c>
      <c r="M40" s="51">
        <f>LOOKUP(A40,'Base-D'!A:A,'Base-D'!BH:BH)</f>
        <v>970.19</v>
      </c>
      <c r="N40" s="51">
        <f t="shared" si="2"/>
        <v>65779</v>
      </c>
      <c r="O40" s="51">
        <f>LOOKUP(A40,'Base-D'!A:A,'Base-D'!AZ:AZ)</f>
        <v>28530</v>
      </c>
      <c r="P40" s="51">
        <f>LOOKUP(A40,'Base-D'!A:A,'Base-D'!AI:AI)</f>
        <v>1372</v>
      </c>
      <c r="Q40" s="51">
        <f>LOOKUP(A40,'Base-D'!A:A,'Base-D'!BB:BB)</f>
        <v>8559</v>
      </c>
      <c r="R40" s="51">
        <f>LOOKUP(A40,'Base-D'!A:A,'Base-D'!AJ:AJ)</f>
        <v>9985.5</v>
      </c>
      <c r="S40" s="51">
        <f>LOOKUP(A40,'Base-D'!A:A,'Base-D'!BC:BC)</f>
        <v>4000</v>
      </c>
      <c r="T40" s="51">
        <f>LOOKUP(A40,'Base-D'!A:A,'Base-D'!BD:BD)</f>
        <v>3100</v>
      </c>
      <c r="U40" s="51">
        <f>LOOKUP(A40,'Base-D'!A:A,'Base-D'!BE:BE)</f>
        <v>2000</v>
      </c>
      <c r="V40" s="51">
        <f>LOOKUP(A40,'Base-D'!A:A,'Base-D'!BF:BF)</f>
        <v>7132.5</v>
      </c>
      <c r="W40" s="51">
        <f>LOOKUP(A40,'Base-D'!A:A,'Base-D'!AT:AT)</f>
        <v>0</v>
      </c>
      <c r="X40" s="51">
        <f>LOOKUP(A40,'Base-D'!A:A,'Base-D'!AE:AE)</f>
        <v>1100</v>
      </c>
      <c r="Y40" s="51">
        <f>LOOKUP(A40,'ورقة العمل'!A:A,'ورقة العمل'!F:F)</f>
        <v>0</v>
      </c>
      <c r="Z40" s="689" t="str">
        <f>LOOKUP(A40,'Base-D'!A:A,'Base-D'!S:S)</f>
        <v>بنك الفلاحة و التنمية الريفية</v>
      </c>
      <c r="AA40" s="51">
        <f>LOOKUP(A40,'Base-D'!A:A,'Base-D'!N:N)</f>
        <v>0</v>
      </c>
      <c r="AG40" s="1124" t="str">
        <f t="shared" si="6"/>
        <v/>
      </c>
      <c r="AH40" s="1124" t="str">
        <f t="shared" si="7"/>
        <v/>
      </c>
      <c r="AI40" s="1124">
        <f t="shared" si="8"/>
        <v>3</v>
      </c>
    </row>
    <row r="41" spans="1:35" ht="63" hidden="1" customHeight="1">
      <c r="A41" s="81">
        <f>'Base-D'!A28</f>
        <v>27</v>
      </c>
      <c r="B41" s="1118">
        <v>2</v>
      </c>
      <c r="C41" s="50" t="str">
        <f>LOOKUP(A41,'Base-D'!A:A,'Base-D'!AX:AX)</f>
        <v>لللللللللللللللللللللل</v>
      </c>
      <c r="D41" s="50" t="str">
        <f>LOOKUP(A41,'Base-D'!A:A,'Base-D'!AY:AY)</f>
        <v xml:space="preserve"> ب 9 - د 10</v>
      </c>
      <c r="E41" s="50">
        <f>LOOKUP(A41,'Base-D'!A:A,'Base-D'!R:R)</f>
        <v>11111111111</v>
      </c>
      <c r="F41" s="51">
        <f t="shared" si="0"/>
        <v>44013.279999999999</v>
      </c>
      <c r="G41" s="51">
        <f>LOOKUP(A41,'ورقة العمل'!A:A,'ورقة العمل'!E:E)</f>
        <v>5000</v>
      </c>
      <c r="H41" s="51">
        <f>LOOKUP(A41,'Base-D'!A:A,'Base-D'!BK:BK)</f>
        <v>5212.4399999999996</v>
      </c>
      <c r="I41" s="51">
        <f>LOOKUP(A41,'Base-D'!A:A,'Base-D'!BM:BM)</f>
        <v>4612.78</v>
      </c>
      <c r="J41" s="51">
        <f t="shared" si="1"/>
        <v>0</v>
      </c>
      <c r="K41" s="51">
        <f>LOOKUP(A41,'Base-D'!A:A,'Base-D'!BI:BI)</f>
        <v>0</v>
      </c>
      <c r="L41" s="51">
        <f>LOOKUP(A41,'Base-D'!A:A,'Base-D'!BG:BG)</f>
        <v>0</v>
      </c>
      <c r="M41" s="51">
        <f>LOOKUP(A41,'Base-D'!A:A,'Base-D'!BH:BH)</f>
        <v>0</v>
      </c>
      <c r="N41" s="51">
        <f t="shared" si="2"/>
        <v>58838.5</v>
      </c>
      <c r="O41" s="51">
        <f>LOOKUP(A41,'Base-D'!A:A,'Base-D'!AZ:AZ)</f>
        <v>28215</v>
      </c>
      <c r="P41" s="51">
        <f>LOOKUP(A41,'Base-D'!A:A,'Base-D'!AI:AI)</f>
        <v>1207.5</v>
      </c>
      <c r="Q41" s="51">
        <f>LOOKUP(A41,'Base-D'!A:A,'Base-D'!BB:BB)</f>
        <v>8464.5</v>
      </c>
      <c r="R41" s="51">
        <f>LOOKUP(A41,'Base-D'!A:A,'Base-D'!AJ:AJ)</f>
        <v>9875.25</v>
      </c>
      <c r="S41" s="51">
        <f>LOOKUP(A41,'Base-D'!A:A,'Base-D'!BC:BC)</f>
        <v>0</v>
      </c>
      <c r="T41" s="51">
        <f>LOOKUP(A41,'Base-D'!A:A,'Base-D'!BD:BD)</f>
        <v>3100</v>
      </c>
      <c r="U41" s="51">
        <f>LOOKUP(A41,'Base-D'!A:A,'Base-D'!BE:BE)</f>
        <v>0</v>
      </c>
      <c r="V41" s="51">
        <f>LOOKUP(A41,'Base-D'!A:A,'Base-D'!BF:BF)</f>
        <v>7053.75</v>
      </c>
      <c r="W41" s="51">
        <f>LOOKUP(A41,'Base-D'!A:A,'Base-D'!AT:AT)</f>
        <v>0</v>
      </c>
      <c r="X41" s="51">
        <f>LOOKUP(A41,'Base-D'!A:A,'Base-D'!AE:AE)</f>
        <v>922.5</v>
      </c>
      <c r="Y41" s="51">
        <f>LOOKUP(A41,'ورقة العمل'!A:A,'ورقة العمل'!F:F)</f>
        <v>0</v>
      </c>
      <c r="Z41" s="689" t="str">
        <f>LOOKUP(A41,'Base-D'!A:A,'Base-D'!S:S)</f>
        <v>بنك التنمية المحلية</v>
      </c>
      <c r="AA41" s="51">
        <f>LOOKUP(A41,'Base-D'!A:A,'Base-D'!N:N)</f>
        <v>0</v>
      </c>
      <c r="AG41" s="1124" t="str">
        <f t="shared" si="6"/>
        <v/>
      </c>
      <c r="AH41" s="1124">
        <f t="shared" si="7"/>
        <v>2</v>
      </c>
      <c r="AI41" s="1124" t="str">
        <f t="shared" si="8"/>
        <v/>
      </c>
    </row>
    <row r="42" spans="1:35" ht="63" hidden="1" customHeight="1">
      <c r="A42" s="81">
        <f>'Base-D'!A29</f>
        <v>28</v>
      </c>
      <c r="B42" s="1118">
        <v>3</v>
      </c>
      <c r="C42" s="50" t="str">
        <f>LOOKUP(A42,'Base-D'!A:A,'Base-D'!AX:AX)</f>
        <v>فففففففففففففففففففف</v>
      </c>
      <c r="D42" s="50" t="str">
        <f>LOOKUP(A42,'Base-D'!A:A,'Base-D'!AY:AY)</f>
        <v xml:space="preserve"> أ 14 - د 6</v>
      </c>
      <c r="E42" s="50">
        <f>LOOKUP(A42,'Base-D'!A:A,'Base-D'!R:R)</f>
        <v>11111111111</v>
      </c>
      <c r="F42" s="51">
        <f t="shared" si="0"/>
        <v>67187.47</v>
      </c>
      <c r="G42" s="51">
        <f>LOOKUP(A42,'ورقة العمل'!A:A,'ورقة العمل'!E:E)</f>
        <v>5000</v>
      </c>
      <c r="H42" s="51">
        <f>LOOKUP(A42,'Base-D'!A:A,'Base-D'!BK:BK)</f>
        <v>7820.42</v>
      </c>
      <c r="I42" s="51">
        <f>LOOKUP(A42,'Base-D'!A:A,'Base-D'!BM:BM)</f>
        <v>8585.61</v>
      </c>
      <c r="J42" s="51">
        <f t="shared" si="1"/>
        <v>0</v>
      </c>
      <c r="K42" s="51">
        <f>LOOKUP(A42,'Base-D'!A:A,'Base-D'!BI:BI)</f>
        <v>0</v>
      </c>
      <c r="L42" s="51">
        <f>LOOKUP(A42,'Base-D'!A:A,'Base-D'!BG:BG)</f>
        <v>0</v>
      </c>
      <c r="M42" s="51">
        <f>LOOKUP(A42,'Base-D'!A:A,'Base-D'!BH:BH)</f>
        <v>0</v>
      </c>
      <c r="N42" s="51">
        <f t="shared" si="2"/>
        <v>88593.5</v>
      </c>
      <c r="O42" s="51">
        <f>LOOKUP(A42,'Base-D'!A:A,'Base-D'!AZ:AZ)</f>
        <v>36315</v>
      </c>
      <c r="P42" s="51">
        <f>LOOKUP(A42,'Base-D'!A:A,'Base-D'!AI:AI)</f>
        <v>1869</v>
      </c>
      <c r="Q42" s="51">
        <f>LOOKUP(A42,'Base-D'!A:A,'Base-D'!BB:BB)</f>
        <v>14526</v>
      </c>
      <c r="R42" s="51">
        <f>LOOKUP(A42,'Base-D'!A:A,'Base-D'!AJ:AJ)</f>
        <v>29052</v>
      </c>
      <c r="S42" s="51">
        <f>LOOKUP(A42,'Base-D'!A:A,'Base-D'!BC:BC)</f>
        <v>0</v>
      </c>
      <c r="T42" s="51">
        <f>LOOKUP(A42,'Base-D'!A:A,'Base-D'!BD:BD)</f>
        <v>1500</v>
      </c>
      <c r="U42" s="51">
        <f>LOOKUP(A42,'Base-D'!A:A,'Base-D'!BE:BE)</f>
        <v>0</v>
      </c>
      <c r="V42" s="51">
        <f>LOOKUP(A42,'Base-D'!A:A,'Base-D'!BF:BF)</f>
        <v>3631.5</v>
      </c>
      <c r="W42" s="51">
        <f>LOOKUP(A42,'Base-D'!A:A,'Base-D'!AT:AT)</f>
        <v>0</v>
      </c>
      <c r="X42" s="51">
        <f>LOOKUP(A42,'Base-D'!A:A,'Base-D'!AE:AE)</f>
        <v>1700</v>
      </c>
      <c r="Y42" s="51">
        <f>LOOKUP(A42,'ورقة العمل'!A:A,'ورقة العمل'!F:F)</f>
        <v>0</v>
      </c>
      <c r="Z42" s="689" t="str">
        <f>LOOKUP(A42,'Base-D'!A:A,'Base-D'!S:S)</f>
        <v>بنك التنمية المحلية</v>
      </c>
      <c r="AA42" s="51">
        <f>LOOKUP(A42,'Base-D'!A:A,'Base-D'!N:N)</f>
        <v>0</v>
      </c>
      <c r="AG42" s="1124" t="str">
        <f t="shared" si="6"/>
        <v/>
      </c>
      <c r="AH42" s="1124">
        <f t="shared" si="7"/>
        <v>3</v>
      </c>
      <c r="AI42" s="1124" t="str">
        <f t="shared" si="8"/>
        <v/>
      </c>
    </row>
    <row r="43" spans="1:35" ht="63" hidden="1" customHeight="1">
      <c r="A43" s="81">
        <f>'Base-D'!A30</f>
        <v>29</v>
      </c>
      <c r="B43" s="1118">
        <v>10</v>
      </c>
      <c r="C43" s="50" t="str">
        <f>LOOKUP(A43,'Base-D'!A:A,'Base-D'!AX:AX)</f>
        <v>يسلللللللسيييييييي</v>
      </c>
      <c r="D43" s="50" t="str">
        <f>LOOKUP(A43,'Base-D'!A:A,'Base-D'!AY:AY)</f>
        <v xml:space="preserve"> أ 14 - د 6</v>
      </c>
      <c r="E43" s="50">
        <f>LOOKUP(A43,'Base-D'!A:A,'Base-D'!R:R)</f>
        <v>11111111111</v>
      </c>
      <c r="F43" s="51">
        <f t="shared" si="0"/>
        <v>71252.47</v>
      </c>
      <c r="G43" s="51">
        <f>LOOKUP(A43,'ورقة العمل'!A:A,'ورقة العمل'!E:E)</f>
        <v>0</v>
      </c>
      <c r="H43" s="51">
        <f>LOOKUP(A43,'Base-D'!A:A,'Base-D'!BK:BK)</f>
        <v>7820.42</v>
      </c>
      <c r="I43" s="51">
        <f>LOOKUP(A43,'Base-D'!A:A,'Base-D'!BM:BM)</f>
        <v>8420.61</v>
      </c>
      <c r="J43" s="51">
        <f t="shared" si="1"/>
        <v>0</v>
      </c>
      <c r="K43" s="51">
        <f>LOOKUP(A43,'Base-D'!A:A,'Base-D'!BI:BI)</f>
        <v>0</v>
      </c>
      <c r="L43" s="51">
        <f>LOOKUP(A43,'Base-D'!A:A,'Base-D'!BG:BG)</f>
        <v>0</v>
      </c>
      <c r="M43" s="51">
        <f>LOOKUP(A43,'Base-D'!A:A,'Base-D'!BH:BH)</f>
        <v>0</v>
      </c>
      <c r="N43" s="51">
        <f t="shared" si="2"/>
        <v>87493.5</v>
      </c>
      <c r="O43" s="51">
        <f>LOOKUP(A43,'Base-D'!A:A,'Base-D'!AZ:AZ)</f>
        <v>36315</v>
      </c>
      <c r="P43" s="51">
        <f>LOOKUP(A43,'Base-D'!A:A,'Base-D'!AI:AI)</f>
        <v>1869</v>
      </c>
      <c r="Q43" s="51">
        <f>LOOKUP(A43,'Base-D'!A:A,'Base-D'!BB:BB)</f>
        <v>14526</v>
      </c>
      <c r="R43" s="51">
        <f>LOOKUP(A43,'Base-D'!A:A,'Base-D'!AJ:AJ)</f>
        <v>29052</v>
      </c>
      <c r="S43" s="51">
        <f>LOOKUP(A43,'Base-D'!A:A,'Base-D'!BC:BC)</f>
        <v>0</v>
      </c>
      <c r="T43" s="51">
        <f>LOOKUP(A43,'Base-D'!A:A,'Base-D'!BD:BD)</f>
        <v>1500</v>
      </c>
      <c r="U43" s="51">
        <f>LOOKUP(A43,'Base-D'!A:A,'Base-D'!BE:BE)</f>
        <v>0</v>
      </c>
      <c r="V43" s="51">
        <f>LOOKUP(A43,'Base-D'!A:A,'Base-D'!BF:BF)</f>
        <v>3631.5</v>
      </c>
      <c r="W43" s="51">
        <f>LOOKUP(A43,'Base-D'!A:A,'Base-D'!AT:AT)</f>
        <v>0</v>
      </c>
      <c r="X43" s="51">
        <f>LOOKUP(A43,'Base-D'!A:A,'Base-D'!AE:AE)</f>
        <v>600</v>
      </c>
      <c r="Y43" s="51">
        <f>LOOKUP(A43,'ورقة العمل'!A:A,'ورقة العمل'!F:F)</f>
        <v>0</v>
      </c>
      <c r="Z43" s="689" t="str">
        <f>LOOKUP(A43,'Base-D'!A:A,'Base-D'!S:S)</f>
        <v>الخزينة الولائية</v>
      </c>
      <c r="AA43" s="51">
        <f>LOOKUP(A43,'Base-D'!A:A,'Base-D'!N:N)</f>
        <v>0</v>
      </c>
      <c r="AG43" s="1124" t="str">
        <f t="shared" si="6"/>
        <v/>
      </c>
      <c r="AH43" s="1124" t="str">
        <f t="shared" si="7"/>
        <v/>
      </c>
      <c r="AI43" s="1124" t="str">
        <f t="shared" si="8"/>
        <v/>
      </c>
    </row>
    <row r="44" spans="1:35" ht="63" hidden="1" customHeight="1">
      <c r="A44" s="81">
        <f>'Base-D'!A31</f>
        <v>30</v>
      </c>
      <c r="B44" s="1118">
        <v>13</v>
      </c>
      <c r="C44" s="50" t="str">
        <f>LOOKUP(A44,'Base-D'!A:A,'Base-D'!AX:AX)</f>
        <v>ررءرءؤرؤءرليسليسليسل</v>
      </c>
      <c r="D44" s="50" t="str">
        <f>LOOKUP(A44,'Base-D'!A:A,'Base-D'!AY:AY)</f>
        <v xml:space="preserve"> أ 13 - د 1</v>
      </c>
      <c r="E44" s="50">
        <f>LOOKUP(A44,'Base-D'!A:A,'Base-D'!R:R)</f>
        <v>11111111111</v>
      </c>
      <c r="F44" s="51">
        <f t="shared" si="0"/>
        <v>58522.76</v>
      </c>
      <c r="G44" s="51">
        <f>LOOKUP(A44,'ورقة العمل'!A:A,'ورقة العمل'!E:E)</f>
        <v>0</v>
      </c>
      <c r="H44" s="51">
        <f>LOOKUP(A44,'Base-D'!A:A,'Base-D'!BK:BK)</f>
        <v>6366.87</v>
      </c>
      <c r="I44" s="51">
        <f>LOOKUP(A44,'Base-D'!A:A,'Base-D'!BM:BM)</f>
        <v>5853.37</v>
      </c>
      <c r="J44" s="51">
        <f t="shared" si="1"/>
        <v>0</v>
      </c>
      <c r="K44" s="51">
        <f>LOOKUP(A44,'Base-D'!A:A,'Base-D'!BI:BI)</f>
        <v>0</v>
      </c>
      <c r="L44" s="51">
        <f>LOOKUP(A44,'Base-D'!A:A,'Base-D'!BG:BG)</f>
        <v>0</v>
      </c>
      <c r="M44" s="51">
        <f>LOOKUP(A44,'Base-D'!A:A,'Base-D'!BH:BH)</f>
        <v>0</v>
      </c>
      <c r="N44" s="51">
        <f t="shared" si="2"/>
        <v>70743</v>
      </c>
      <c r="O44" s="51">
        <f>LOOKUP(A44,'Base-D'!A:A,'Base-D'!AZ:AZ)</f>
        <v>27315</v>
      </c>
      <c r="P44" s="51">
        <f>LOOKUP(A44,'Base-D'!A:A,'Base-D'!AI:AI)</f>
        <v>1687</v>
      </c>
      <c r="Q44" s="51">
        <f>LOOKUP(A44,'Base-D'!A:A,'Base-D'!BB:BB)</f>
        <v>10926</v>
      </c>
      <c r="R44" s="51">
        <f>LOOKUP(A44,'Base-D'!A:A,'Base-D'!AJ:AJ)</f>
        <v>24583.5</v>
      </c>
      <c r="S44" s="51">
        <f>LOOKUP(A44,'Base-D'!A:A,'Base-D'!BC:BC)</f>
        <v>0</v>
      </c>
      <c r="T44" s="51">
        <f>LOOKUP(A44,'Base-D'!A:A,'Base-D'!BD:BD)</f>
        <v>1500</v>
      </c>
      <c r="U44" s="51">
        <f>LOOKUP(A44,'Base-D'!A:A,'Base-D'!BE:BE)</f>
        <v>2000</v>
      </c>
      <c r="V44" s="51">
        <f>LOOKUP(A44,'Base-D'!A:A,'Base-D'!BF:BF)</f>
        <v>2731.5</v>
      </c>
      <c r="W44" s="51">
        <f>LOOKUP(A44,'Base-D'!A:A,'Base-D'!AT:AT)</f>
        <v>0</v>
      </c>
      <c r="X44" s="51">
        <f>LOOKUP(A44,'Base-D'!A:A,'Base-D'!AE:AE)</f>
        <v>0</v>
      </c>
      <c r="Y44" s="51">
        <f>LOOKUP(A44,'ورقة العمل'!A:A,'ورقة العمل'!F:F)</f>
        <v>0</v>
      </c>
      <c r="Z44" s="689" t="str">
        <f>LOOKUP(A44,'Base-D'!A:A,'Base-D'!S:S)</f>
        <v>الحساب الجاري البريدي</v>
      </c>
      <c r="AA44" s="51">
        <f>LOOKUP(A44,'Base-D'!A:A,'Base-D'!N:N)</f>
        <v>0</v>
      </c>
      <c r="AG44" s="1124" t="str">
        <f t="shared" si="6"/>
        <v/>
      </c>
      <c r="AH44" s="1124" t="str">
        <f t="shared" si="7"/>
        <v/>
      </c>
      <c r="AI44" s="1124" t="str">
        <f t="shared" si="8"/>
        <v/>
      </c>
    </row>
    <row r="45" spans="1:35" ht="63" hidden="1" customHeight="1">
      <c r="A45" s="81">
        <f>'Base-D'!A32</f>
        <v>31</v>
      </c>
      <c r="B45" s="1118">
        <v>14</v>
      </c>
      <c r="C45" s="50" t="str">
        <f>LOOKUP(A45,'Base-D'!A:A,'Base-D'!AX:AX)</f>
        <v>صثقصقثصقضشللبيسلبيشل</v>
      </c>
      <c r="D45" s="50" t="str">
        <f>LOOKUP(A45,'Base-D'!A:A,'Base-D'!AY:AY)</f>
        <v xml:space="preserve"> أ 12 - د 2</v>
      </c>
      <c r="E45" s="50">
        <f>LOOKUP(A45,'Base-D'!A:A,'Base-D'!R:R)</f>
        <v>11111111111</v>
      </c>
      <c r="F45" s="51">
        <f t="shared" si="0"/>
        <v>20069.060000000001</v>
      </c>
      <c r="G45" s="51">
        <f>LOOKUP(A45,'ورقة العمل'!A:A,'ورقة العمل'!E:E)</f>
        <v>0</v>
      </c>
      <c r="H45" s="51">
        <f>LOOKUP(A45,'Base-D'!A:A,'Base-D'!BK:BK)</f>
        <v>6564.08</v>
      </c>
      <c r="I45" s="51">
        <f>LOOKUP(A45,'Base-D'!A:A,'Base-D'!BM:BM)</f>
        <v>6162.98</v>
      </c>
      <c r="J45" s="51">
        <f t="shared" si="1"/>
        <v>40138.129999999997</v>
      </c>
      <c r="K45" s="51">
        <f>LOOKUP(A45,'Base-D'!A:A,'Base-D'!BI:BI)</f>
        <v>0</v>
      </c>
      <c r="L45" s="51">
        <f>LOOKUP(A45,'Base-D'!A:A,'Base-D'!BG:BG)</f>
        <v>0</v>
      </c>
      <c r="M45" s="51">
        <f>LOOKUP(A45,'Base-D'!A:A,'Base-D'!BH:BH)</f>
        <v>0</v>
      </c>
      <c r="N45" s="51">
        <f t="shared" si="2"/>
        <v>72934.25</v>
      </c>
      <c r="O45" s="51">
        <f>LOOKUP(A45,'Base-D'!A:A,'Base-D'!AZ:AZ)</f>
        <v>26595</v>
      </c>
      <c r="P45" s="51">
        <f>LOOKUP(A45,'Base-D'!A:A,'Base-D'!AI:AI)</f>
        <v>1617</v>
      </c>
      <c r="Q45" s="51">
        <f>LOOKUP(A45,'Base-D'!A:A,'Base-D'!BB:BB)</f>
        <v>10638</v>
      </c>
      <c r="R45" s="51">
        <f>LOOKUP(A45,'Base-D'!A:A,'Base-D'!AJ:AJ)</f>
        <v>23935.5</v>
      </c>
      <c r="S45" s="51">
        <f>LOOKUP(A45,'Base-D'!A:A,'Base-D'!BC:BC)</f>
        <v>0</v>
      </c>
      <c r="T45" s="51">
        <f>LOOKUP(A45,'Base-D'!A:A,'Base-D'!BD:BD)</f>
        <v>1500</v>
      </c>
      <c r="U45" s="51">
        <f>LOOKUP(A45,'Base-D'!A:A,'Base-D'!BE:BE)</f>
        <v>2000</v>
      </c>
      <c r="V45" s="51">
        <f>LOOKUP(A45,'Base-D'!A:A,'Base-D'!BF:BF)</f>
        <v>6648.75</v>
      </c>
      <c r="W45" s="51">
        <f>LOOKUP(A45,'Base-D'!A:A,'Base-D'!AT:AT)</f>
        <v>0</v>
      </c>
      <c r="X45" s="51">
        <f>LOOKUP(A45,'Base-D'!A:A,'Base-D'!AE:AE)</f>
        <v>0</v>
      </c>
      <c r="Y45" s="51">
        <f>LOOKUP(A45,'ورقة العمل'!A:A,'ورقة العمل'!F:F)</f>
        <v>20</v>
      </c>
      <c r="Z45" s="689" t="str">
        <f>LOOKUP(A45,'Base-D'!A:A,'Base-D'!S:S)</f>
        <v>الحساب الجاري البريدي</v>
      </c>
      <c r="AA45" s="51">
        <f>LOOKUP(A45,'Base-D'!A:A,'Base-D'!N:N)</f>
        <v>0</v>
      </c>
      <c r="AG45" s="1124" t="str">
        <f t="shared" si="6"/>
        <v/>
      </c>
      <c r="AH45" s="1124" t="str">
        <f t="shared" si="7"/>
        <v/>
      </c>
      <c r="AI45" s="1124" t="str">
        <f t="shared" si="8"/>
        <v/>
      </c>
    </row>
    <row r="46" spans="1:35" ht="63" hidden="1" customHeight="1">
      <c r="A46" s="81">
        <f>'Base-D'!A33</f>
        <v>32</v>
      </c>
      <c r="B46" s="1118">
        <v>15</v>
      </c>
      <c r="C46" s="50" t="str">
        <f>LOOKUP(A46,'Base-D'!A:A,'Base-D'!AX:AX)</f>
        <v>صثقثصقثصقصثرسيبرشبيسب</v>
      </c>
      <c r="D46" s="50" t="str">
        <f>LOOKUP(A46,'Base-D'!A:A,'Base-D'!AY:AY)</f>
        <v xml:space="preserve"> أ 12 - د 2</v>
      </c>
      <c r="E46" s="50">
        <f>LOOKUP(A46,'Base-D'!A:A,'Base-D'!R:R)</f>
        <v>11111111111</v>
      </c>
      <c r="F46" s="51">
        <f t="shared" si="0"/>
        <v>52493.07</v>
      </c>
      <c r="G46" s="51">
        <f>LOOKUP(A46,'ورقة العمل'!A:A,'ورقة العمل'!E:E)</f>
        <v>5000</v>
      </c>
      <c r="H46" s="51">
        <f>LOOKUP(A46,'Base-D'!A:A,'Base-D'!BK:BK)</f>
        <v>6144.73</v>
      </c>
      <c r="I46" s="51">
        <f>LOOKUP(A46,'Base-D'!A:A,'Base-D'!BM:BM)</f>
        <v>6036.95</v>
      </c>
      <c r="J46" s="51">
        <f t="shared" si="1"/>
        <v>0</v>
      </c>
      <c r="K46" s="51">
        <f>LOOKUP(A46,'Base-D'!A:A,'Base-D'!BI:BI)</f>
        <v>0</v>
      </c>
      <c r="L46" s="51">
        <f>LOOKUP(A46,'Base-D'!A:A,'Base-D'!BG:BG)</f>
        <v>0</v>
      </c>
      <c r="M46" s="51">
        <f>LOOKUP(A46,'Base-D'!A:A,'Base-D'!BH:BH)</f>
        <v>0</v>
      </c>
      <c r="N46" s="51">
        <f t="shared" si="2"/>
        <v>69674.75</v>
      </c>
      <c r="O46" s="51">
        <f>LOOKUP(A46,'Base-D'!A:A,'Base-D'!AZ:AZ)</f>
        <v>26595</v>
      </c>
      <c r="P46" s="51">
        <f>LOOKUP(A46,'Base-D'!A:A,'Base-D'!AI:AI)</f>
        <v>1617</v>
      </c>
      <c r="Q46" s="51">
        <f>LOOKUP(A46,'Base-D'!A:A,'Base-D'!BB:BB)</f>
        <v>10638</v>
      </c>
      <c r="R46" s="51">
        <f>LOOKUP(A46,'Base-D'!A:A,'Base-D'!AJ:AJ)</f>
        <v>21276</v>
      </c>
      <c r="S46" s="51">
        <f>LOOKUP(A46,'Base-D'!A:A,'Base-D'!BC:BC)</f>
        <v>0</v>
      </c>
      <c r="T46" s="51">
        <f>LOOKUP(A46,'Base-D'!A:A,'Base-D'!BD:BD)</f>
        <v>1500</v>
      </c>
      <c r="U46" s="51">
        <f>LOOKUP(A46,'Base-D'!A:A,'Base-D'!BE:BE)</f>
        <v>0</v>
      </c>
      <c r="V46" s="51">
        <f>LOOKUP(A46,'Base-D'!A:A,'Base-D'!BF:BF)</f>
        <v>6648.75</v>
      </c>
      <c r="W46" s="51">
        <f>LOOKUP(A46,'Base-D'!A:A,'Base-D'!AT:AT)</f>
        <v>0</v>
      </c>
      <c r="X46" s="51">
        <f>LOOKUP(A46,'Base-D'!A:A,'Base-D'!AE:AE)</f>
        <v>1400</v>
      </c>
      <c r="Y46" s="51">
        <f>LOOKUP(A46,'ورقة العمل'!A:A,'ورقة العمل'!F:F)</f>
        <v>0</v>
      </c>
      <c r="Z46" s="689" t="str">
        <f>LOOKUP(A46,'Base-D'!A:A,'Base-D'!S:S)</f>
        <v>الحساب الجاري البريدي</v>
      </c>
      <c r="AA46" s="51">
        <f>LOOKUP(A46,'Base-D'!A:A,'Base-D'!N:N)</f>
        <v>0</v>
      </c>
      <c r="AG46" s="1124" t="str">
        <f t="shared" si="6"/>
        <v/>
      </c>
      <c r="AH46" s="1124" t="str">
        <f t="shared" si="7"/>
        <v/>
      </c>
      <c r="AI46" s="1124" t="str">
        <f t="shared" si="8"/>
        <v/>
      </c>
    </row>
    <row r="47" spans="1:35" ht="63" hidden="1" customHeight="1">
      <c r="A47" s="81">
        <f>'Base-D'!A34</f>
        <v>33</v>
      </c>
      <c r="B47" s="1118">
        <v>16</v>
      </c>
      <c r="C47" s="50" t="str">
        <f>LOOKUP(A47,'Base-D'!A:A,'Base-D'!AX:AX)</f>
        <v>للللللللبيسلبيليبسل</v>
      </c>
      <c r="D47" s="50" t="str">
        <f>LOOKUP(A47,'Base-D'!A:A,'Base-D'!AY:AY)</f>
        <v>م7 أ 12 - د 1</v>
      </c>
      <c r="E47" s="50">
        <f>LOOKUP(A47,'Base-D'!A:A,'Base-D'!R:R)</f>
        <v>11111111111</v>
      </c>
      <c r="F47" s="51">
        <f t="shared" si="0"/>
        <v>43916.36</v>
      </c>
      <c r="G47" s="51">
        <f>LOOKUP(A47,'ورقة العمل'!A:A,'ورقة العمل'!E:E)</f>
        <v>0</v>
      </c>
      <c r="H47" s="51">
        <f>LOOKUP(A47,'Base-D'!A:A,'Base-D'!BK:BK)</f>
        <v>6112.62</v>
      </c>
      <c r="I47" s="51">
        <f>LOOKUP(A47,'Base-D'!A:A,'Base-D'!BM:BM)</f>
        <v>5957.96</v>
      </c>
      <c r="J47" s="51">
        <f t="shared" si="1"/>
        <v>13031.06</v>
      </c>
      <c r="K47" s="51">
        <f>LOOKUP(A47,'Base-D'!A:A,'Base-D'!BI:BI)</f>
        <v>0</v>
      </c>
      <c r="L47" s="51">
        <f>LOOKUP(A47,'Base-D'!A:A,'Base-D'!BG:BG)</f>
        <v>0</v>
      </c>
      <c r="M47" s="51">
        <f>LOOKUP(A47,'Base-D'!A:A,'Base-D'!BH:BH)</f>
        <v>0</v>
      </c>
      <c r="N47" s="51">
        <f t="shared" si="2"/>
        <v>69018</v>
      </c>
      <c r="O47" s="51">
        <f>LOOKUP(A47,'Base-D'!A:A,'Base-D'!AZ:AZ)</f>
        <v>31905</v>
      </c>
      <c r="P47" s="51">
        <f>LOOKUP(A47,'Base-D'!A:A,'Base-D'!AI:AI)</f>
        <v>1519</v>
      </c>
      <c r="Q47" s="51">
        <f>LOOKUP(A47,'Base-D'!A:A,'Base-D'!BB:BB)</f>
        <v>10152</v>
      </c>
      <c r="R47" s="51">
        <f>LOOKUP(A47,'Base-D'!A:A,'Base-D'!AJ:AJ)</f>
        <v>20304</v>
      </c>
      <c r="S47" s="51">
        <f>LOOKUP(A47,'Base-D'!A:A,'Base-D'!BC:BC)</f>
        <v>0</v>
      </c>
      <c r="T47" s="51">
        <f>LOOKUP(A47,'Base-D'!A:A,'Base-D'!BD:BD)</f>
        <v>1500</v>
      </c>
      <c r="U47" s="51">
        <f>LOOKUP(A47,'Base-D'!A:A,'Base-D'!BE:BE)</f>
        <v>0</v>
      </c>
      <c r="V47" s="51">
        <f>LOOKUP(A47,'Base-D'!A:A,'Base-D'!BF:BF)</f>
        <v>2538</v>
      </c>
      <c r="W47" s="51">
        <f>LOOKUP(A47,'Base-D'!A:A,'Base-D'!AT:AT)</f>
        <v>0</v>
      </c>
      <c r="X47" s="51">
        <f>LOOKUP(A47,'Base-D'!A:A,'Base-D'!AE:AE)</f>
        <v>1100</v>
      </c>
      <c r="Y47" s="51">
        <f>LOOKUP(A47,'ورقة العمل'!A:A,'ورقة العمل'!F:F)</f>
        <v>7</v>
      </c>
      <c r="Z47" s="689" t="str">
        <f>LOOKUP(A47,'Base-D'!A:A,'Base-D'!S:S)</f>
        <v>الحساب الجاري البريدي</v>
      </c>
      <c r="AA47" s="51">
        <f>LOOKUP(A47,'Base-D'!A:A,'Base-D'!N:N)</f>
        <v>0</v>
      </c>
      <c r="AG47" s="1124" t="str">
        <f t="shared" si="6"/>
        <v/>
      </c>
      <c r="AH47" s="1124" t="str">
        <f t="shared" si="7"/>
        <v/>
      </c>
      <c r="AI47" s="1124" t="str">
        <f t="shared" si="8"/>
        <v/>
      </c>
    </row>
    <row r="48" spans="1:35" ht="63" hidden="1" customHeight="1">
      <c r="A48" s="81">
        <f>'Base-D'!A35</f>
        <v>34</v>
      </c>
      <c r="B48" s="1118">
        <v>17</v>
      </c>
      <c r="C48" s="50" t="str">
        <f>LOOKUP(A48,'Base-D'!A:A,'Base-D'!AX:AX)</f>
        <v>ففففففففلللللللللللللل</v>
      </c>
      <c r="D48" s="50" t="str">
        <f>LOOKUP(A48,'Base-D'!A:A,'Base-D'!AY:AY)</f>
        <v xml:space="preserve"> أ 12 - د 2</v>
      </c>
      <c r="E48" s="50">
        <f>LOOKUP(A48,'Base-D'!A:A,'Base-D'!R:R)</f>
        <v>11111111111</v>
      </c>
      <c r="F48" s="51">
        <f t="shared" si="0"/>
        <v>48381.88</v>
      </c>
      <c r="G48" s="51">
        <f>LOOKUP(A48,'ورقة العمل'!A:A,'ورقة العمل'!E:E)</f>
        <v>5000</v>
      </c>
      <c r="H48" s="51">
        <f>LOOKUP(A48,'Base-D'!A:A,'Base-D'!BK:BK)</f>
        <v>5776.88</v>
      </c>
      <c r="I48" s="51">
        <f>LOOKUP(A48,'Base-D'!A:A,'Base-D'!BM:BM)</f>
        <v>5328.74</v>
      </c>
      <c r="J48" s="51">
        <f t="shared" si="1"/>
        <v>0</v>
      </c>
      <c r="K48" s="51">
        <f>LOOKUP(A48,'Base-D'!A:A,'Base-D'!BI:BI)</f>
        <v>0</v>
      </c>
      <c r="L48" s="51">
        <f>LOOKUP(A48,'Base-D'!A:A,'Base-D'!BG:BG)</f>
        <v>0</v>
      </c>
      <c r="M48" s="51">
        <f>LOOKUP(A48,'Base-D'!A:A,'Base-D'!BH:BH)</f>
        <v>0</v>
      </c>
      <c r="N48" s="51">
        <f t="shared" si="2"/>
        <v>64487.5</v>
      </c>
      <c r="O48" s="51">
        <f>LOOKUP(A48,'Base-D'!A:A,'Base-D'!AZ:AZ)</f>
        <v>26595</v>
      </c>
      <c r="P48" s="51">
        <f>LOOKUP(A48,'Base-D'!A:A,'Base-D'!AI:AI)</f>
        <v>1519</v>
      </c>
      <c r="Q48" s="51">
        <f>LOOKUP(A48,'Base-D'!A:A,'Base-D'!BB:BB)</f>
        <v>10638</v>
      </c>
      <c r="R48" s="51">
        <f>LOOKUP(A48,'Base-D'!A:A,'Base-D'!AJ:AJ)</f>
        <v>21276</v>
      </c>
      <c r="S48" s="51">
        <f>LOOKUP(A48,'Base-D'!A:A,'Base-D'!BC:BC)</f>
        <v>0</v>
      </c>
      <c r="T48" s="51">
        <f>LOOKUP(A48,'Base-D'!A:A,'Base-D'!BD:BD)</f>
        <v>1500</v>
      </c>
      <c r="U48" s="51">
        <f>LOOKUP(A48,'Base-D'!A:A,'Base-D'!BE:BE)</f>
        <v>0</v>
      </c>
      <c r="V48" s="51">
        <f>LOOKUP(A48,'Base-D'!A:A,'Base-D'!BF:BF)</f>
        <v>2659.5</v>
      </c>
      <c r="W48" s="51">
        <f>LOOKUP(A48,'Base-D'!A:A,'Base-D'!AT:AT)</f>
        <v>0</v>
      </c>
      <c r="X48" s="51">
        <f>LOOKUP(A48,'Base-D'!A:A,'Base-D'!AE:AE)</f>
        <v>300</v>
      </c>
      <c r="Y48" s="51">
        <f>LOOKUP(A48,'ورقة العمل'!A:A,'ورقة العمل'!F:F)</f>
        <v>0</v>
      </c>
      <c r="Z48" s="689" t="str">
        <f>LOOKUP(A48,'Base-D'!A:A,'Base-D'!S:S)</f>
        <v>الحساب الجاري البريدي</v>
      </c>
      <c r="AA48" s="51">
        <f>LOOKUP(A48,'Base-D'!A:A,'Base-D'!N:N)</f>
        <v>0</v>
      </c>
      <c r="AG48" s="1124" t="str">
        <f t="shared" si="6"/>
        <v/>
      </c>
      <c r="AH48" s="1124" t="str">
        <f t="shared" si="7"/>
        <v/>
      </c>
      <c r="AI48" s="1124" t="str">
        <f t="shared" si="8"/>
        <v/>
      </c>
    </row>
    <row r="49" spans="1:35" ht="63" hidden="1" customHeight="1">
      <c r="A49" s="81">
        <f>'Base-D'!A36</f>
        <v>35</v>
      </c>
      <c r="B49" s="1118">
        <v>18</v>
      </c>
      <c r="C49" s="50" t="str">
        <f>LOOKUP(A49,'Base-D'!A:A,'Base-D'!AX:AX)</f>
        <v>سييييييييفففففففففففف</v>
      </c>
      <c r="D49" s="50" t="str">
        <f>LOOKUP(A49,'Base-D'!A:A,'Base-D'!AY:AY)</f>
        <v xml:space="preserve"> أ 12 - د 1</v>
      </c>
      <c r="E49" s="50">
        <f>LOOKUP(A49,'Base-D'!A:A,'Base-D'!R:R)</f>
        <v>11111111111</v>
      </c>
      <c r="F49" s="51">
        <f t="shared" si="0"/>
        <v>52812.34</v>
      </c>
      <c r="G49" s="51">
        <f>LOOKUP(A49,'ورقة العمل'!A:A,'ورقة العمل'!E:E)</f>
        <v>0</v>
      </c>
      <c r="H49" s="51">
        <f>LOOKUP(A49,'Base-D'!A:A,'Base-D'!BK:BK)</f>
        <v>5705.37</v>
      </c>
      <c r="I49" s="51">
        <f>LOOKUP(A49,'Base-D'!A:A,'Base-D'!BM:BM)</f>
        <v>4875.29</v>
      </c>
      <c r="J49" s="51">
        <f t="shared" si="1"/>
        <v>0</v>
      </c>
      <c r="K49" s="51">
        <f>LOOKUP(A49,'Base-D'!A:A,'Base-D'!BI:BI)</f>
        <v>0</v>
      </c>
      <c r="L49" s="51">
        <f>LOOKUP(A49,'Base-D'!A:A,'Base-D'!BG:BG)</f>
        <v>0</v>
      </c>
      <c r="M49" s="51">
        <f>LOOKUP(A49,'Base-D'!A:A,'Base-D'!BH:BH)</f>
        <v>0</v>
      </c>
      <c r="N49" s="51">
        <f t="shared" si="2"/>
        <v>63393</v>
      </c>
      <c r="O49" s="51">
        <f>LOOKUP(A49,'Base-D'!A:A,'Base-D'!AZ:AZ)</f>
        <v>25380</v>
      </c>
      <c r="P49" s="51">
        <f>LOOKUP(A49,'Base-D'!A:A,'Base-D'!AI:AI)</f>
        <v>1519</v>
      </c>
      <c r="Q49" s="51">
        <f>LOOKUP(A49,'Base-D'!A:A,'Base-D'!BB:BB)</f>
        <v>10152</v>
      </c>
      <c r="R49" s="51">
        <f>LOOKUP(A49,'Base-D'!A:A,'Base-D'!AJ:AJ)</f>
        <v>20304</v>
      </c>
      <c r="S49" s="51">
        <f>LOOKUP(A49,'Base-D'!A:A,'Base-D'!BC:BC)</f>
        <v>0</v>
      </c>
      <c r="T49" s="51">
        <f>LOOKUP(A49,'Base-D'!A:A,'Base-D'!BD:BD)</f>
        <v>1500</v>
      </c>
      <c r="U49" s="51">
        <f>LOOKUP(A49,'Base-D'!A:A,'Base-D'!BE:BE)</f>
        <v>2000</v>
      </c>
      <c r="V49" s="51">
        <f>LOOKUP(A49,'Base-D'!A:A,'Base-D'!BF:BF)</f>
        <v>2538</v>
      </c>
      <c r="W49" s="51">
        <f>LOOKUP(A49,'Base-D'!A:A,'Base-D'!AT:AT)</f>
        <v>0</v>
      </c>
      <c r="X49" s="51">
        <f>LOOKUP(A49,'Base-D'!A:A,'Base-D'!AE:AE)</f>
        <v>0</v>
      </c>
      <c r="Y49" s="51">
        <f>LOOKUP(A49,'ورقة العمل'!A:A,'ورقة العمل'!F:F)</f>
        <v>0</v>
      </c>
      <c r="Z49" s="689" t="str">
        <f>LOOKUP(A49,'Base-D'!A:A,'Base-D'!S:S)</f>
        <v>الحساب الجاري البريدي</v>
      </c>
      <c r="AA49" s="51">
        <f>LOOKUP(A49,'Base-D'!A:A,'Base-D'!N:N)</f>
        <v>0</v>
      </c>
      <c r="AG49" s="1124" t="str">
        <f t="shared" si="6"/>
        <v/>
      </c>
      <c r="AH49" s="1124" t="str">
        <f t="shared" si="7"/>
        <v/>
      </c>
      <c r="AI49" s="1124" t="str">
        <f t="shared" si="8"/>
        <v/>
      </c>
    </row>
    <row r="50" spans="1:35" ht="63" hidden="1" customHeight="1">
      <c r="A50" s="81">
        <f>'Base-D'!A37</f>
        <v>36</v>
      </c>
      <c r="B50" s="1118">
        <v>19</v>
      </c>
      <c r="C50" s="50" t="str">
        <f>LOOKUP(A50,'Base-D'!A:A,'Base-D'!AX:AX)</f>
        <v>ليسليسليسليسللللللل</v>
      </c>
      <c r="D50" s="50" t="str">
        <f>LOOKUP(A50,'Base-D'!A:A,'Base-D'!AY:AY)</f>
        <v xml:space="preserve"> أ 12 - د 1</v>
      </c>
      <c r="E50" s="50">
        <f>LOOKUP(A50,'Base-D'!A:A,'Base-D'!R:R)</f>
        <v>11111111111</v>
      </c>
      <c r="F50" s="51">
        <f t="shared" si="0"/>
        <v>52812.34</v>
      </c>
      <c r="G50" s="51">
        <f>LOOKUP(A50,'ورقة العمل'!A:A,'ورقة العمل'!E:E)</f>
        <v>0</v>
      </c>
      <c r="H50" s="51">
        <f>LOOKUP(A50,'Base-D'!A:A,'Base-D'!BK:BK)</f>
        <v>5705.37</v>
      </c>
      <c r="I50" s="51">
        <f>LOOKUP(A50,'Base-D'!A:A,'Base-D'!BM:BM)</f>
        <v>4875.29</v>
      </c>
      <c r="J50" s="51">
        <f t="shared" si="1"/>
        <v>0</v>
      </c>
      <c r="K50" s="51">
        <f>LOOKUP(A50,'Base-D'!A:A,'Base-D'!BI:BI)</f>
        <v>0</v>
      </c>
      <c r="L50" s="51">
        <f>LOOKUP(A50,'Base-D'!A:A,'Base-D'!BG:BG)</f>
        <v>0</v>
      </c>
      <c r="M50" s="51">
        <f>LOOKUP(A50,'Base-D'!A:A,'Base-D'!BH:BH)</f>
        <v>0</v>
      </c>
      <c r="N50" s="51">
        <f t="shared" si="2"/>
        <v>63393</v>
      </c>
      <c r="O50" s="51">
        <f>LOOKUP(A50,'Base-D'!A:A,'Base-D'!AZ:AZ)</f>
        <v>25380</v>
      </c>
      <c r="P50" s="51">
        <f>LOOKUP(A50,'Base-D'!A:A,'Base-D'!AI:AI)</f>
        <v>1519</v>
      </c>
      <c r="Q50" s="51">
        <f>LOOKUP(A50,'Base-D'!A:A,'Base-D'!BB:BB)</f>
        <v>10152</v>
      </c>
      <c r="R50" s="51">
        <f>LOOKUP(A50,'Base-D'!A:A,'Base-D'!AJ:AJ)</f>
        <v>20304</v>
      </c>
      <c r="S50" s="51">
        <f>LOOKUP(A50,'Base-D'!A:A,'Base-D'!BC:BC)</f>
        <v>0</v>
      </c>
      <c r="T50" s="51">
        <f>LOOKUP(A50,'Base-D'!A:A,'Base-D'!BD:BD)</f>
        <v>1500</v>
      </c>
      <c r="U50" s="51">
        <f>LOOKUP(A50,'Base-D'!A:A,'Base-D'!BE:BE)</f>
        <v>2000</v>
      </c>
      <c r="V50" s="51">
        <f>LOOKUP(A50,'Base-D'!A:A,'Base-D'!BF:BF)</f>
        <v>2538</v>
      </c>
      <c r="W50" s="51">
        <f>LOOKUP(A50,'Base-D'!A:A,'Base-D'!AT:AT)</f>
        <v>0</v>
      </c>
      <c r="X50" s="51">
        <f>LOOKUP(A50,'Base-D'!A:A,'Base-D'!AE:AE)</f>
        <v>0</v>
      </c>
      <c r="Y50" s="51">
        <f>LOOKUP(A50,'ورقة العمل'!A:A,'ورقة العمل'!F:F)</f>
        <v>0</v>
      </c>
      <c r="Z50" s="689" t="str">
        <f>LOOKUP(A50,'Base-D'!A:A,'Base-D'!S:S)</f>
        <v>الحساب الجاري البريدي</v>
      </c>
      <c r="AA50" s="51">
        <f>LOOKUP(A50,'Base-D'!A:A,'Base-D'!N:N)</f>
        <v>0</v>
      </c>
      <c r="AG50" s="1124" t="str">
        <f t="shared" si="6"/>
        <v/>
      </c>
      <c r="AH50" s="1124" t="str">
        <f t="shared" si="7"/>
        <v/>
      </c>
      <c r="AI50" s="1124" t="str">
        <f t="shared" si="8"/>
        <v/>
      </c>
    </row>
    <row r="51" spans="1:35" ht="63" hidden="1" customHeight="1">
      <c r="A51" s="81">
        <f>'Base-D'!A38</f>
        <v>37</v>
      </c>
      <c r="B51" s="1118">
        <v>11</v>
      </c>
      <c r="C51" s="50" t="str">
        <f>LOOKUP(A51,'Base-D'!A:A,'Base-D'!AX:AX)</f>
        <v>شللبيسلبيشلررءرءؤرؤءر</v>
      </c>
      <c r="D51" s="50" t="str">
        <f>LOOKUP(A51,'Base-D'!A:A,'Base-D'!AY:AY)</f>
        <v xml:space="preserve"> أ 14 - د 4</v>
      </c>
      <c r="E51" s="50">
        <f>LOOKUP(A51,'Base-D'!A:A,'Base-D'!R:R)</f>
        <v>11111111111</v>
      </c>
      <c r="F51" s="51">
        <f t="shared" si="0"/>
        <v>61388.77</v>
      </c>
      <c r="G51" s="51">
        <f>LOOKUP(A51,'ورقة العمل'!A:A,'ورقة العمل'!E:E)</f>
        <v>5000</v>
      </c>
      <c r="H51" s="51">
        <f>LOOKUP(A51,'Base-D'!A:A,'Base-D'!BK:BK)</f>
        <v>7422.89</v>
      </c>
      <c r="I51" s="51">
        <f>LOOKUP(A51,'Base-D'!A:A,'Base-D'!BM:BM)</f>
        <v>7427.69</v>
      </c>
      <c r="J51" s="51">
        <f t="shared" si="1"/>
        <v>0</v>
      </c>
      <c r="K51" s="51">
        <f>LOOKUP(A51,'Base-D'!A:A,'Base-D'!BI:BI)</f>
        <v>0</v>
      </c>
      <c r="L51" s="51">
        <f>LOOKUP(A51,'Base-D'!A:A,'Base-D'!BG:BG)</f>
        <v>0</v>
      </c>
      <c r="M51" s="51">
        <f>LOOKUP(A51,'Base-D'!A:A,'Base-D'!BH:BH)</f>
        <v>1237.1500000000001</v>
      </c>
      <c r="N51" s="51">
        <f t="shared" si="2"/>
        <v>82476.5</v>
      </c>
      <c r="O51" s="51">
        <f>LOOKUP(A51,'Base-D'!A:A,'Base-D'!AZ:AZ)</f>
        <v>33525</v>
      </c>
      <c r="P51" s="51">
        <f>LOOKUP(A51,'Base-D'!A:A,'Base-D'!AI:AI)</f>
        <v>1869</v>
      </c>
      <c r="Q51" s="51">
        <f>LOOKUP(A51,'Base-D'!A:A,'Base-D'!BB:BB)</f>
        <v>13410</v>
      </c>
      <c r="R51" s="51">
        <f>LOOKUP(A51,'Base-D'!A:A,'Base-D'!AJ:AJ)</f>
        <v>26820</v>
      </c>
      <c r="S51" s="51">
        <f>LOOKUP(A51,'Base-D'!A:A,'Base-D'!BC:BC)</f>
        <v>0</v>
      </c>
      <c r="T51" s="51">
        <f>LOOKUP(A51,'Base-D'!A:A,'Base-D'!BD:BD)</f>
        <v>1500</v>
      </c>
      <c r="U51" s="51">
        <f>LOOKUP(A51,'Base-D'!A:A,'Base-D'!BE:BE)</f>
        <v>2000</v>
      </c>
      <c r="V51" s="51">
        <f>LOOKUP(A51,'Base-D'!A:A,'Base-D'!BF:BF)</f>
        <v>3352.5</v>
      </c>
      <c r="W51" s="51">
        <f>LOOKUP(A51,'Base-D'!A:A,'Base-D'!AT:AT)</f>
        <v>0</v>
      </c>
      <c r="X51" s="51">
        <f>LOOKUP(A51,'Base-D'!A:A,'Base-D'!AE:AE)</f>
        <v>0</v>
      </c>
      <c r="Y51" s="51">
        <f>LOOKUP(A51,'ورقة العمل'!A:A,'ورقة العمل'!F:F)</f>
        <v>0</v>
      </c>
      <c r="Z51" s="689" t="str">
        <f>LOOKUP(A51,'Base-D'!A:A,'Base-D'!S:S)</f>
        <v>الخزينة الولائية</v>
      </c>
      <c r="AA51" s="51">
        <f>LOOKUP(A51,'Base-D'!A:A,'Base-D'!N:N)</f>
        <v>0</v>
      </c>
      <c r="AG51" s="1124" t="str">
        <f t="shared" si="6"/>
        <v/>
      </c>
      <c r="AH51" s="1124" t="str">
        <f t="shared" si="7"/>
        <v/>
      </c>
      <c r="AI51" s="1124" t="str">
        <f t="shared" si="8"/>
        <v/>
      </c>
    </row>
    <row r="52" spans="1:35" ht="63" hidden="1" customHeight="1" thickBot="1">
      <c r="A52" s="81">
        <f>'Base-D'!A39</f>
        <v>38</v>
      </c>
      <c r="B52" s="1118">
        <v>12</v>
      </c>
      <c r="C52" s="50" t="str">
        <f>LOOKUP(A52,'Base-D'!A:A,'Base-D'!AX:AX)</f>
        <v>رسيبرشبيسبصثقصقثصقض</v>
      </c>
      <c r="D52" s="50" t="str">
        <f>LOOKUP(A52,'Base-D'!A:A,'Base-D'!AY:AY)</f>
        <v xml:space="preserve"> أ 11 - د 6</v>
      </c>
      <c r="E52" s="50">
        <f>LOOKUP(A52,'Base-D'!A:A,'Base-D'!R:R)</f>
        <v>11111111111</v>
      </c>
      <c r="F52" s="51">
        <f t="shared" si="0"/>
        <v>58545.08</v>
      </c>
      <c r="G52" s="51">
        <f>LOOKUP(A52,'ورقة العمل'!A:A,'ورقة العمل'!E:E)</f>
        <v>0</v>
      </c>
      <c r="H52" s="51">
        <f>LOOKUP(A52,'Base-D'!A:A,'Base-D'!BK:BK)</f>
        <v>6298.52</v>
      </c>
      <c r="I52" s="51">
        <f>LOOKUP(A52,'Base-D'!A:A,'Base-D'!BM:BM)</f>
        <v>6239.9</v>
      </c>
      <c r="J52" s="51">
        <f t="shared" si="1"/>
        <v>0</v>
      </c>
      <c r="K52" s="51">
        <f>LOOKUP(A52,'Base-D'!A:A,'Base-D'!BI:BI)</f>
        <v>0</v>
      </c>
      <c r="L52" s="51">
        <f>LOOKUP(A52,'Base-D'!A:A,'Base-D'!BG:BG)</f>
        <v>0</v>
      </c>
      <c r="M52" s="51">
        <f>LOOKUP(A52,'Base-D'!A:A,'Base-D'!BH:BH)</f>
        <v>0</v>
      </c>
      <c r="N52" s="51">
        <f t="shared" si="2"/>
        <v>71083.5</v>
      </c>
      <c r="O52" s="51">
        <f>LOOKUP(A52,'Base-D'!A:A,'Base-D'!AZ:AZ)</f>
        <v>29115</v>
      </c>
      <c r="P52" s="51">
        <f>LOOKUP(A52,'Base-D'!A:A,'Base-D'!AI:AI)</f>
        <v>1519</v>
      </c>
      <c r="Q52" s="51">
        <f>LOOKUP(A52,'Base-D'!A:A,'Base-D'!BB:BB)</f>
        <v>11646</v>
      </c>
      <c r="R52" s="51">
        <f>LOOKUP(A52,'Base-D'!A:A,'Base-D'!AJ:AJ)</f>
        <v>23292</v>
      </c>
      <c r="S52" s="51">
        <f>LOOKUP(A52,'Base-D'!A:A,'Base-D'!BC:BC)</f>
        <v>0</v>
      </c>
      <c r="T52" s="51">
        <f>LOOKUP(A52,'Base-D'!A:A,'Base-D'!BD:BD)</f>
        <v>1500</v>
      </c>
      <c r="U52" s="51">
        <f>LOOKUP(A52,'Base-D'!A:A,'Base-D'!BE:BE)</f>
        <v>0</v>
      </c>
      <c r="V52" s="51">
        <f>LOOKUP(A52,'Base-D'!A:A,'Base-D'!BF:BF)</f>
        <v>2911.5</v>
      </c>
      <c r="W52" s="51">
        <f>LOOKUP(A52,'Base-D'!A:A,'Base-D'!AT:AT)</f>
        <v>0</v>
      </c>
      <c r="X52" s="51">
        <f>LOOKUP(A52,'Base-D'!A:A,'Base-D'!AE:AE)</f>
        <v>1100</v>
      </c>
      <c r="Y52" s="51">
        <f>LOOKUP(A52,'ورقة العمل'!A:A,'ورقة العمل'!F:F)</f>
        <v>0</v>
      </c>
      <c r="Z52" s="689" t="str">
        <f>LOOKUP(A52,'Base-D'!A:A,'Base-D'!S:S)</f>
        <v>الخزينة الولائية</v>
      </c>
      <c r="AA52" s="51">
        <f>LOOKUP(A52,'Base-D'!A:A,'Base-D'!N:N)</f>
        <v>0</v>
      </c>
      <c r="AG52" s="1124" t="str">
        <f t="shared" si="6"/>
        <v/>
      </c>
      <c r="AH52" s="1124" t="str">
        <f t="shared" si="7"/>
        <v/>
      </c>
      <c r="AI52" s="1124" t="str">
        <f t="shared" si="8"/>
        <v/>
      </c>
    </row>
    <row r="53" spans="1:35" ht="63" hidden="1" customHeight="1">
      <c r="A53" s="81">
        <f>'Base-D'!A40</f>
        <v>39</v>
      </c>
      <c r="B53" s="1118">
        <v>20</v>
      </c>
      <c r="C53" s="50" t="str">
        <f>LOOKUP(A53,'Base-D'!A:A,'Base-D'!AX:AX)</f>
        <v>بيسلبيليبسلصثقثصقثصقصث</v>
      </c>
      <c r="D53" s="50" t="str">
        <f>LOOKUP(A53,'Base-D'!A:A,'Base-D'!AY:AY)</f>
        <v xml:space="preserve"> أ 11 - د 4</v>
      </c>
      <c r="E53" s="50">
        <f>LOOKUP(A53,'Base-D'!A:A,'Base-D'!R:R)</f>
        <v>11111111111</v>
      </c>
      <c r="F53" s="51">
        <f t="shared" si="0"/>
        <v>51979.28</v>
      </c>
      <c r="G53" s="51">
        <f>LOOKUP(A53,'ورقة العمل'!A:A,'ورقة العمل'!E:E)</f>
        <v>5000</v>
      </c>
      <c r="H53" s="51">
        <f>LOOKUP(A53,'Base-D'!A:A,'Base-D'!BK:BK)</f>
        <v>6022.08</v>
      </c>
      <c r="I53" s="51">
        <f>LOOKUP(A53,'Base-D'!A:A,'Base-D'!BM:BM)</f>
        <v>5610.64</v>
      </c>
      <c r="J53" s="51">
        <f t="shared" si="1"/>
        <v>0</v>
      </c>
      <c r="K53" s="51">
        <f>LOOKUP(A53,'Base-D'!A:A,'Base-D'!BI:BI)</f>
        <v>0</v>
      </c>
      <c r="L53" s="51">
        <f>LOOKUP(A53,'Base-D'!A:A,'Base-D'!BG:BG)</f>
        <v>0</v>
      </c>
      <c r="M53" s="51">
        <f>LOOKUP(A53,'Base-D'!A:A,'Base-D'!BH:BH)</f>
        <v>0</v>
      </c>
      <c r="N53" s="51">
        <f t="shared" si="2"/>
        <v>68612</v>
      </c>
      <c r="O53" s="51">
        <f>LOOKUP(A53,'Base-D'!A:A,'Base-D'!AZ:AZ)</f>
        <v>26910</v>
      </c>
      <c r="P53" s="51">
        <f>LOOKUP(A53,'Base-D'!A:A,'Base-D'!AI:AI)</f>
        <v>1519</v>
      </c>
      <c r="Q53" s="51">
        <f>LOOKUP(A53,'Base-D'!A:A,'Base-D'!BB:BB)</f>
        <v>10764</v>
      </c>
      <c r="R53" s="51">
        <f>LOOKUP(A53,'Base-D'!A:A,'Base-D'!AJ:AJ)</f>
        <v>21528</v>
      </c>
      <c r="S53" s="51">
        <f>LOOKUP(A53,'Base-D'!A:A,'Base-D'!BC:BC)</f>
        <v>0</v>
      </c>
      <c r="T53" s="51">
        <f>LOOKUP(A53,'Base-D'!A:A,'Base-D'!BD:BD)</f>
        <v>1500</v>
      </c>
      <c r="U53" s="51">
        <f>LOOKUP(A53,'Base-D'!A:A,'Base-D'!BE:BE)</f>
        <v>2000</v>
      </c>
      <c r="V53" s="51">
        <f>LOOKUP(A53,'Base-D'!A:A,'Base-D'!BF:BF)</f>
        <v>2691</v>
      </c>
      <c r="W53" s="51">
        <f>LOOKUP(A53,'Base-D'!A:A,'Base-D'!AT:AT)</f>
        <v>0</v>
      </c>
      <c r="X53" s="51">
        <f>LOOKUP(A53,'Base-D'!A:A,'Base-D'!AE:AE)</f>
        <v>1700</v>
      </c>
      <c r="Y53" s="51">
        <f>LOOKUP(A53,'ورقة العمل'!A:A,'ورقة العمل'!F:F)</f>
        <v>0</v>
      </c>
      <c r="Z53" s="689" t="str">
        <f>LOOKUP(A53,'Base-D'!A:A,'Base-D'!S:S)</f>
        <v>الحساب الجاري البريدي</v>
      </c>
      <c r="AA53" s="51">
        <f>LOOKUP(A53,'Base-D'!A:A,'Base-D'!N:N)</f>
        <v>0</v>
      </c>
      <c r="AG53" s="1124" t="str">
        <f t="shared" si="6"/>
        <v/>
      </c>
      <c r="AH53" s="1124" t="str">
        <f t="shared" si="7"/>
        <v/>
      </c>
      <c r="AI53" s="1124" t="str">
        <f t="shared" si="8"/>
        <v/>
      </c>
    </row>
    <row r="54" spans="1:35" ht="63" hidden="1" customHeight="1">
      <c r="A54" s="81">
        <f>'Base-D'!A41</f>
        <v>40</v>
      </c>
      <c r="B54" s="1118">
        <v>21</v>
      </c>
      <c r="C54" s="50" t="str">
        <f>LOOKUP(A54,'Base-D'!A:A,'Base-D'!AX:AX)</f>
        <v>لللللللللللللللللللللل</v>
      </c>
      <c r="D54" s="50" t="str">
        <f>LOOKUP(A54,'Base-D'!A:A,'Base-D'!AY:AY)</f>
        <v xml:space="preserve"> ب 10</v>
      </c>
      <c r="E54" s="50">
        <f>LOOKUP(A54,'Base-D'!A:A,'Base-D'!R:R)</f>
        <v>11111111111</v>
      </c>
      <c r="F54" s="51">
        <f t="shared" si="0"/>
        <v>32143.93</v>
      </c>
      <c r="G54" s="51">
        <f>LOOKUP(A54,'ورقة العمل'!A:A,'ورقة العمل'!E:E)</f>
        <v>5000</v>
      </c>
      <c r="H54" s="51">
        <f>LOOKUP(A54,'Base-D'!A:A,'Base-D'!BK:BK)</f>
        <v>3884.85</v>
      </c>
      <c r="I54" s="51">
        <f>LOOKUP(A54,'Base-D'!A:A,'Base-D'!BM:BM)</f>
        <v>2136.2199999999998</v>
      </c>
      <c r="J54" s="51">
        <f t="shared" si="1"/>
        <v>0</v>
      </c>
      <c r="K54" s="51">
        <f>LOOKUP(A54,'Base-D'!A:A,'Base-D'!BI:BI)</f>
        <v>0</v>
      </c>
      <c r="L54" s="51">
        <f>LOOKUP(A54,'Base-D'!A:A,'Base-D'!BG:BG)</f>
        <v>0</v>
      </c>
      <c r="M54" s="51">
        <f>LOOKUP(A54,'Base-D'!A:A,'Base-D'!BH:BH)</f>
        <v>0</v>
      </c>
      <c r="N54" s="51">
        <f t="shared" si="2"/>
        <v>43165</v>
      </c>
      <c r="O54" s="51">
        <f>LOOKUP(A54,'Base-D'!A:A,'Base-D'!AZ:AZ)</f>
        <v>20385</v>
      </c>
      <c r="P54" s="51">
        <f>LOOKUP(A54,'Base-D'!A:A,'Base-D'!AI:AI)</f>
        <v>1372</v>
      </c>
      <c r="Q54" s="51">
        <f>LOOKUP(A54,'Base-D'!A:A,'Base-D'!BB:BB)</f>
        <v>5096.25</v>
      </c>
      <c r="R54" s="51">
        <f>LOOKUP(A54,'Base-D'!A:A,'Base-D'!AJ:AJ)</f>
        <v>9173.25</v>
      </c>
      <c r="S54" s="51">
        <f>LOOKUP(A54,'Base-D'!A:A,'Base-D'!BC:BC)</f>
        <v>0</v>
      </c>
      <c r="T54" s="51">
        <f>LOOKUP(A54,'Base-D'!A:A,'Base-D'!BD:BD)</f>
        <v>3100</v>
      </c>
      <c r="U54" s="51">
        <f>LOOKUP(A54,'Base-D'!A:A,'Base-D'!BE:BE)</f>
        <v>2000</v>
      </c>
      <c r="V54" s="51">
        <f>LOOKUP(A54,'Base-D'!A:A,'Base-D'!BF:BF)</f>
        <v>2038.5</v>
      </c>
      <c r="W54" s="51">
        <f>LOOKUP(A54,'Base-D'!A:A,'Base-D'!AT:AT)</f>
        <v>0</v>
      </c>
      <c r="X54" s="51">
        <f>LOOKUP(A54,'Base-D'!A:A,'Base-D'!AE:AE)</f>
        <v>0</v>
      </c>
      <c r="Y54" s="51">
        <f>LOOKUP(A54,'ورقة العمل'!A:A,'ورقة العمل'!F:F)</f>
        <v>0</v>
      </c>
      <c r="Z54" s="689" t="str">
        <f>LOOKUP(A54,'Base-D'!A:A,'Base-D'!S:S)</f>
        <v>الحساب الجاري البريدي</v>
      </c>
      <c r="AA54" s="51">
        <f>LOOKUP(A54,'Base-D'!A:A,'Base-D'!N:N)</f>
        <v>0</v>
      </c>
      <c r="AG54" s="1124" t="str">
        <f t="shared" si="6"/>
        <v/>
      </c>
      <c r="AH54" s="1124" t="str">
        <f t="shared" si="7"/>
        <v/>
      </c>
      <c r="AI54" s="1124" t="str">
        <f t="shared" si="8"/>
        <v/>
      </c>
    </row>
    <row r="55" spans="1:35" ht="63" hidden="1" customHeight="1">
      <c r="A55" s="81">
        <f>'Base-D'!A42</f>
        <v>41</v>
      </c>
      <c r="B55" s="1118">
        <v>22</v>
      </c>
      <c r="C55" s="50" t="str">
        <f>LOOKUP(A55,'Base-D'!A:A,'Base-D'!AX:AX)</f>
        <v>فففففففففففففففففففف</v>
      </c>
      <c r="D55" s="50" t="str">
        <f>LOOKUP(A55,'Base-D'!A:A,'Base-D'!AY:AY)</f>
        <v xml:space="preserve"> ب 10</v>
      </c>
      <c r="E55" s="50">
        <f>LOOKUP(A55,'Base-D'!A:A,'Base-D'!R:R)</f>
        <v>11111111111</v>
      </c>
      <c r="F55" s="51">
        <f t="shared" si="0"/>
        <v>32143.93</v>
      </c>
      <c r="G55" s="51">
        <f>LOOKUP(A55,'ورقة العمل'!A:A,'ورقة العمل'!E:E)</f>
        <v>5000</v>
      </c>
      <c r="H55" s="51">
        <f>LOOKUP(A55,'Base-D'!A:A,'Base-D'!BK:BK)</f>
        <v>3884.85</v>
      </c>
      <c r="I55" s="51">
        <f>LOOKUP(A55,'Base-D'!A:A,'Base-D'!BM:BM)</f>
        <v>2136.2199999999998</v>
      </c>
      <c r="J55" s="51">
        <f t="shared" si="1"/>
        <v>0</v>
      </c>
      <c r="K55" s="51">
        <f>LOOKUP(A55,'Base-D'!A:A,'Base-D'!BI:BI)</f>
        <v>0</v>
      </c>
      <c r="L55" s="51">
        <f>LOOKUP(A55,'Base-D'!A:A,'Base-D'!BG:BG)</f>
        <v>0</v>
      </c>
      <c r="M55" s="51">
        <f>LOOKUP(A55,'Base-D'!A:A,'Base-D'!BH:BH)</f>
        <v>0</v>
      </c>
      <c r="N55" s="51">
        <f t="shared" si="2"/>
        <v>43165</v>
      </c>
      <c r="O55" s="51">
        <f>LOOKUP(A55,'Base-D'!A:A,'Base-D'!AZ:AZ)</f>
        <v>20385</v>
      </c>
      <c r="P55" s="51">
        <f>LOOKUP(A55,'Base-D'!A:A,'Base-D'!AI:AI)</f>
        <v>1372</v>
      </c>
      <c r="Q55" s="51">
        <f>LOOKUP(A55,'Base-D'!A:A,'Base-D'!BB:BB)</f>
        <v>5096.25</v>
      </c>
      <c r="R55" s="51">
        <f>LOOKUP(A55,'Base-D'!A:A,'Base-D'!AJ:AJ)</f>
        <v>9173.25</v>
      </c>
      <c r="S55" s="51">
        <f>LOOKUP(A55,'Base-D'!A:A,'Base-D'!BC:BC)</f>
        <v>0</v>
      </c>
      <c r="T55" s="51">
        <f>LOOKUP(A55,'Base-D'!A:A,'Base-D'!BD:BD)</f>
        <v>3100</v>
      </c>
      <c r="U55" s="51">
        <f>LOOKUP(A55,'Base-D'!A:A,'Base-D'!BE:BE)</f>
        <v>2000</v>
      </c>
      <c r="V55" s="51">
        <f>LOOKUP(A55,'Base-D'!A:A,'Base-D'!BF:BF)</f>
        <v>2038.5</v>
      </c>
      <c r="W55" s="51">
        <f>LOOKUP(A55,'Base-D'!A:A,'Base-D'!AT:AT)</f>
        <v>0</v>
      </c>
      <c r="X55" s="51">
        <f>LOOKUP(A55,'Base-D'!A:A,'Base-D'!AE:AE)</f>
        <v>0</v>
      </c>
      <c r="Y55" s="51">
        <f>LOOKUP(A55,'ورقة العمل'!A:A,'ورقة العمل'!F:F)</f>
        <v>0</v>
      </c>
      <c r="Z55" s="689" t="str">
        <f>LOOKUP(A55,'Base-D'!A:A,'Base-D'!S:S)</f>
        <v>الحساب الجاري البريدي</v>
      </c>
      <c r="AA55" s="51">
        <f>LOOKUP(A55,'Base-D'!A:A,'Base-D'!N:N)</f>
        <v>0</v>
      </c>
      <c r="AG55" s="1124" t="str">
        <f t="shared" si="6"/>
        <v/>
      </c>
      <c r="AH55" s="1124" t="str">
        <f t="shared" si="7"/>
        <v/>
      </c>
      <c r="AI55" s="1124" t="str">
        <f t="shared" si="8"/>
        <v/>
      </c>
    </row>
    <row r="56" spans="1:35" ht="63" hidden="1" customHeight="1">
      <c r="A56" s="81">
        <f>'Base-D'!A43</f>
        <v>42</v>
      </c>
      <c r="B56" s="1118">
        <v>23</v>
      </c>
      <c r="C56" s="50" t="str">
        <f>LOOKUP(A56,'Base-D'!A:A,'Base-D'!AX:AX)</f>
        <v>يسلللللللسيييييييي</v>
      </c>
      <c r="D56" s="50" t="str">
        <f>LOOKUP(A56,'Base-D'!A:A,'Base-D'!AY:AY)</f>
        <v xml:space="preserve"> ب 10</v>
      </c>
      <c r="E56" s="50">
        <f>LOOKUP(A56,'Base-D'!A:A,'Base-D'!R:R)</f>
        <v>11111111111</v>
      </c>
      <c r="F56" s="51">
        <f t="shared" si="0"/>
        <v>35567.14</v>
      </c>
      <c r="G56" s="51">
        <f>LOOKUP(A56,'ورقة العمل'!A:A,'ورقة العمل'!E:E)</f>
        <v>0</v>
      </c>
      <c r="H56" s="51">
        <f>LOOKUP(A56,'Base-D'!A:A,'Base-D'!BK:BK)</f>
        <v>3701.39</v>
      </c>
      <c r="I56" s="51">
        <f>LOOKUP(A56,'Base-D'!A:A,'Base-D'!BM:BM)</f>
        <v>1857.97</v>
      </c>
      <c r="J56" s="51">
        <f t="shared" si="1"/>
        <v>0</v>
      </c>
      <c r="K56" s="51">
        <f>LOOKUP(A56,'Base-D'!A:A,'Base-D'!BI:BI)</f>
        <v>0</v>
      </c>
      <c r="L56" s="51">
        <f>LOOKUP(A56,'Base-D'!A:A,'Base-D'!BG:BG)</f>
        <v>0</v>
      </c>
      <c r="M56" s="51">
        <f>LOOKUP(A56,'Base-D'!A:A,'Base-D'!BH:BH)</f>
        <v>0</v>
      </c>
      <c r="N56" s="51">
        <f t="shared" si="2"/>
        <v>41126.5</v>
      </c>
      <c r="O56" s="51">
        <f>LOOKUP(A56,'Base-D'!A:A,'Base-D'!AZ:AZ)</f>
        <v>20385</v>
      </c>
      <c r="P56" s="51">
        <f>LOOKUP(A56,'Base-D'!A:A,'Base-D'!AI:AI)</f>
        <v>1372</v>
      </c>
      <c r="Q56" s="51">
        <f>LOOKUP(A56,'Base-D'!A:A,'Base-D'!BB:BB)</f>
        <v>5096.25</v>
      </c>
      <c r="R56" s="51">
        <f>LOOKUP(A56,'Base-D'!A:A,'Base-D'!AJ:AJ)</f>
        <v>7134.75</v>
      </c>
      <c r="S56" s="51">
        <f>LOOKUP(A56,'Base-D'!A:A,'Base-D'!BC:BC)</f>
        <v>0</v>
      </c>
      <c r="T56" s="51">
        <f>LOOKUP(A56,'Base-D'!A:A,'Base-D'!BD:BD)</f>
        <v>3100</v>
      </c>
      <c r="U56" s="51">
        <f>LOOKUP(A56,'Base-D'!A:A,'Base-D'!BE:BE)</f>
        <v>2000</v>
      </c>
      <c r="V56" s="51">
        <f>LOOKUP(A56,'Base-D'!A:A,'Base-D'!BF:BF)</f>
        <v>2038.5</v>
      </c>
      <c r="W56" s="51">
        <f>LOOKUP(A56,'Base-D'!A:A,'Base-D'!AT:AT)</f>
        <v>0</v>
      </c>
      <c r="X56" s="51">
        <f>LOOKUP(A56,'Base-D'!A:A,'Base-D'!AE:AE)</f>
        <v>0</v>
      </c>
      <c r="Y56" s="51">
        <f>LOOKUP(A56,'ورقة العمل'!A:A,'ورقة العمل'!F:F)</f>
        <v>0</v>
      </c>
      <c r="Z56" s="689" t="str">
        <f>LOOKUP(A56,'Base-D'!A:A,'Base-D'!S:S)</f>
        <v>الحساب الجاري البريدي</v>
      </c>
      <c r="AA56" s="51">
        <f>LOOKUP(A56,'Base-D'!A:A,'Base-D'!N:N)</f>
        <v>0</v>
      </c>
      <c r="AG56" s="1124" t="str">
        <f t="shared" si="6"/>
        <v/>
      </c>
      <c r="AH56" s="1124" t="str">
        <f t="shared" si="7"/>
        <v/>
      </c>
      <c r="AI56" s="1124" t="str">
        <f t="shared" si="8"/>
        <v/>
      </c>
    </row>
    <row r="57" spans="1:35" ht="63" hidden="1" customHeight="1">
      <c r="A57" s="81">
        <f>'Base-D'!A44</f>
        <v>43</v>
      </c>
      <c r="B57" s="1118">
        <v>4</v>
      </c>
      <c r="C57" s="50" t="str">
        <f>LOOKUP(A57,'Base-D'!A:A,'Base-D'!AX:AX)</f>
        <v>ررءرءؤرؤءرلللللللللللللل</v>
      </c>
      <c r="D57" s="50" t="str">
        <f>LOOKUP(A57,'Base-D'!A:A,'Base-D'!AY:AY)</f>
        <v xml:space="preserve"> ب 10 - د 8</v>
      </c>
      <c r="E57" s="50">
        <f>LOOKUP(A57,'Base-D'!A:A,'Base-D'!R:R)</f>
        <v>11111111111</v>
      </c>
      <c r="F57" s="51">
        <f t="shared" si="0"/>
        <v>41491.94</v>
      </c>
      <c r="G57" s="51">
        <f>LOOKUP(A57,'ورقة العمل'!A:A,'ورقة العمل'!E:E)</f>
        <v>5000</v>
      </c>
      <c r="H57" s="51">
        <f>LOOKUP(A57,'Base-D'!A:A,'Base-D'!BK:BK)</f>
        <v>4947.57</v>
      </c>
      <c r="I57" s="51">
        <f>LOOKUP(A57,'Base-D'!A:A,'Base-D'!BM:BM)</f>
        <v>3931.39</v>
      </c>
      <c r="J57" s="51">
        <f t="shared" si="1"/>
        <v>0</v>
      </c>
      <c r="K57" s="51">
        <f>LOOKUP(A57,'Base-D'!A:A,'Base-D'!BI:BI)</f>
        <v>0</v>
      </c>
      <c r="L57" s="51">
        <f>LOOKUP(A57,'Base-D'!A:A,'Base-D'!BG:BG)</f>
        <v>0</v>
      </c>
      <c r="M57" s="51">
        <f>LOOKUP(A57,'Base-D'!A:A,'Base-D'!BH:BH)</f>
        <v>824.6</v>
      </c>
      <c r="N57" s="51">
        <f t="shared" si="2"/>
        <v>56195.5</v>
      </c>
      <c r="O57" s="51">
        <f>LOOKUP(A57,'Base-D'!A:A,'Base-D'!AZ:AZ)</f>
        <v>28530</v>
      </c>
      <c r="P57" s="51">
        <f>LOOKUP(A57,'Base-D'!A:A,'Base-D'!AI:AI)</f>
        <v>1372</v>
      </c>
      <c r="Q57" s="51">
        <f>LOOKUP(A57,'Base-D'!A:A,'Base-D'!BB:BB)</f>
        <v>7132.5</v>
      </c>
      <c r="R57" s="51">
        <f>LOOKUP(A57,'Base-D'!A:A,'Base-D'!AJ:AJ)</f>
        <v>9985.5</v>
      </c>
      <c r="S57" s="51">
        <f>LOOKUP(A57,'Base-D'!A:A,'Base-D'!BC:BC)</f>
        <v>0</v>
      </c>
      <c r="T57" s="51">
        <f>LOOKUP(A57,'Base-D'!A:A,'Base-D'!BD:BD)</f>
        <v>3100</v>
      </c>
      <c r="U57" s="51">
        <f>LOOKUP(A57,'Base-D'!A:A,'Base-D'!BE:BE)</f>
        <v>2000</v>
      </c>
      <c r="V57" s="51">
        <f>LOOKUP(A57,'Base-D'!A:A,'Base-D'!BF:BF)</f>
        <v>2853</v>
      </c>
      <c r="W57" s="51">
        <f>LOOKUP(A57,'Base-D'!A:A,'Base-D'!AT:AT)</f>
        <v>0</v>
      </c>
      <c r="X57" s="51">
        <f>LOOKUP(A57,'Base-D'!A:A,'Base-D'!AE:AE)</f>
        <v>1222.5</v>
      </c>
      <c r="Y57" s="51">
        <f>LOOKUP(A57,'ورقة العمل'!A:A,'ورقة العمل'!F:F)</f>
        <v>0</v>
      </c>
      <c r="Z57" s="689" t="str">
        <f>LOOKUP(A57,'Base-D'!A:A,'Base-D'!S:S)</f>
        <v>بنك التنمية المحلية</v>
      </c>
      <c r="AA57" s="51">
        <f>LOOKUP(A57,'Base-D'!A:A,'Base-D'!N:N)</f>
        <v>0</v>
      </c>
      <c r="AG57" s="1124" t="str">
        <f t="shared" si="6"/>
        <v/>
      </c>
      <c r="AH57" s="1124">
        <f t="shared" si="7"/>
        <v>4</v>
      </c>
      <c r="AI57" s="1124" t="str">
        <f t="shared" si="8"/>
        <v/>
      </c>
    </row>
    <row r="58" spans="1:35" ht="63" hidden="1" customHeight="1">
      <c r="A58" s="81">
        <f>'Base-D'!A45</f>
        <v>44</v>
      </c>
      <c r="B58" s="1118">
        <v>24</v>
      </c>
      <c r="C58" s="50" t="str">
        <f>LOOKUP(A58,'Base-D'!A:A,'Base-D'!AX:AX)</f>
        <v>صثقصقثصقضفففففففففففف</v>
      </c>
      <c r="D58" s="50" t="str">
        <f>LOOKUP(A58,'Base-D'!A:A,'Base-D'!AY:AY)</f>
        <v xml:space="preserve"> ب 10 - د 2</v>
      </c>
      <c r="E58" s="50">
        <f>LOOKUP(A58,'Base-D'!A:A,'Base-D'!R:R)</f>
        <v>11111111111</v>
      </c>
      <c r="F58" s="51">
        <f t="shared" si="0"/>
        <v>42206.75</v>
      </c>
      <c r="G58" s="51">
        <f>LOOKUP(A58,'ورقة العمل'!A:A,'ورقة العمل'!E:E)</f>
        <v>0</v>
      </c>
      <c r="H58" s="51">
        <f>LOOKUP(A58,'Base-D'!A:A,'Base-D'!BK:BK)</f>
        <v>4414.59</v>
      </c>
      <c r="I58" s="51">
        <f>LOOKUP(A58,'Base-D'!A:A,'Base-D'!BM:BM)</f>
        <v>3029.66</v>
      </c>
      <c r="J58" s="51">
        <f t="shared" si="1"/>
        <v>0</v>
      </c>
      <c r="K58" s="51">
        <f>LOOKUP(A58,'Base-D'!A:A,'Base-D'!BI:BI)</f>
        <v>0</v>
      </c>
      <c r="L58" s="51">
        <f>LOOKUP(A58,'Base-D'!A:A,'Base-D'!BG:BG)</f>
        <v>0</v>
      </c>
      <c r="M58" s="51">
        <f>LOOKUP(A58,'Base-D'!A:A,'Base-D'!BH:BH)</f>
        <v>0</v>
      </c>
      <c r="N58" s="51">
        <f t="shared" si="2"/>
        <v>49651</v>
      </c>
      <c r="O58" s="51">
        <f>LOOKUP(A58,'Base-D'!A:A,'Base-D'!AZ:AZ)</f>
        <v>22410</v>
      </c>
      <c r="P58" s="51">
        <f>LOOKUP(A58,'Base-D'!A:A,'Base-D'!AI:AI)</f>
        <v>1372</v>
      </c>
      <c r="Q58" s="51">
        <f>LOOKUP(A58,'Base-D'!A:A,'Base-D'!BB:BB)</f>
        <v>6723</v>
      </c>
      <c r="R58" s="51">
        <f>LOOKUP(A58,'Base-D'!A:A,'Base-D'!AJ:AJ)</f>
        <v>7843.5</v>
      </c>
      <c r="S58" s="51">
        <f>LOOKUP(A58,'Base-D'!A:A,'Base-D'!BC:BC)</f>
        <v>0</v>
      </c>
      <c r="T58" s="51">
        <f>LOOKUP(A58,'Base-D'!A:A,'Base-D'!BD:BD)</f>
        <v>3100</v>
      </c>
      <c r="U58" s="51">
        <f>LOOKUP(A58,'Base-D'!A:A,'Base-D'!BE:BE)</f>
        <v>2000</v>
      </c>
      <c r="V58" s="51">
        <f>LOOKUP(A58,'Base-D'!A:A,'Base-D'!BF:BF)</f>
        <v>5602.5</v>
      </c>
      <c r="W58" s="51">
        <f>LOOKUP(A58,'Base-D'!A:A,'Base-D'!AT:AT)</f>
        <v>0</v>
      </c>
      <c r="X58" s="51">
        <f>LOOKUP(A58,'Base-D'!A:A,'Base-D'!AE:AE)</f>
        <v>600</v>
      </c>
      <c r="Y58" s="51">
        <f>LOOKUP(A58,'ورقة العمل'!A:A,'ورقة العمل'!F:F)</f>
        <v>0</v>
      </c>
      <c r="Z58" s="689" t="str">
        <f>LOOKUP(A58,'Base-D'!A:A,'Base-D'!S:S)</f>
        <v>الحساب الجاري البريدي</v>
      </c>
      <c r="AA58" s="51">
        <f>LOOKUP(A58,'Base-D'!A:A,'Base-D'!N:N)</f>
        <v>0</v>
      </c>
      <c r="AG58" s="1124" t="str">
        <f t="shared" si="6"/>
        <v/>
      </c>
      <c r="AH58" s="1124" t="str">
        <f t="shared" si="7"/>
        <v/>
      </c>
      <c r="AI58" s="1124" t="str">
        <f t="shared" si="8"/>
        <v/>
      </c>
    </row>
    <row r="59" spans="1:35" ht="63" hidden="1" customHeight="1">
      <c r="A59" s="81">
        <f>'Base-D'!A46</f>
        <v>45</v>
      </c>
      <c r="B59" s="1118">
        <v>25</v>
      </c>
      <c r="C59" s="50" t="str">
        <f>LOOKUP(A59,'Base-D'!A:A,'Base-D'!AX:AX)</f>
        <v>صثقثصقثصقصثيسللللللل</v>
      </c>
      <c r="D59" s="50" t="str">
        <f>LOOKUP(A59,'Base-D'!A:A,'Base-D'!AY:AY)</f>
        <v xml:space="preserve"> ب 10 - د 2</v>
      </c>
      <c r="E59" s="50">
        <f>LOOKUP(A59,'Base-D'!A:A,'Base-D'!R:R)</f>
        <v>11111111111</v>
      </c>
      <c r="F59" s="51">
        <f t="shared" si="0"/>
        <v>41696.75</v>
      </c>
      <c r="G59" s="51">
        <f>LOOKUP(A59,'ورقة العمل'!A:A,'ورقة العمل'!E:E)</f>
        <v>0</v>
      </c>
      <c r="H59" s="51">
        <f>LOOKUP(A59,'Base-D'!A:A,'Base-D'!BK:BK)</f>
        <v>4414.59</v>
      </c>
      <c r="I59" s="51">
        <f>LOOKUP(A59,'Base-D'!A:A,'Base-D'!BM:BM)</f>
        <v>2939.66</v>
      </c>
      <c r="J59" s="51">
        <f t="shared" si="1"/>
        <v>0</v>
      </c>
      <c r="K59" s="51">
        <f>LOOKUP(A59,'Base-D'!A:A,'Base-D'!BI:BI)</f>
        <v>0</v>
      </c>
      <c r="L59" s="51">
        <f>LOOKUP(A59,'Base-D'!A:A,'Base-D'!BG:BG)</f>
        <v>0</v>
      </c>
      <c r="M59" s="51">
        <f>LOOKUP(A59,'Base-D'!A:A,'Base-D'!BH:BH)</f>
        <v>0</v>
      </c>
      <c r="N59" s="51">
        <f t="shared" si="2"/>
        <v>49051</v>
      </c>
      <c r="O59" s="51">
        <f>LOOKUP(A59,'Base-D'!A:A,'Base-D'!AZ:AZ)</f>
        <v>22410</v>
      </c>
      <c r="P59" s="51">
        <f>LOOKUP(A59,'Base-D'!A:A,'Base-D'!AI:AI)</f>
        <v>1372</v>
      </c>
      <c r="Q59" s="51">
        <f>LOOKUP(A59,'Base-D'!A:A,'Base-D'!BB:BB)</f>
        <v>6723</v>
      </c>
      <c r="R59" s="51">
        <f>LOOKUP(A59,'Base-D'!A:A,'Base-D'!AJ:AJ)</f>
        <v>7843.5</v>
      </c>
      <c r="S59" s="51">
        <f>LOOKUP(A59,'Base-D'!A:A,'Base-D'!BC:BC)</f>
        <v>0</v>
      </c>
      <c r="T59" s="51">
        <f>LOOKUP(A59,'Base-D'!A:A,'Base-D'!BD:BD)</f>
        <v>3100</v>
      </c>
      <c r="U59" s="51">
        <f>LOOKUP(A59,'Base-D'!A:A,'Base-D'!BE:BE)</f>
        <v>2000</v>
      </c>
      <c r="V59" s="51">
        <f>LOOKUP(A59,'Base-D'!A:A,'Base-D'!BF:BF)</f>
        <v>5602.5</v>
      </c>
      <c r="W59" s="51">
        <f>LOOKUP(A59,'Base-D'!A:A,'Base-D'!AT:AT)</f>
        <v>0</v>
      </c>
      <c r="X59" s="51">
        <f>LOOKUP(A59,'Base-D'!A:A,'Base-D'!AE:AE)</f>
        <v>0</v>
      </c>
      <c r="Y59" s="51">
        <f>LOOKUP(A59,'ورقة العمل'!A:A,'ورقة العمل'!F:F)</f>
        <v>0</v>
      </c>
      <c r="Z59" s="689" t="str">
        <f>LOOKUP(A59,'Base-D'!A:A,'Base-D'!S:S)</f>
        <v>الحساب الجاري البريدي</v>
      </c>
      <c r="AA59" s="51">
        <f>LOOKUP(A59,'Base-D'!A:A,'Base-D'!N:N)</f>
        <v>0</v>
      </c>
      <c r="AG59" s="1124" t="str">
        <f t="shared" si="6"/>
        <v/>
      </c>
      <c r="AH59" s="1124" t="str">
        <f t="shared" si="7"/>
        <v/>
      </c>
      <c r="AI59" s="1124" t="str">
        <f t="shared" si="8"/>
        <v/>
      </c>
    </row>
    <row r="60" spans="1:35" ht="63" hidden="1" customHeight="1">
      <c r="A60" s="81">
        <f>'Base-D'!A47</f>
        <v>46</v>
      </c>
      <c r="B60" s="1118">
        <v>26</v>
      </c>
      <c r="C60" s="50" t="str">
        <f>LOOKUP(A60,'Base-D'!A:A,'Base-D'!AX:AX)</f>
        <v>للللللللررءرءؤرؤءر</v>
      </c>
      <c r="D60" s="50" t="str">
        <f>LOOKUP(A60,'Base-D'!A:A,'Base-D'!AY:AY)</f>
        <v xml:space="preserve"> ب 10 - د 2</v>
      </c>
      <c r="E60" s="50">
        <f>LOOKUP(A60,'Base-D'!A:A,'Base-D'!R:R)</f>
        <v>11111111111</v>
      </c>
      <c r="F60" s="51">
        <f t="shared" si="0"/>
        <v>41696.75</v>
      </c>
      <c r="G60" s="51">
        <f>LOOKUP(A60,'ورقة العمل'!A:A,'ورقة العمل'!E:E)</f>
        <v>0</v>
      </c>
      <c r="H60" s="51">
        <f>LOOKUP(A60,'Base-D'!A:A,'Base-D'!BK:BK)</f>
        <v>4414.59</v>
      </c>
      <c r="I60" s="51">
        <f>LOOKUP(A60,'Base-D'!A:A,'Base-D'!BM:BM)</f>
        <v>2939.66</v>
      </c>
      <c r="J60" s="51">
        <f t="shared" si="1"/>
        <v>0</v>
      </c>
      <c r="K60" s="51">
        <f>LOOKUP(A60,'Base-D'!A:A,'Base-D'!BI:BI)</f>
        <v>0</v>
      </c>
      <c r="L60" s="51">
        <f>LOOKUP(A60,'Base-D'!A:A,'Base-D'!BG:BG)</f>
        <v>0</v>
      </c>
      <c r="M60" s="51">
        <f>LOOKUP(A60,'Base-D'!A:A,'Base-D'!BH:BH)</f>
        <v>0</v>
      </c>
      <c r="N60" s="51">
        <f t="shared" si="2"/>
        <v>49051</v>
      </c>
      <c r="O60" s="51">
        <f>LOOKUP(A60,'Base-D'!A:A,'Base-D'!AZ:AZ)</f>
        <v>22410</v>
      </c>
      <c r="P60" s="51">
        <f>LOOKUP(A60,'Base-D'!A:A,'Base-D'!AI:AI)</f>
        <v>1372</v>
      </c>
      <c r="Q60" s="51">
        <f>LOOKUP(A60,'Base-D'!A:A,'Base-D'!BB:BB)</f>
        <v>6723</v>
      </c>
      <c r="R60" s="51">
        <f>LOOKUP(A60,'Base-D'!A:A,'Base-D'!AJ:AJ)</f>
        <v>7843.5</v>
      </c>
      <c r="S60" s="51">
        <f>LOOKUP(A60,'Base-D'!A:A,'Base-D'!BC:BC)</f>
        <v>0</v>
      </c>
      <c r="T60" s="51">
        <f>LOOKUP(A60,'Base-D'!A:A,'Base-D'!BD:BD)</f>
        <v>3100</v>
      </c>
      <c r="U60" s="51">
        <f>LOOKUP(A60,'Base-D'!A:A,'Base-D'!BE:BE)</f>
        <v>2000</v>
      </c>
      <c r="V60" s="51">
        <f>LOOKUP(A60,'Base-D'!A:A,'Base-D'!BF:BF)</f>
        <v>5602.5</v>
      </c>
      <c r="W60" s="51">
        <f>LOOKUP(A60,'Base-D'!A:A,'Base-D'!AT:AT)</f>
        <v>0</v>
      </c>
      <c r="X60" s="51">
        <f>LOOKUP(A60,'Base-D'!A:A,'Base-D'!AE:AE)</f>
        <v>0</v>
      </c>
      <c r="Y60" s="51">
        <f>LOOKUP(A60,'ورقة العمل'!A:A,'ورقة العمل'!F:F)</f>
        <v>0</v>
      </c>
      <c r="Z60" s="689" t="str">
        <f>LOOKUP(A60,'Base-D'!A:A,'Base-D'!S:S)</f>
        <v>الحساب الجاري البريدي</v>
      </c>
      <c r="AA60" s="51">
        <f>LOOKUP(A60,'Base-D'!A:A,'Base-D'!N:N)</f>
        <v>0</v>
      </c>
      <c r="AG60" s="1124" t="str">
        <f t="shared" si="6"/>
        <v/>
      </c>
      <c r="AH60" s="1124" t="str">
        <f t="shared" si="7"/>
        <v/>
      </c>
      <c r="AI60" s="1124" t="str">
        <f t="shared" si="8"/>
        <v/>
      </c>
    </row>
    <row r="61" spans="1:35" ht="63" hidden="1" customHeight="1">
      <c r="A61" s="81">
        <f>'Base-D'!A48</f>
        <v>47</v>
      </c>
      <c r="B61" s="1118">
        <v>27</v>
      </c>
      <c r="C61" s="50" t="str">
        <f>LOOKUP(A61,'Base-D'!A:A,'Base-D'!AX:AX)</f>
        <v>ففففففففصثقصقثصقض</v>
      </c>
      <c r="D61" s="50" t="str">
        <f>LOOKUP(A61,'Base-D'!A:A,'Base-D'!AY:AY)</f>
        <v xml:space="preserve"> ب 10 - د 3</v>
      </c>
      <c r="E61" s="50">
        <f>LOOKUP(A61,'Base-D'!A:A,'Base-D'!R:R)</f>
        <v>11111111111</v>
      </c>
      <c r="F61" s="51">
        <f t="shared" si="0"/>
        <v>36404.370000000003</v>
      </c>
      <c r="G61" s="51">
        <f>LOOKUP(A61,'ورقة العمل'!A:A,'ورقة العمل'!E:E)</f>
        <v>5000</v>
      </c>
      <c r="H61" s="51">
        <f>LOOKUP(A61,'Base-D'!A:A,'Base-D'!BK:BK)</f>
        <v>4380.57</v>
      </c>
      <c r="I61" s="51">
        <f>LOOKUP(A61,'Base-D'!A:A,'Base-D'!BM:BM)</f>
        <v>2888.06</v>
      </c>
      <c r="J61" s="51">
        <f t="shared" si="1"/>
        <v>0</v>
      </c>
      <c r="K61" s="51">
        <f>LOOKUP(A61,'Base-D'!A:A,'Base-D'!BI:BI)</f>
        <v>0</v>
      </c>
      <c r="L61" s="51">
        <f>LOOKUP(A61,'Base-D'!A:A,'Base-D'!BG:BG)</f>
        <v>0</v>
      </c>
      <c r="M61" s="51">
        <f>LOOKUP(A61,'Base-D'!A:A,'Base-D'!BH:BH)</f>
        <v>0</v>
      </c>
      <c r="N61" s="51">
        <f t="shared" si="2"/>
        <v>48673</v>
      </c>
      <c r="O61" s="51">
        <f>LOOKUP(A61,'Base-D'!A:A,'Base-D'!AZ:AZ)</f>
        <v>23445</v>
      </c>
      <c r="P61" s="51">
        <f>LOOKUP(A61,'Base-D'!A:A,'Base-D'!AI:AI)</f>
        <v>1372</v>
      </c>
      <c r="Q61" s="51">
        <f>LOOKUP(A61,'Base-D'!A:A,'Base-D'!BB:BB)</f>
        <v>5861.25</v>
      </c>
      <c r="R61" s="51">
        <f>LOOKUP(A61,'Base-D'!A:A,'Base-D'!AJ:AJ)</f>
        <v>10550.25</v>
      </c>
      <c r="S61" s="51">
        <f>LOOKUP(A61,'Base-D'!A:A,'Base-D'!BC:BC)</f>
        <v>0</v>
      </c>
      <c r="T61" s="51">
        <f>LOOKUP(A61,'Base-D'!A:A,'Base-D'!BD:BD)</f>
        <v>3100</v>
      </c>
      <c r="U61" s="51">
        <f>LOOKUP(A61,'Base-D'!A:A,'Base-D'!BE:BE)</f>
        <v>2000</v>
      </c>
      <c r="V61" s="51">
        <f>LOOKUP(A61,'Base-D'!A:A,'Base-D'!BF:BF)</f>
        <v>2344.5</v>
      </c>
      <c r="W61" s="51">
        <f>LOOKUP(A61,'Base-D'!A:A,'Base-D'!AT:AT)</f>
        <v>0</v>
      </c>
      <c r="X61" s="51">
        <f>LOOKUP(A61,'Base-D'!A:A,'Base-D'!AE:AE)</f>
        <v>0</v>
      </c>
      <c r="Y61" s="51">
        <f>LOOKUP(A61,'ورقة العمل'!A:A,'ورقة العمل'!F:F)</f>
        <v>0</v>
      </c>
      <c r="Z61" s="689" t="str">
        <f>LOOKUP(A61,'Base-D'!A:A,'Base-D'!S:S)</f>
        <v>الحساب الجاري البريدي</v>
      </c>
      <c r="AA61" s="51">
        <f>LOOKUP(A61,'Base-D'!A:A,'Base-D'!N:N)</f>
        <v>0</v>
      </c>
      <c r="AG61" s="1124" t="str">
        <f t="shared" si="6"/>
        <v/>
      </c>
      <c r="AH61" s="1124" t="str">
        <f t="shared" si="7"/>
        <v/>
      </c>
      <c r="AI61" s="1124" t="str">
        <f t="shared" si="8"/>
        <v/>
      </c>
    </row>
    <row r="62" spans="1:35" ht="63" hidden="1" customHeight="1">
      <c r="A62" s="81">
        <f>'Base-D'!A49</f>
        <v>48</v>
      </c>
      <c r="B62" s="1118">
        <v>28</v>
      </c>
      <c r="C62" s="50" t="str">
        <f>LOOKUP(A62,'Base-D'!A:A,'Base-D'!AX:AX)</f>
        <v>سييييييييصثقثصقثصقصث</v>
      </c>
      <c r="D62" s="50" t="str">
        <f>LOOKUP(A62,'Base-D'!A:A,'Base-D'!AY:AY)</f>
        <v xml:space="preserve"> ب 10 - د 1</v>
      </c>
      <c r="E62" s="50">
        <f>LOOKUP(A62,'Base-D'!A:A,'Base-D'!R:R)</f>
        <v>11111111111</v>
      </c>
      <c r="F62" s="51">
        <f t="shared" si="0"/>
        <v>27742.38</v>
      </c>
      <c r="G62" s="51">
        <f>LOOKUP(A62,'ورقة العمل'!A:A,'ورقة العمل'!E:E)</f>
        <v>5000</v>
      </c>
      <c r="H62" s="51">
        <f>LOOKUP(A62,'Base-D'!A:A,'Base-D'!BK:BK)</f>
        <v>3679.74</v>
      </c>
      <c r="I62" s="51">
        <f>LOOKUP(A62,'Base-D'!A:A,'Base-D'!BM:BM)</f>
        <v>2125.14</v>
      </c>
      <c r="J62" s="51">
        <f t="shared" si="1"/>
        <v>2338.7399999999998</v>
      </c>
      <c r="K62" s="51">
        <f>LOOKUP(A62,'Base-D'!A:A,'Base-D'!BI:BI)</f>
        <v>0</v>
      </c>
      <c r="L62" s="51">
        <f>LOOKUP(A62,'Base-D'!A:A,'Base-D'!BG:BG)</f>
        <v>0</v>
      </c>
      <c r="M62" s="51">
        <f>LOOKUP(A62,'Base-D'!A:A,'Base-D'!BH:BH)</f>
        <v>0</v>
      </c>
      <c r="N62" s="51">
        <f t="shared" si="2"/>
        <v>40886</v>
      </c>
      <c r="O62" s="51">
        <f>LOOKUP(A62,'Base-D'!A:A,'Base-D'!AZ:AZ)</f>
        <v>21420</v>
      </c>
      <c r="P62" s="51">
        <f>LOOKUP(A62,'Base-D'!A:A,'Base-D'!AI:AI)</f>
        <v>1372</v>
      </c>
      <c r="Q62" s="51">
        <f>LOOKUP(A62,'Base-D'!A:A,'Base-D'!BB:BB)</f>
        <v>5355</v>
      </c>
      <c r="R62" s="51">
        <f>LOOKUP(A62,'Base-D'!A:A,'Base-D'!AJ:AJ)</f>
        <v>7497</v>
      </c>
      <c r="S62" s="51">
        <f>LOOKUP(A62,'Base-D'!A:A,'Base-D'!BC:BC)</f>
        <v>0</v>
      </c>
      <c r="T62" s="51">
        <f>LOOKUP(A62,'Base-D'!A:A,'Base-D'!BD:BD)</f>
        <v>3100</v>
      </c>
      <c r="U62" s="51">
        <f>LOOKUP(A62,'Base-D'!A:A,'Base-D'!BE:BE)</f>
        <v>0</v>
      </c>
      <c r="V62" s="51">
        <f>LOOKUP(A62,'Base-D'!A:A,'Base-D'!BF:BF)</f>
        <v>2142</v>
      </c>
      <c r="W62" s="51">
        <f>LOOKUP(A62,'Base-D'!A:A,'Base-D'!AT:AT)</f>
        <v>0</v>
      </c>
      <c r="X62" s="51">
        <f>LOOKUP(A62,'Base-D'!A:A,'Base-D'!AE:AE)</f>
        <v>0</v>
      </c>
      <c r="Y62" s="51">
        <f>LOOKUP(A62,'ورقة العمل'!A:A,'ورقة العمل'!F:F)</f>
        <v>2</v>
      </c>
      <c r="Z62" s="689" t="str">
        <f>LOOKUP(A62,'Base-D'!A:A,'Base-D'!S:S)</f>
        <v>الحساب الجاري البريدي</v>
      </c>
      <c r="AA62" s="51">
        <f>LOOKUP(A62,'Base-D'!A:A,'Base-D'!N:N)</f>
        <v>0</v>
      </c>
      <c r="AG62" s="1124" t="str">
        <f t="shared" si="6"/>
        <v/>
      </c>
      <c r="AH62" s="1124" t="str">
        <f t="shared" si="7"/>
        <v/>
      </c>
      <c r="AI62" s="1124" t="str">
        <f t="shared" si="8"/>
        <v/>
      </c>
    </row>
    <row r="63" spans="1:35" ht="63" hidden="1" customHeight="1" thickBot="1">
      <c r="A63" s="81">
        <f>'Base-D'!A50</f>
        <v>49</v>
      </c>
      <c r="B63" s="1118">
        <v>29</v>
      </c>
      <c r="C63" s="50" t="str">
        <f>LOOKUP(A63,'Base-D'!A:A,'Base-D'!AX:AX)</f>
        <v>ليسليسليسللللللللل</v>
      </c>
      <c r="D63" s="50" t="str">
        <f>LOOKUP(A63,'Base-D'!A:A,'Base-D'!AY:AY)</f>
        <v>م3 د 3 - د 1</v>
      </c>
      <c r="E63" s="50">
        <f>LOOKUP(A63,'Base-D'!A:A,'Base-D'!R:R)</f>
        <v>11111111111</v>
      </c>
      <c r="F63" s="51">
        <f t="shared" si="0"/>
        <v>20389.669999999998</v>
      </c>
      <c r="G63" s="51">
        <f>LOOKUP(A63,'ورقة العمل'!A:A,'ورقة العمل'!E:E)</f>
        <v>5000</v>
      </c>
      <c r="H63" s="51">
        <f>LOOKUP(A63,'Base-D'!A:A,'Base-D'!BK:BK)</f>
        <v>2450.84</v>
      </c>
      <c r="I63" s="51">
        <f>LOOKUP(A63,'Base-D'!A:A,'Base-D'!BM:BM)</f>
        <v>790.99</v>
      </c>
      <c r="J63" s="51">
        <f t="shared" si="1"/>
        <v>0</v>
      </c>
      <c r="K63" s="51">
        <f>LOOKUP(A63,'Base-D'!A:A,'Base-D'!BI:BI)</f>
        <v>0</v>
      </c>
      <c r="L63" s="51">
        <f>LOOKUP(A63,'Base-D'!A:A,'Base-D'!BG:BG)</f>
        <v>0</v>
      </c>
      <c r="M63" s="51">
        <f>LOOKUP(A63,'Base-D'!A:A,'Base-D'!BH:BH)</f>
        <v>0</v>
      </c>
      <c r="N63" s="51">
        <f t="shared" si="2"/>
        <v>28631.5</v>
      </c>
      <c r="O63" s="51">
        <f>LOOKUP(A63,'Base-D'!A:A,'Base-D'!AZ:AZ)</f>
        <v>13365</v>
      </c>
      <c r="P63" s="51">
        <f>LOOKUP(A63,'Base-D'!A:A,'Base-D'!AI:AI)</f>
        <v>997.5</v>
      </c>
      <c r="Q63" s="51">
        <f>LOOKUP(A63,'Base-D'!A:A,'Base-D'!BB:BB)</f>
        <v>2835</v>
      </c>
      <c r="R63" s="51">
        <f>LOOKUP(A63,'Base-D'!A:A,'Base-D'!AJ:AJ)</f>
        <v>0</v>
      </c>
      <c r="S63" s="51">
        <f>LOOKUP(A63,'Base-D'!A:A,'Base-D'!BC:BC)</f>
        <v>0</v>
      </c>
      <c r="T63" s="51">
        <f>LOOKUP(A63,'Base-D'!A:A,'Base-D'!BD:BD)</f>
        <v>6900</v>
      </c>
      <c r="U63" s="51">
        <f>LOOKUP(A63,'Base-D'!A:A,'Base-D'!BE:BE)</f>
        <v>2000</v>
      </c>
      <c r="V63" s="51">
        <f>LOOKUP(A63,'Base-D'!A:A,'Base-D'!BF:BF)</f>
        <v>1134</v>
      </c>
      <c r="W63" s="51">
        <f>LOOKUP(A63,'Base-D'!A:A,'Base-D'!AT:AT)</f>
        <v>0</v>
      </c>
      <c r="X63" s="51">
        <f>LOOKUP(A63,'Base-D'!A:A,'Base-D'!AE:AE)</f>
        <v>1400</v>
      </c>
      <c r="Y63" s="51">
        <f>LOOKUP(A63,'ورقة العمل'!A:A,'ورقة العمل'!F:F)</f>
        <v>0</v>
      </c>
      <c r="Z63" s="689" t="str">
        <f>LOOKUP(A63,'Base-D'!A:A,'Base-D'!S:S)</f>
        <v>الحساب الجاري البريدي</v>
      </c>
      <c r="AA63" s="51">
        <f>LOOKUP(A63,'Base-D'!A:A,'Base-D'!N:N)</f>
        <v>0</v>
      </c>
      <c r="AG63" s="1124" t="str">
        <f t="shared" si="6"/>
        <v/>
      </c>
      <c r="AH63" s="1124" t="str">
        <f t="shared" si="7"/>
        <v/>
      </c>
      <c r="AI63" s="1124" t="str">
        <f t="shared" si="8"/>
        <v/>
      </c>
    </row>
    <row r="64" spans="1:35" ht="63" hidden="1" customHeight="1">
      <c r="A64" s="81">
        <f>'Base-D'!A51</f>
        <v>50</v>
      </c>
      <c r="B64" s="1118">
        <v>5</v>
      </c>
      <c r="C64" s="50" t="str">
        <f>LOOKUP(A64,'Base-D'!A:A,'Base-D'!AX:AX)</f>
        <v/>
      </c>
      <c r="D64" s="50" t="e">
        <f>LOOKUP(A64,'Base-D'!A:A,'Base-D'!AY:AY)</f>
        <v>#N/A</v>
      </c>
      <c r="E64" s="50">
        <f>LOOKUP(A64,'Base-D'!A:A,'Base-D'!R:R)</f>
        <v>0</v>
      </c>
      <c r="F64" s="51" t="e">
        <f t="shared" si="0"/>
        <v>#N/A</v>
      </c>
      <c r="G64" s="51">
        <f>LOOKUP(A64,'ورقة العمل'!A:A,'ورقة العمل'!E:E)</f>
        <v>0</v>
      </c>
      <c r="H64" s="51" t="e">
        <f>LOOKUP(A64,'Base-D'!A:A,'Base-D'!BK:BK)</f>
        <v>#N/A</v>
      </c>
      <c r="I64" s="51" t="e">
        <f>LOOKUP(A64,'Base-D'!A:A,'Base-D'!BM:BM)</f>
        <v>#N/A</v>
      </c>
      <c r="J64" s="51" t="e">
        <f t="shared" si="1"/>
        <v>#N/A</v>
      </c>
      <c r="K64" s="51">
        <f>LOOKUP(A64,'Base-D'!A:A,'Base-D'!BI:BI)</f>
        <v>0</v>
      </c>
      <c r="L64" s="51">
        <f>LOOKUP(A64,'Base-D'!A:A,'Base-D'!BG:BG)</f>
        <v>0</v>
      </c>
      <c r="M64" s="51">
        <f>LOOKUP(A64,'Base-D'!A:A,'Base-D'!BH:BH)</f>
        <v>0</v>
      </c>
      <c r="N64" s="51" t="e">
        <f t="shared" si="2"/>
        <v>#N/A</v>
      </c>
      <c r="O64" s="51" t="e">
        <f>LOOKUP(A64,'Base-D'!A:A,'Base-D'!AZ:AZ)</f>
        <v>#N/A</v>
      </c>
      <c r="P64" s="51" t="e">
        <f>LOOKUP(A64,'Base-D'!A:A,'Base-D'!AI:AI)</f>
        <v>#N/A</v>
      </c>
      <c r="Q64" s="51" t="e">
        <f>LOOKUP(A64,'Base-D'!A:A,'Base-D'!BB:BB)</f>
        <v>#N/A</v>
      </c>
      <c r="R64" s="51" t="e">
        <f>LOOKUP(A64,'Base-D'!A:A,'Base-D'!AJ:AJ)</f>
        <v>#N/A</v>
      </c>
      <c r="S64" s="51">
        <f>LOOKUP(A64,'Base-D'!A:A,'Base-D'!BC:BC)</f>
        <v>0</v>
      </c>
      <c r="T64" s="51" t="e">
        <f>LOOKUP(A64,'Base-D'!A:A,'Base-D'!BD:BD)</f>
        <v>#N/A</v>
      </c>
      <c r="U64" s="51">
        <f>LOOKUP(A64,'Base-D'!A:A,'Base-D'!BE:BE)</f>
        <v>0</v>
      </c>
      <c r="V64" s="51" t="e">
        <f>LOOKUP(A64,'Base-D'!A:A,'Base-D'!BF:BF)</f>
        <v>#N/A</v>
      </c>
      <c r="W64" s="51" t="e">
        <f>LOOKUP(A64,'Base-D'!A:A,'Base-D'!AT:AT)</f>
        <v>#N/A</v>
      </c>
      <c r="X64" s="51">
        <f>LOOKUP(A64,'Base-D'!A:A,'Base-D'!AE:AE)</f>
        <v>0</v>
      </c>
      <c r="Y64" s="51">
        <f>LOOKUP(A64,'ورقة العمل'!A:A,'ورقة العمل'!F:F)</f>
        <v>0</v>
      </c>
      <c r="Z64" s="689">
        <f>LOOKUP(A64,'Base-D'!A:A,'Base-D'!S:S)</f>
        <v>0</v>
      </c>
      <c r="AA64" s="51">
        <f>LOOKUP(A64,'Base-D'!A:A,'Base-D'!N:N)</f>
        <v>0</v>
      </c>
      <c r="AG64" s="1124" t="str">
        <f t="shared" si="6"/>
        <v/>
      </c>
      <c r="AH64" s="1124" t="str">
        <f t="shared" si="7"/>
        <v/>
      </c>
      <c r="AI64" s="1124" t="str">
        <f t="shared" si="8"/>
        <v/>
      </c>
    </row>
    <row r="65" spans="1:35" ht="63" hidden="1" customHeight="1">
      <c r="A65" s="81">
        <f>'Base-D'!A52</f>
        <v>51</v>
      </c>
      <c r="B65" s="1118">
        <v>6</v>
      </c>
      <c r="C65" s="50" t="str">
        <f>LOOKUP(A65,'Base-D'!A:A,'Base-D'!AX:AX)</f>
        <v/>
      </c>
      <c r="D65" s="50" t="e">
        <f>LOOKUP(A65,'Base-D'!A:A,'Base-D'!AY:AY)</f>
        <v>#N/A</v>
      </c>
      <c r="E65" s="50">
        <f>LOOKUP(A65,'Base-D'!A:A,'Base-D'!R:R)</f>
        <v>0</v>
      </c>
      <c r="F65" s="51" t="e">
        <f t="shared" si="0"/>
        <v>#N/A</v>
      </c>
      <c r="G65" s="51">
        <f>LOOKUP(A65,'ورقة العمل'!A:A,'ورقة العمل'!E:E)</f>
        <v>0</v>
      </c>
      <c r="H65" s="51" t="e">
        <f>LOOKUP(A65,'Base-D'!A:A,'Base-D'!BK:BK)</f>
        <v>#N/A</v>
      </c>
      <c r="I65" s="51" t="e">
        <f>LOOKUP(A65,'Base-D'!A:A,'Base-D'!BM:BM)</f>
        <v>#N/A</v>
      </c>
      <c r="J65" s="51" t="e">
        <f t="shared" si="1"/>
        <v>#N/A</v>
      </c>
      <c r="K65" s="51">
        <f>LOOKUP(A65,'Base-D'!A:A,'Base-D'!BI:BI)</f>
        <v>0</v>
      </c>
      <c r="L65" s="51">
        <f>LOOKUP(A65,'Base-D'!A:A,'Base-D'!BG:BG)</f>
        <v>0</v>
      </c>
      <c r="M65" s="51">
        <f>LOOKUP(A65,'Base-D'!A:A,'Base-D'!BH:BH)</f>
        <v>0</v>
      </c>
      <c r="N65" s="51" t="e">
        <f t="shared" si="2"/>
        <v>#N/A</v>
      </c>
      <c r="O65" s="51" t="e">
        <f>LOOKUP(A65,'Base-D'!A:A,'Base-D'!AZ:AZ)</f>
        <v>#N/A</v>
      </c>
      <c r="P65" s="51" t="e">
        <f>LOOKUP(A65,'Base-D'!A:A,'Base-D'!AI:AI)</f>
        <v>#N/A</v>
      </c>
      <c r="Q65" s="51" t="e">
        <f>LOOKUP(A65,'Base-D'!A:A,'Base-D'!BB:BB)</f>
        <v>#N/A</v>
      </c>
      <c r="R65" s="51" t="e">
        <f>LOOKUP(A65,'Base-D'!A:A,'Base-D'!AJ:AJ)</f>
        <v>#N/A</v>
      </c>
      <c r="S65" s="51">
        <f>LOOKUP(A65,'Base-D'!A:A,'Base-D'!BC:BC)</f>
        <v>0</v>
      </c>
      <c r="T65" s="51" t="e">
        <f>LOOKUP(A65,'Base-D'!A:A,'Base-D'!BD:BD)</f>
        <v>#N/A</v>
      </c>
      <c r="U65" s="51">
        <f>LOOKUP(A65,'Base-D'!A:A,'Base-D'!BE:BE)</f>
        <v>0</v>
      </c>
      <c r="V65" s="51" t="e">
        <f>LOOKUP(A65,'Base-D'!A:A,'Base-D'!BF:BF)</f>
        <v>#N/A</v>
      </c>
      <c r="W65" s="51" t="e">
        <f>LOOKUP(A65,'Base-D'!A:A,'Base-D'!AT:AT)</f>
        <v>#N/A</v>
      </c>
      <c r="X65" s="51">
        <f>LOOKUP(A65,'Base-D'!A:A,'Base-D'!AE:AE)</f>
        <v>0</v>
      </c>
      <c r="Y65" s="51">
        <f>LOOKUP(A65,'ورقة العمل'!A:A,'ورقة العمل'!F:F)</f>
        <v>0</v>
      </c>
      <c r="Z65" s="689">
        <f>LOOKUP(A65,'Base-D'!A:A,'Base-D'!S:S)</f>
        <v>0</v>
      </c>
      <c r="AA65" s="51">
        <f>LOOKUP(A65,'Base-D'!A:A,'Base-D'!N:N)</f>
        <v>0</v>
      </c>
      <c r="AG65" s="1124" t="str">
        <f t="shared" si="6"/>
        <v/>
      </c>
      <c r="AH65" s="1124" t="str">
        <f t="shared" si="7"/>
        <v/>
      </c>
      <c r="AI65" s="1124" t="str">
        <f t="shared" si="8"/>
        <v/>
      </c>
    </row>
    <row r="66" spans="1:35" ht="63" hidden="1" customHeight="1">
      <c r="A66" s="81">
        <f>'Base-D'!A53</f>
        <v>52</v>
      </c>
      <c r="B66" s="1118">
        <v>7</v>
      </c>
      <c r="C66" s="50" t="str">
        <f>LOOKUP(A66,'Base-D'!A:A,'Base-D'!AX:AX)</f>
        <v/>
      </c>
      <c r="D66" s="50" t="e">
        <f>LOOKUP(A66,'Base-D'!A:A,'Base-D'!AY:AY)</f>
        <v>#N/A</v>
      </c>
      <c r="E66" s="50">
        <f>LOOKUP(A66,'Base-D'!A:A,'Base-D'!R:R)</f>
        <v>0</v>
      </c>
      <c r="F66" s="51" t="e">
        <f t="shared" si="0"/>
        <v>#N/A</v>
      </c>
      <c r="G66" s="51">
        <f>LOOKUP(A66,'ورقة العمل'!A:A,'ورقة العمل'!E:E)</f>
        <v>0</v>
      </c>
      <c r="H66" s="51" t="e">
        <f>LOOKUP(A66,'Base-D'!A:A,'Base-D'!BK:BK)</f>
        <v>#N/A</v>
      </c>
      <c r="I66" s="51" t="e">
        <f>LOOKUP(A66,'Base-D'!A:A,'Base-D'!BM:BM)</f>
        <v>#N/A</v>
      </c>
      <c r="J66" s="51" t="e">
        <f t="shared" si="1"/>
        <v>#N/A</v>
      </c>
      <c r="K66" s="51">
        <f>LOOKUP(A66,'Base-D'!A:A,'Base-D'!BI:BI)</f>
        <v>0</v>
      </c>
      <c r="L66" s="51">
        <f>LOOKUP(A66,'Base-D'!A:A,'Base-D'!BG:BG)</f>
        <v>0</v>
      </c>
      <c r="M66" s="51">
        <f>LOOKUP(A66,'Base-D'!A:A,'Base-D'!BH:BH)</f>
        <v>0</v>
      </c>
      <c r="N66" s="51" t="e">
        <f t="shared" si="2"/>
        <v>#N/A</v>
      </c>
      <c r="O66" s="51" t="e">
        <f>LOOKUP(A66,'Base-D'!A:A,'Base-D'!AZ:AZ)</f>
        <v>#N/A</v>
      </c>
      <c r="P66" s="51" t="e">
        <f>LOOKUP(A66,'Base-D'!A:A,'Base-D'!AI:AI)</f>
        <v>#N/A</v>
      </c>
      <c r="Q66" s="51" t="e">
        <f>LOOKUP(A66,'Base-D'!A:A,'Base-D'!BB:BB)</f>
        <v>#N/A</v>
      </c>
      <c r="R66" s="51" t="e">
        <f>LOOKUP(A66,'Base-D'!A:A,'Base-D'!AJ:AJ)</f>
        <v>#N/A</v>
      </c>
      <c r="S66" s="51">
        <f>LOOKUP(A66,'Base-D'!A:A,'Base-D'!BC:BC)</f>
        <v>0</v>
      </c>
      <c r="T66" s="51" t="e">
        <f>LOOKUP(A66,'Base-D'!A:A,'Base-D'!BD:BD)</f>
        <v>#N/A</v>
      </c>
      <c r="U66" s="51">
        <f>LOOKUP(A66,'Base-D'!A:A,'Base-D'!BE:BE)</f>
        <v>0</v>
      </c>
      <c r="V66" s="51" t="e">
        <f>LOOKUP(A66,'Base-D'!A:A,'Base-D'!BF:BF)</f>
        <v>#N/A</v>
      </c>
      <c r="W66" s="51" t="e">
        <f>LOOKUP(A66,'Base-D'!A:A,'Base-D'!AT:AT)</f>
        <v>#N/A</v>
      </c>
      <c r="X66" s="51">
        <f>LOOKUP(A66,'Base-D'!A:A,'Base-D'!AE:AE)</f>
        <v>0</v>
      </c>
      <c r="Y66" s="51">
        <f>LOOKUP(A66,'ورقة العمل'!A:A,'ورقة العمل'!F:F)</f>
        <v>0</v>
      </c>
      <c r="Z66" s="689">
        <f>LOOKUP(A66,'Base-D'!A:A,'Base-D'!S:S)</f>
        <v>0</v>
      </c>
      <c r="AA66" s="51">
        <f>LOOKUP(A66,'Base-D'!A:A,'Base-D'!N:N)</f>
        <v>0</v>
      </c>
      <c r="AG66" s="1124" t="str">
        <f t="shared" si="6"/>
        <v/>
      </c>
      <c r="AH66" s="1124" t="str">
        <f t="shared" si="7"/>
        <v/>
      </c>
      <c r="AI66" s="1124" t="str">
        <f t="shared" si="8"/>
        <v/>
      </c>
    </row>
    <row r="67" spans="1:35" ht="63" hidden="1" customHeight="1">
      <c r="A67" s="81">
        <f>'Base-D'!A54</f>
        <v>53</v>
      </c>
      <c r="B67" s="1118">
        <v>8</v>
      </c>
      <c r="C67" s="50" t="str">
        <f>LOOKUP(A67,'Base-D'!A:A,'Base-D'!AX:AX)</f>
        <v/>
      </c>
      <c r="D67" s="50" t="e">
        <f>LOOKUP(A67,'Base-D'!A:A,'Base-D'!AY:AY)</f>
        <v>#N/A</v>
      </c>
      <c r="E67" s="50">
        <f>LOOKUP(A67,'Base-D'!A:A,'Base-D'!R:R)</f>
        <v>0</v>
      </c>
      <c r="F67" s="51" t="e">
        <f t="shared" si="0"/>
        <v>#N/A</v>
      </c>
      <c r="G67" s="51">
        <f>LOOKUP(A67,'ورقة العمل'!A:A,'ورقة العمل'!E:E)</f>
        <v>0</v>
      </c>
      <c r="H67" s="51" t="e">
        <f>LOOKUP(A67,'Base-D'!A:A,'Base-D'!BK:BK)</f>
        <v>#N/A</v>
      </c>
      <c r="I67" s="51" t="e">
        <f>LOOKUP(A67,'Base-D'!A:A,'Base-D'!BM:BM)</f>
        <v>#N/A</v>
      </c>
      <c r="J67" s="51" t="e">
        <f t="shared" si="1"/>
        <v>#N/A</v>
      </c>
      <c r="K67" s="51">
        <f>LOOKUP(A67,'Base-D'!A:A,'Base-D'!BI:BI)</f>
        <v>0</v>
      </c>
      <c r="L67" s="51">
        <f>LOOKUP(A67,'Base-D'!A:A,'Base-D'!BG:BG)</f>
        <v>0</v>
      </c>
      <c r="M67" s="51">
        <f>LOOKUP(A67,'Base-D'!A:A,'Base-D'!BH:BH)</f>
        <v>0</v>
      </c>
      <c r="N67" s="51" t="e">
        <f t="shared" si="2"/>
        <v>#N/A</v>
      </c>
      <c r="O67" s="51" t="e">
        <f>LOOKUP(A67,'Base-D'!A:A,'Base-D'!AZ:AZ)</f>
        <v>#N/A</v>
      </c>
      <c r="P67" s="51" t="e">
        <f>LOOKUP(A67,'Base-D'!A:A,'Base-D'!AI:AI)</f>
        <v>#N/A</v>
      </c>
      <c r="Q67" s="51" t="e">
        <f>LOOKUP(A67,'Base-D'!A:A,'Base-D'!BB:BB)</f>
        <v>#N/A</v>
      </c>
      <c r="R67" s="51" t="e">
        <f>LOOKUP(A67,'Base-D'!A:A,'Base-D'!AJ:AJ)</f>
        <v>#N/A</v>
      </c>
      <c r="S67" s="51">
        <f>LOOKUP(A67,'Base-D'!A:A,'Base-D'!BC:BC)</f>
        <v>0</v>
      </c>
      <c r="T67" s="51" t="e">
        <f>LOOKUP(A67,'Base-D'!A:A,'Base-D'!BD:BD)</f>
        <v>#N/A</v>
      </c>
      <c r="U67" s="51">
        <f>LOOKUP(A67,'Base-D'!A:A,'Base-D'!BE:BE)</f>
        <v>0</v>
      </c>
      <c r="V67" s="51" t="e">
        <f>LOOKUP(A67,'Base-D'!A:A,'Base-D'!BF:BF)</f>
        <v>#N/A</v>
      </c>
      <c r="W67" s="51" t="e">
        <f>LOOKUP(A67,'Base-D'!A:A,'Base-D'!AT:AT)</f>
        <v>#N/A</v>
      </c>
      <c r="X67" s="51">
        <f>LOOKUP(A67,'Base-D'!A:A,'Base-D'!AE:AE)</f>
        <v>0</v>
      </c>
      <c r="Y67" s="51">
        <f>LOOKUP(A67,'ورقة العمل'!A:A,'ورقة العمل'!F:F)</f>
        <v>0</v>
      </c>
      <c r="Z67" s="689">
        <f>LOOKUP(A67,'Base-D'!A:A,'Base-D'!S:S)</f>
        <v>0</v>
      </c>
      <c r="AA67" s="51">
        <f>LOOKUP(A67,'Base-D'!A:A,'Base-D'!N:N)</f>
        <v>0</v>
      </c>
      <c r="AG67" s="1124" t="str">
        <f t="shared" si="6"/>
        <v/>
      </c>
      <c r="AH67" s="1124" t="str">
        <f t="shared" si="7"/>
        <v/>
      </c>
      <c r="AI67" s="1124" t="str">
        <f t="shared" si="8"/>
        <v/>
      </c>
    </row>
    <row r="68" spans="1:35" ht="63" hidden="1" customHeight="1">
      <c r="A68" s="81">
        <f>'Base-D'!A55</f>
        <v>54</v>
      </c>
      <c r="B68" s="1118">
        <v>30</v>
      </c>
      <c r="C68" s="50" t="str">
        <f>LOOKUP(A68,'Base-D'!A:A,'Base-D'!AX:AX)</f>
        <v/>
      </c>
      <c r="D68" s="50" t="e">
        <f>LOOKUP(A68,'Base-D'!A:A,'Base-D'!AY:AY)</f>
        <v>#N/A</v>
      </c>
      <c r="E68" s="50">
        <f>LOOKUP(A68,'Base-D'!A:A,'Base-D'!R:R)</f>
        <v>0</v>
      </c>
      <c r="F68" s="51" t="e">
        <f t="shared" si="0"/>
        <v>#N/A</v>
      </c>
      <c r="G68" s="51">
        <f>LOOKUP(A68,'ورقة العمل'!A:A,'ورقة العمل'!E:E)</f>
        <v>0</v>
      </c>
      <c r="H68" s="51" t="e">
        <f>LOOKUP(A68,'Base-D'!A:A,'Base-D'!BK:BK)</f>
        <v>#N/A</v>
      </c>
      <c r="I68" s="51" t="e">
        <f>LOOKUP(A68,'Base-D'!A:A,'Base-D'!BM:BM)</f>
        <v>#N/A</v>
      </c>
      <c r="J68" s="51" t="e">
        <f t="shared" si="1"/>
        <v>#N/A</v>
      </c>
      <c r="K68" s="51">
        <f>LOOKUP(A68,'Base-D'!A:A,'Base-D'!BI:BI)</f>
        <v>0</v>
      </c>
      <c r="L68" s="51">
        <f>LOOKUP(A68,'Base-D'!A:A,'Base-D'!BG:BG)</f>
        <v>0</v>
      </c>
      <c r="M68" s="51">
        <f>LOOKUP(A68,'Base-D'!A:A,'Base-D'!BH:BH)</f>
        <v>0</v>
      </c>
      <c r="N68" s="51" t="e">
        <f t="shared" si="2"/>
        <v>#N/A</v>
      </c>
      <c r="O68" s="51" t="e">
        <f>LOOKUP(A68,'Base-D'!A:A,'Base-D'!AZ:AZ)</f>
        <v>#N/A</v>
      </c>
      <c r="P68" s="51" t="e">
        <f>LOOKUP(A68,'Base-D'!A:A,'Base-D'!AI:AI)</f>
        <v>#N/A</v>
      </c>
      <c r="Q68" s="51" t="e">
        <f>LOOKUP(A68,'Base-D'!A:A,'Base-D'!BB:BB)</f>
        <v>#N/A</v>
      </c>
      <c r="R68" s="51" t="e">
        <f>LOOKUP(A68,'Base-D'!A:A,'Base-D'!AJ:AJ)</f>
        <v>#N/A</v>
      </c>
      <c r="S68" s="51">
        <f>LOOKUP(A68,'Base-D'!A:A,'Base-D'!BC:BC)</f>
        <v>0</v>
      </c>
      <c r="T68" s="51" t="e">
        <f>LOOKUP(A68,'Base-D'!A:A,'Base-D'!BD:BD)</f>
        <v>#N/A</v>
      </c>
      <c r="U68" s="51">
        <f>LOOKUP(A68,'Base-D'!A:A,'Base-D'!BE:BE)</f>
        <v>0</v>
      </c>
      <c r="V68" s="51" t="e">
        <f>LOOKUP(A68,'Base-D'!A:A,'Base-D'!BF:BF)</f>
        <v>#N/A</v>
      </c>
      <c r="W68" s="51" t="e">
        <f>LOOKUP(A68,'Base-D'!A:A,'Base-D'!AT:AT)</f>
        <v>#N/A</v>
      </c>
      <c r="X68" s="51">
        <f>LOOKUP(A68,'Base-D'!A:A,'Base-D'!AE:AE)</f>
        <v>0</v>
      </c>
      <c r="Y68" s="51">
        <f>LOOKUP(A68,'ورقة العمل'!A:A,'ورقة العمل'!F:F)</f>
        <v>0</v>
      </c>
      <c r="Z68" s="689">
        <f>LOOKUP(A68,'Base-D'!A:A,'Base-D'!S:S)</f>
        <v>0</v>
      </c>
      <c r="AA68" s="51">
        <f>LOOKUP(A68,'Base-D'!A:A,'Base-D'!N:N)</f>
        <v>0</v>
      </c>
      <c r="AG68" s="1124" t="str">
        <f t="shared" si="6"/>
        <v/>
      </c>
      <c r="AH68" s="1124" t="str">
        <f t="shared" si="7"/>
        <v/>
      </c>
      <c r="AI68" s="1124" t="str">
        <f t="shared" si="8"/>
        <v/>
      </c>
    </row>
    <row r="69" spans="1:35" ht="63" hidden="1" customHeight="1">
      <c r="A69" s="81">
        <f>'Base-D'!A56</f>
        <v>55</v>
      </c>
      <c r="B69" s="1118">
        <v>4</v>
      </c>
      <c r="C69" s="50" t="str">
        <f>LOOKUP(A69,'Base-D'!A:A,'Base-D'!AX:AX)</f>
        <v/>
      </c>
      <c r="D69" s="50" t="e">
        <f>LOOKUP(A69,'Base-D'!A:A,'Base-D'!AY:AY)</f>
        <v>#N/A</v>
      </c>
      <c r="E69" s="50">
        <f>LOOKUP(A69,'Base-D'!A:A,'Base-D'!R:R)</f>
        <v>0</v>
      </c>
      <c r="F69" s="51" t="e">
        <f t="shared" si="0"/>
        <v>#N/A</v>
      </c>
      <c r="G69" s="51">
        <f>LOOKUP(A69,'ورقة العمل'!A:A,'ورقة العمل'!E:E)</f>
        <v>0</v>
      </c>
      <c r="H69" s="51" t="e">
        <f>LOOKUP(A69,'Base-D'!A:A,'Base-D'!BK:BK)</f>
        <v>#N/A</v>
      </c>
      <c r="I69" s="51" t="e">
        <f>LOOKUP(A69,'Base-D'!A:A,'Base-D'!BM:BM)</f>
        <v>#N/A</v>
      </c>
      <c r="J69" s="51" t="e">
        <f t="shared" si="1"/>
        <v>#N/A</v>
      </c>
      <c r="K69" s="51">
        <f>LOOKUP(A69,'Base-D'!A:A,'Base-D'!BI:BI)</f>
        <v>0</v>
      </c>
      <c r="L69" s="51">
        <f>LOOKUP(A69,'Base-D'!A:A,'Base-D'!BG:BG)</f>
        <v>0</v>
      </c>
      <c r="M69" s="51">
        <f>LOOKUP(A69,'Base-D'!A:A,'Base-D'!BH:BH)</f>
        <v>0</v>
      </c>
      <c r="N69" s="51" t="e">
        <f t="shared" si="2"/>
        <v>#N/A</v>
      </c>
      <c r="O69" s="51" t="e">
        <f>LOOKUP(A69,'Base-D'!A:A,'Base-D'!AZ:AZ)</f>
        <v>#N/A</v>
      </c>
      <c r="P69" s="51" t="e">
        <f>LOOKUP(A69,'Base-D'!A:A,'Base-D'!AI:AI)</f>
        <v>#N/A</v>
      </c>
      <c r="Q69" s="51" t="e">
        <f>LOOKUP(A69,'Base-D'!A:A,'Base-D'!BB:BB)</f>
        <v>#N/A</v>
      </c>
      <c r="R69" s="51" t="e">
        <f>LOOKUP(A69,'Base-D'!A:A,'Base-D'!AJ:AJ)</f>
        <v>#N/A</v>
      </c>
      <c r="S69" s="51">
        <f>LOOKUP(A69,'Base-D'!A:A,'Base-D'!BC:BC)</f>
        <v>0</v>
      </c>
      <c r="T69" s="51" t="e">
        <f>LOOKUP(A69,'Base-D'!A:A,'Base-D'!BD:BD)</f>
        <v>#N/A</v>
      </c>
      <c r="U69" s="51">
        <f>LOOKUP(A69,'Base-D'!A:A,'Base-D'!BE:BE)</f>
        <v>0</v>
      </c>
      <c r="V69" s="51" t="e">
        <f>LOOKUP(A69,'Base-D'!A:A,'Base-D'!BF:BF)</f>
        <v>#N/A</v>
      </c>
      <c r="W69" s="51" t="e">
        <f>LOOKUP(A69,'Base-D'!A:A,'Base-D'!AT:AT)</f>
        <v>#N/A</v>
      </c>
      <c r="X69" s="51">
        <f>LOOKUP(A69,'Base-D'!A:A,'Base-D'!AE:AE)</f>
        <v>0</v>
      </c>
      <c r="Y69" s="51">
        <f>LOOKUP(A69,'ورقة العمل'!A:A,'ورقة العمل'!F:F)</f>
        <v>0</v>
      </c>
      <c r="Z69" s="689">
        <f>LOOKUP(A69,'Base-D'!A:A,'Base-D'!S:S)</f>
        <v>0</v>
      </c>
      <c r="AA69" s="51">
        <f>LOOKUP(A69,'Base-D'!A:A,'Base-D'!N:N)</f>
        <v>0</v>
      </c>
      <c r="AG69" s="1124" t="str">
        <f t="shared" si="6"/>
        <v/>
      </c>
      <c r="AH69" s="1124" t="str">
        <f t="shared" si="7"/>
        <v/>
      </c>
      <c r="AI69" s="1124" t="str">
        <f t="shared" si="8"/>
        <v/>
      </c>
    </row>
    <row r="70" spans="1:35" ht="63" hidden="1" customHeight="1">
      <c r="A70" s="81">
        <f>'Base-D'!A57</f>
        <v>56</v>
      </c>
      <c r="B70" s="1118">
        <v>9</v>
      </c>
      <c r="C70" s="50" t="str">
        <f>LOOKUP(A70,'Base-D'!A:A,'Base-D'!AX:AX)</f>
        <v/>
      </c>
      <c r="D70" s="50" t="e">
        <f>LOOKUP(A70,'Base-D'!A:A,'Base-D'!AY:AY)</f>
        <v>#N/A</v>
      </c>
      <c r="E70" s="50">
        <f>LOOKUP(A70,'Base-D'!A:A,'Base-D'!R:R)</f>
        <v>0</v>
      </c>
      <c r="F70" s="51" t="e">
        <f t="shared" si="0"/>
        <v>#N/A</v>
      </c>
      <c r="G70" s="51">
        <f>LOOKUP(A70,'ورقة العمل'!A:A,'ورقة العمل'!E:E)</f>
        <v>0</v>
      </c>
      <c r="H70" s="51" t="e">
        <f>LOOKUP(A70,'Base-D'!A:A,'Base-D'!BK:BK)</f>
        <v>#N/A</v>
      </c>
      <c r="I70" s="51" t="e">
        <f>LOOKUP(A70,'Base-D'!A:A,'Base-D'!BM:BM)</f>
        <v>#N/A</v>
      </c>
      <c r="J70" s="51" t="e">
        <f t="shared" si="1"/>
        <v>#N/A</v>
      </c>
      <c r="K70" s="51">
        <f>LOOKUP(A70,'Base-D'!A:A,'Base-D'!BI:BI)</f>
        <v>0</v>
      </c>
      <c r="L70" s="51">
        <f>LOOKUP(A70,'Base-D'!A:A,'Base-D'!BG:BG)</f>
        <v>0</v>
      </c>
      <c r="M70" s="51">
        <f>LOOKUP(A70,'Base-D'!A:A,'Base-D'!BH:BH)</f>
        <v>0</v>
      </c>
      <c r="N70" s="51" t="e">
        <f t="shared" si="2"/>
        <v>#N/A</v>
      </c>
      <c r="O70" s="51" t="e">
        <f>LOOKUP(A70,'Base-D'!A:A,'Base-D'!AZ:AZ)</f>
        <v>#N/A</v>
      </c>
      <c r="P70" s="51" t="e">
        <f>LOOKUP(A70,'Base-D'!A:A,'Base-D'!AI:AI)</f>
        <v>#N/A</v>
      </c>
      <c r="Q70" s="51" t="e">
        <f>LOOKUP(A70,'Base-D'!A:A,'Base-D'!BB:BB)</f>
        <v>#N/A</v>
      </c>
      <c r="R70" s="51" t="e">
        <f>LOOKUP(A70,'Base-D'!A:A,'Base-D'!AJ:AJ)</f>
        <v>#N/A</v>
      </c>
      <c r="S70" s="51">
        <f>LOOKUP(A70,'Base-D'!A:A,'Base-D'!BC:BC)</f>
        <v>0</v>
      </c>
      <c r="T70" s="51" t="e">
        <f>LOOKUP(A70,'Base-D'!A:A,'Base-D'!BD:BD)</f>
        <v>#N/A</v>
      </c>
      <c r="U70" s="51">
        <f>LOOKUP(A70,'Base-D'!A:A,'Base-D'!BE:BE)</f>
        <v>0</v>
      </c>
      <c r="V70" s="51" t="e">
        <f>LOOKUP(A70,'Base-D'!A:A,'Base-D'!BF:BF)</f>
        <v>#N/A</v>
      </c>
      <c r="W70" s="51" t="e">
        <f>LOOKUP(A70,'Base-D'!A:A,'Base-D'!AT:AT)</f>
        <v>#N/A</v>
      </c>
      <c r="X70" s="51">
        <f>LOOKUP(A70,'Base-D'!A:A,'Base-D'!AE:AE)</f>
        <v>0</v>
      </c>
      <c r="Y70" s="51">
        <f>LOOKUP(A70,'ورقة العمل'!A:A,'ورقة العمل'!F:F)</f>
        <v>0</v>
      </c>
      <c r="Z70" s="689">
        <f>LOOKUP(A70,'Base-D'!A:A,'Base-D'!S:S)</f>
        <v>0</v>
      </c>
      <c r="AA70" s="51">
        <f>LOOKUP(A70,'Base-D'!A:A,'Base-D'!N:N)</f>
        <v>0</v>
      </c>
      <c r="AG70" s="1124" t="str">
        <f t="shared" si="6"/>
        <v/>
      </c>
      <c r="AH70" s="1124" t="str">
        <f t="shared" si="7"/>
        <v/>
      </c>
      <c r="AI70" s="1124" t="str">
        <f t="shared" si="8"/>
        <v/>
      </c>
    </row>
    <row r="71" spans="1:35" ht="63" hidden="1" customHeight="1">
      <c r="A71" s="81">
        <f>'Base-D'!A58</f>
        <v>57</v>
      </c>
      <c r="B71" s="1118">
        <v>13</v>
      </c>
      <c r="C71" s="50" t="str">
        <f>LOOKUP(A71,'Base-D'!A:A,'Base-D'!AX:AX)</f>
        <v/>
      </c>
      <c r="D71" s="50" t="e">
        <f>LOOKUP(A71,'Base-D'!A:A,'Base-D'!AY:AY)</f>
        <v>#N/A</v>
      </c>
      <c r="E71" s="50">
        <f>LOOKUP(A71,'Base-D'!A:A,'Base-D'!R:R)</f>
        <v>0</v>
      </c>
      <c r="F71" s="51" t="e">
        <f t="shared" si="0"/>
        <v>#N/A</v>
      </c>
      <c r="G71" s="51">
        <f>LOOKUP(A71,'ورقة العمل'!A:A,'ورقة العمل'!E:E)</f>
        <v>0</v>
      </c>
      <c r="H71" s="51" t="e">
        <f>LOOKUP(A71,'Base-D'!A:A,'Base-D'!BK:BK)</f>
        <v>#N/A</v>
      </c>
      <c r="I71" s="51" t="e">
        <f>LOOKUP(A71,'Base-D'!A:A,'Base-D'!BM:BM)</f>
        <v>#N/A</v>
      </c>
      <c r="J71" s="51" t="e">
        <f t="shared" si="1"/>
        <v>#N/A</v>
      </c>
      <c r="K71" s="51">
        <f>LOOKUP(A71,'Base-D'!A:A,'Base-D'!BI:BI)</f>
        <v>0</v>
      </c>
      <c r="L71" s="51">
        <f>LOOKUP(A71,'Base-D'!A:A,'Base-D'!BG:BG)</f>
        <v>0</v>
      </c>
      <c r="M71" s="51">
        <f>LOOKUP(A71,'Base-D'!A:A,'Base-D'!BH:BH)</f>
        <v>0</v>
      </c>
      <c r="N71" s="51" t="e">
        <f t="shared" si="2"/>
        <v>#N/A</v>
      </c>
      <c r="O71" s="51" t="e">
        <f>LOOKUP(A71,'Base-D'!A:A,'Base-D'!AZ:AZ)</f>
        <v>#N/A</v>
      </c>
      <c r="P71" s="51" t="e">
        <f>LOOKUP(A71,'Base-D'!A:A,'Base-D'!AI:AI)</f>
        <v>#N/A</v>
      </c>
      <c r="Q71" s="51" t="e">
        <f>LOOKUP(A71,'Base-D'!A:A,'Base-D'!BB:BB)</f>
        <v>#N/A</v>
      </c>
      <c r="R71" s="51" t="e">
        <f>LOOKUP(A71,'Base-D'!A:A,'Base-D'!AJ:AJ)</f>
        <v>#N/A</v>
      </c>
      <c r="S71" s="51">
        <f>LOOKUP(A71,'Base-D'!A:A,'Base-D'!BC:BC)</f>
        <v>0</v>
      </c>
      <c r="T71" s="51" t="e">
        <f>LOOKUP(A71,'Base-D'!A:A,'Base-D'!BD:BD)</f>
        <v>#N/A</v>
      </c>
      <c r="U71" s="51">
        <f>LOOKUP(A71,'Base-D'!A:A,'Base-D'!BE:BE)</f>
        <v>0</v>
      </c>
      <c r="V71" s="51" t="e">
        <f>LOOKUP(A71,'Base-D'!A:A,'Base-D'!BF:BF)</f>
        <v>#N/A</v>
      </c>
      <c r="W71" s="51" t="e">
        <f>LOOKUP(A71,'Base-D'!A:A,'Base-D'!AT:AT)</f>
        <v>#N/A</v>
      </c>
      <c r="X71" s="51">
        <f>LOOKUP(A71,'Base-D'!A:A,'Base-D'!AE:AE)</f>
        <v>0</v>
      </c>
      <c r="Y71" s="51">
        <f>LOOKUP(A71,'ورقة العمل'!A:A,'ورقة العمل'!F:F)</f>
        <v>0</v>
      </c>
      <c r="Z71" s="689">
        <f>LOOKUP(A71,'Base-D'!A:A,'Base-D'!S:S)</f>
        <v>0</v>
      </c>
      <c r="AA71" s="51">
        <f>LOOKUP(A71,'Base-D'!A:A,'Base-D'!N:N)</f>
        <v>0</v>
      </c>
      <c r="AG71" s="1124" t="str">
        <f t="shared" si="6"/>
        <v/>
      </c>
      <c r="AH71" s="1124" t="str">
        <f t="shared" si="7"/>
        <v/>
      </c>
      <c r="AI71" s="1124" t="str">
        <f t="shared" si="8"/>
        <v/>
      </c>
    </row>
    <row r="72" spans="1:35" ht="63" hidden="1" customHeight="1">
      <c r="A72" s="81">
        <f>'Base-D'!A59</f>
        <v>58</v>
      </c>
      <c r="B72" s="1118">
        <v>31</v>
      </c>
      <c r="C72" s="50" t="str">
        <f>LOOKUP(A72,'Base-D'!A:A,'Base-D'!AX:AX)</f>
        <v/>
      </c>
      <c r="D72" s="50" t="e">
        <f>LOOKUP(A72,'Base-D'!A:A,'Base-D'!AY:AY)</f>
        <v>#N/A</v>
      </c>
      <c r="E72" s="50">
        <f>LOOKUP(A72,'Base-D'!A:A,'Base-D'!R:R)</f>
        <v>0</v>
      </c>
      <c r="F72" s="51" t="e">
        <f t="shared" si="0"/>
        <v>#N/A</v>
      </c>
      <c r="G72" s="51">
        <f>LOOKUP(A72,'ورقة العمل'!A:A,'ورقة العمل'!E:E)</f>
        <v>0</v>
      </c>
      <c r="H72" s="51" t="e">
        <f>LOOKUP(A72,'Base-D'!A:A,'Base-D'!BK:BK)</f>
        <v>#N/A</v>
      </c>
      <c r="I72" s="51" t="e">
        <f>LOOKUP(A72,'Base-D'!A:A,'Base-D'!BM:BM)</f>
        <v>#N/A</v>
      </c>
      <c r="J72" s="51" t="e">
        <f t="shared" si="1"/>
        <v>#N/A</v>
      </c>
      <c r="K72" s="51">
        <f>LOOKUP(A72,'Base-D'!A:A,'Base-D'!BI:BI)</f>
        <v>0</v>
      </c>
      <c r="L72" s="51">
        <f>LOOKUP(A72,'Base-D'!A:A,'Base-D'!BG:BG)</f>
        <v>0</v>
      </c>
      <c r="M72" s="51">
        <f>LOOKUP(A72,'Base-D'!A:A,'Base-D'!BH:BH)</f>
        <v>0</v>
      </c>
      <c r="N72" s="51" t="e">
        <f t="shared" si="2"/>
        <v>#N/A</v>
      </c>
      <c r="O72" s="51" t="e">
        <f>LOOKUP(A72,'Base-D'!A:A,'Base-D'!AZ:AZ)</f>
        <v>#N/A</v>
      </c>
      <c r="P72" s="51" t="e">
        <f>LOOKUP(A72,'Base-D'!A:A,'Base-D'!AI:AI)</f>
        <v>#N/A</v>
      </c>
      <c r="Q72" s="51" t="e">
        <f>LOOKUP(A72,'Base-D'!A:A,'Base-D'!BB:BB)</f>
        <v>#N/A</v>
      </c>
      <c r="R72" s="51" t="e">
        <f>LOOKUP(A72,'Base-D'!A:A,'Base-D'!AJ:AJ)</f>
        <v>#N/A</v>
      </c>
      <c r="S72" s="51">
        <f>LOOKUP(A72,'Base-D'!A:A,'Base-D'!BC:BC)</f>
        <v>0</v>
      </c>
      <c r="T72" s="51" t="e">
        <f>LOOKUP(A72,'Base-D'!A:A,'Base-D'!BD:BD)</f>
        <v>#N/A</v>
      </c>
      <c r="U72" s="51">
        <f>LOOKUP(A72,'Base-D'!A:A,'Base-D'!BE:BE)</f>
        <v>0</v>
      </c>
      <c r="V72" s="51" t="e">
        <f>LOOKUP(A72,'Base-D'!A:A,'Base-D'!BF:BF)</f>
        <v>#N/A</v>
      </c>
      <c r="W72" s="51" t="e">
        <f>LOOKUP(A72,'Base-D'!A:A,'Base-D'!AT:AT)</f>
        <v>#N/A</v>
      </c>
      <c r="X72" s="51">
        <f>LOOKUP(A72,'Base-D'!A:A,'Base-D'!AE:AE)</f>
        <v>0</v>
      </c>
      <c r="Y72" s="51">
        <f>LOOKUP(A72,'ورقة العمل'!A:A,'ورقة العمل'!F:F)</f>
        <v>0</v>
      </c>
      <c r="Z72" s="689">
        <f>LOOKUP(A72,'Base-D'!A:A,'Base-D'!S:S)</f>
        <v>0</v>
      </c>
      <c r="AA72" s="51">
        <f>LOOKUP(A72,'Base-D'!A:A,'Base-D'!N:N)</f>
        <v>0</v>
      </c>
      <c r="AG72" s="1124" t="str">
        <f t="shared" si="6"/>
        <v/>
      </c>
      <c r="AH72" s="1124" t="str">
        <f t="shared" si="7"/>
        <v/>
      </c>
      <c r="AI72" s="1124" t="str">
        <f t="shared" si="8"/>
        <v/>
      </c>
    </row>
    <row r="73" spans="1:35" ht="63" hidden="1" customHeight="1">
      <c r="A73" s="81">
        <f>'Base-D'!A60</f>
        <v>59</v>
      </c>
      <c r="B73" s="1118">
        <v>10</v>
      </c>
      <c r="C73" s="50" t="str">
        <f>LOOKUP(A73,'Base-D'!A:A,'Base-D'!AX:AX)</f>
        <v/>
      </c>
      <c r="D73" s="50" t="e">
        <f>LOOKUP(A73,'Base-D'!A:A,'Base-D'!AY:AY)</f>
        <v>#N/A</v>
      </c>
      <c r="E73" s="50">
        <f>LOOKUP(A73,'Base-D'!A:A,'Base-D'!R:R)</f>
        <v>0</v>
      </c>
      <c r="F73" s="51" t="e">
        <f t="shared" si="0"/>
        <v>#N/A</v>
      </c>
      <c r="G73" s="51">
        <f>LOOKUP(A73,'ورقة العمل'!A:A,'ورقة العمل'!E:E)</f>
        <v>0</v>
      </c>
      <c r="H73" s="51" t="e">
        <f>LOOKUP(A73,'Base-D'!A:A,'Base-D'!BK:BK)</f>
        <v>#N/A</v>
      </c>
      <c r="I73" s="51" t="e">
        <f>LOOKUP(A73,'Base-D'!A:A,'Base-D'!BM:BM)</f>
        <v>#N/A</v>
      </c>
      <c r="J73" s="51" t="e">
        <f t="shared" si="1"/>
        <v>#N/A</v>
      </c>
      <c r="K73" s="51">
        <f>LOOKUP(A73,'Base-D'!A:A,'Base-D'!BI:BI)</f>
        <v>0</v>
      </c>
      <c r="L73" s="51">
        <f>LOOKUP(A73,'Base-D'!A:A,'Base-D'!BG:BG)</f>
        <v>0</v>
      </c>
      <c r="M73" s="51">
        <f>LOOKUP(A73,'Base-D'!A:A,'Base-D'!BH:BH)</f>
        <v>0</v>
      </c>
      <c r="N73" s="51" t="e">
        <f t="shared" si="2"/>
        <v>#N/A</v>
      </c>
      <c r="O73" s="51" t="e">
        <f>LOOKUP(A73,'Base-D'!A:A,'Base-D'!AZ:AZ)</f>
        <v>#N/A</v>
      </c>
      <c r="P73" s="51" t="e">
        <f>LOOKUP(A73,'Base-D'!A:A,'Base-D'!AI:AI)</f>
        <v>#N/A</v>
      </c>
      <c r="Q73" s="51" t="e">
        <f>LOOKUP(A73,'Base-D'!A:A,'Base-D'!BB:BB)</f>
        <v>#N/A</v>
      </c>
      <c r="R73" s="51" t="e">
        <f>LOOKUP(A73,'Base-D'!A:A,'Base-D'!AJ:AJ)</f>
        <v>#N/A</v>
      </c>
      <c r="S73" s="51">
        <f>LOOKUP(A73,'Base-D'!A:A,'Base-D'!BC:BC)</f>
        <v>0</v>
      </c>
      <c r="T73" s="51" t="e">
        <f>LOOKUP(A73,'Base-D'!A:A,'Base-D'!BD:BD)</f>
        <v>#N/A</v>
      </c>
      <c r="U73" s="51">
        <f>LOOKUP(A73,'Base-D'!A:A,'Base-D'!BE:BE)</f>
        <v>0</v>
      </c>
      <c r="V73" s="51" t="e">
        <f>LOOKUP(A73,'Base-D'!A:A,'Base-D'!BF:BF)</f>
        <v>#N/A</v>
      </c>
      <c r="W73" s="51" t="e">
        <f>LOOKUP(A73,'Base-D'!A:A,'Base-D'!AT:AT)</f>
        <v>#N/A</v>
      </c>
      <c r="X73" s="51">
        <f>LOOKUP(A73,'Base-D'!A:A,'Base-D'!AE:AE)</f>
        <v>0</v>
      </c>
      <c r="Y73" s="51">
        <f>LOOKUP(A73,'ورقة العمل'!A:A,'ورقة العمل'!F:F)</f>
        <v>0</v>
      </c>
      <c r="Z73" s="689">
        <f>LOOKUP(A73,'Base-D'!A:A,'Base-D'!S:S)</f>
        <v>0</v>
      </c>
      <c r="AA73" s="51">
        <f>LOOKUP(A73,'Base-D'!A:A,'Base-D'!N:N)</f>
        <v>0</v>
      </c>
      <c r="AG73" s="1124" t="str">
        <f t="shared" si="6"/>
        <v/>
      </c>
      <c r="AH73" s="1124" t="str">
        <f t="shared" si="7"/>
        <v/>
      </c>
      <c r="AI73" s="1124" t="str">
        <f t="shared" si="8"/>
        <v/>
      </c>
    </row>
    <row r="74" spans="1:35" ht="63" hidden="1" customHeight="1">
      <c r="A74" s="81">
        <f>'Base-D'!A61</f>
        <v>60</v>
      </c>
      <c r="B74" s="1118">
        <v>11</v>
      </c>
      <c r="C74" s="50" t="str">
        <f>LOOKUP(A74,'Base-D'!A:A,'Base-D'!AX:AX)</f>
        <v/>
      </c>
      <c r="D74" s="50" t="e">
        <f>LOOKUP(A74,'Base-D'!A:A,'Base-D'!AY:AY)</f>
        <v>#N/A</v>
      </c>
      <c r="E74" s="50">
        <f>LOOKUP(A74,'Base-D'!A:A,'Base-D'!R:R)</f>
        <v>0</v>
      </c>
      <c r="F74" s="51" t="e">
        <f t="shared" si="0"/>
        <v>#N/A</v>
      </c>
      <c r="G74" s="51">
        <f>LOOKUP(A74,'ورقة العمل'!A:A,'ورقة العمل'!E:E)</f>
        <v>0</v>
      </c>
      <c r="H74" s="51" t="e">
        <f>LOOKUP(A74,'Base-D'!A:A,'Base-D'!BK:BK)</f>
        <v>#N/A</v>
      </c>
      <c r="I74" s="51" t="e">
        <f>LOOKUP(A74,'Base-D'!A:A,'Base-D'!BM:BM)</f>
        <v>#N/A</v>
      </c>
      <c r="J74" s="51" t="e">
        <f t="shared" si="1"/>
        <v>#N/A</v>
      </c>
      <c r="K74" s="51">
        <f>LOOKUP(A74,'Base-D'!A:A,'Base-D'!BI:BI)</f>
        <v>0</v>
      </c>
      <c r="L74" s="51">
        <f>LOOKUP(A74,'Base-D'!A:A,'Base-D'!BG:BG)</f>
        <v>0</v>
      </c>
      <c r="M74" s="51">
        <f>LOOKUP(A74,'Base-D'!A:A,'Base-D'!BH:BH)</f>
        <v>0</v>
      </c>
      <c r="N74" s="51" t="e">
        <f t="shared" si="2"/>
        <v>#N/A</v>
      </c>
      <c r="O74" s="51" t="e">
        <f>LOOKUP(A74,'Base-D'!A:A,'Base-D'!AZ:AZ)</f>
        <v>#N/A</v>
      </c>
      <c r="P74" s="51" t="e">
        <f>LOOKUP(A74,'Base-D'!A:A,'Base-D'!AI:AI)</f>
        <v>#N/A</v>
      </c>
      <c r="Q74" s="51" t="e">
        <f>LOOKUP(A74,'Base-D'!A:A,'Base-D'!BB:BB)</f>
        <v>#N/A</v>
      </c>
      <c r="R74" s="51" t="e">
        <f>LOOKUP(A74,'Base-D'!A:A,'Base-D'!AJ:AJ)</f>
        <v>#N/A</v>
      </c>
      <c r="S74" s="51">
        <f>LOOKUP(A74,'Base-D'!A:A,'Base-D'!BC:BC)</f>
        <v>0</v>
      </c>
      <c r="T74" s="51" t="e">
        <f>LOOKUP(A74,'Base-D'!A:A,'Base-D'!BD:BD)</f>
        <v>#N/A</v>
      </c>
      <c r="U74" s="51">
        <f>LOOKUP(A74,'Base-D'!A:A,'Base-D'!BE:BE)</f>
        <v>0</v>
      </c>
      <c r="V74" s="51" t="e">
        <f>LOOKUP(A74,'Base-D'!A:A,'Base-D'!BF:BF)</f>
        <v>#N/A</v>
      </c>
      <c r="W74" s="51" t="e">
        <f>LOOKUP(A74,'Base-D'!A:A,'Base-D'!AT:AT)</f>
        <v>#N/A</v>
      </c>
      <c r="X74" s="51">
        <f>LOOKUP(A74,'Base-D'!A:A,'Base-D'!AE:AE)</f>
        <v>0</v>
      </c>
      <c r="Y74" s="51">
        <f>LOOKUP(A74,'ورقة العمل'!A:A,'ورقة العمل'!F:F)</f>
        <v>0</v>
      </c>
      <c r="Z74" s="689">
        <f>LOOKUP(A74,'Base-D'!A:A,'Base-D'!S:S)</f>
        <v>0</v>
      </c>
      <c r="AA74" s="51">
        <f>LOOKUP(A74,'Base-D'!A:A,'Base-D'!N:N)</f>
        <v>0</v>
      </c>
      <c r="AG74" s="1124" t="str">
        <f t="shared" si="6"/>
        <v/>
      </c>
      <c r="AH74" s="1124" t="str">
        <f t="shared" si="7"/>
        <v/>
      </c>
      <c r="AI74" s="1124" t="str">
        <f t="shared" si="8"/>
        <v/>
      </c>
    </row>
    <row r="75" spans="1:35" ht="63" hidden="1" customHeight="1">
      <c r="A75" s="81">
        <f>'Base-D'!A62</f>
        <v>61</v>
      </c>
      <c r="B75" s="1118">
        <v>32</v>
      </c>
      <c r="C75" s="50" t="str">
        <f>LOOKUP(A75,'Base-D'!A:A,'Base-D'!AX:AX)</f>
        <v/>
      </c>
      <c r="D75" s="50" t="e">
        <f>LOOKUP(A75,'Base-D'!A:A,'Base-D'!AY:AY)</f>
        <v>#N/A</v>
      </c>
      <c r="E75" s="50">
        <f>LOOKUP(A75,'Base-D'!A:A,'Base-D'!R:R)</f>
        <v>0</v>
      </c>
      <c r="F75" s="51" t="e">
        <f t="shared" si="0"/>
        <v>#N/A</v>
      </c>
      <c r="G75" s="51">
        <f>LOOKUP(A75,'ورقة العمل'!A:A,'ورقة العمل'!E:E)</f>
        <v>0</v>
      </c>
      <c r="H75" s="51" t="e">
        <f>LOOKUP(A75,'Base-D'!A:A,'Base-D'!BK:BK)</f>
        <v>#N/A</v>
      </c>
      <c r="I75" s="51" t="e">
        <f>LOOKUP(A75,'Base-D'!A:A,'Base-D'!BM:BM)</f>
        <v>#N/A</v>
      </c>
      <c r="J75" s="51" t="e">
        <f t="shared" si="1"/>
        <v>#N/A</v>
      </c>
      <c r="K75" s="51">
        <f>LOOKUP(A75,'Base-D'!A:A,'Base-D'!BI:BI)</f>
        <v>0</v>
      </c>
      <c r="L75" s="51">
        <f>LOOKUP(A75,'Base-D'!A:A,'Base-D'!BG:BG)</f>
        <v>0</v>
      </c>
      <c r="M75" s="51">
        <f>LOOKUP(A75,'Base-D'!A:A,'Base-D'!BH:BH)</f>
        <v>0</v>
      </c>
      <c r="N75" s="51" t="e">
        <f t="shared" si="2"/>
        <v>#N/A</v>
      </c>
      <c r="O75" s="51" t="e">
        <f>LOOKUP(A75,'Base-D'!A:A,'Base-D'!AZ:AZ)</f>
        <v>#N/A</v>
      </c>
      <c r="P75" s="51" t="e">
        <f>LOOKUP(A75,'Base-D'!A:A,'Base-D'!AI:AI)</f>
        <v>#N/A</v>
      </c>
      <c r="Q75" s="51" t="e">
        <f>LOOKUP(A75,'Base-D'!A:A,'Base-D'!BB:BB)</f>
        <v>#N/A</v>
      </c>
      <c r="R75" s="51" t="e">
        <f>LOOKUP(A75,'Base-D'!A:A,'Base-D'!AJ:AJ)</f>
        <v>#N/A</v>
      </c>
      <c r="S75" s="51">
        <f>LOOKUP(A75,'Base-D'!A:A,'Base-D'!BC:BC)</f>
        <v>0</v>
      </c>
      <c r="T75" s="51" t="e">
        <f>LOOKUP(A75,'Base-D'!A:A,'Base-D'!BD:BD)</f>
        <v>#N/A</v>
      </c>
      <c r="U75" s="51">
        <f>LOOKUP(A75,'Base-D'!A:A,'Base-D'!BE:BE)</f>
        <v>0</v>
      </c>
      <c r="V75" s="51" t="e">
        <f>LOOKUP(A75,'Base-D'!A:A,'Base-D'!BF:BF)</f>
        <v>#N/A</v>
      </c>
      <c r="W75" s="51" t="e">
        <f>LOOKUP(A75,'Base-D'!A:A,'Base-D'!AT:AT)</f>
        <v>#N/A</v>
      </c>
      <c r="X75" s="51">
        <f>LOOKUP(A75,'Base-D'!A:A,'Base-D'!AE:AE)</f>
        <v>0</v>
      </c>
      <c r="Y75" s="51">
        <f>LOOKUP(A75,'ورقة العمل'!A:A,'ورقة العمل'!F:F)</f>
        <v>0</v>
      </c>
      <c r="Z75" s="689">
        <f>LOOKUP(A75,'Base-D'!A:A,'Base-D'!S:S)</f>
        <v>0</v>
      </c>
      <c r="AA75" s="51">
        <f>LOOKUP(A75,'Base-D'!A:A,'Base-D'!N:N)</f>
        <v>0</v>
      </c>
      <c r="AG75" s="1124" t="str">
        <f t="shared" si="6"/>
        <v/>
      </c>
      <c r="AH75" s="1124" t="str">
        <f t="shared" si="7"/>
        <v/>
      </c>
      <c r="AI75" s="1124" t="str">
        <f t="shared" si="8"/>
        <v/>
      </c>
    </row>
    <row r="76" spans="1:35" ht="63" hidden="1" customHeight="1">
      <c r="A76" s="81">
        <f>'Base-D'!A63</f>
        <v>62</v>
      </c>
      <c r="B76" s="1118">
        <v>12</v>
      </c>
      <c r="C76" s="50" t="str">
        <f>LOOKUP(A76,'Base-D'!A:A,'Base-D'!AX:AX)</f>
        <v/>
      </c>
      <c r="D76" s="50" t="e">
        <f>LOOKUP(A76,'Base-D'!A:A,'Base-D'!AY:AY)</f>
        <v>#N/A</v>
      </c>
      <c r="E76" s="50">
        <f>LOOKUP(A76,'Base-D'!A:A,'Base-D'!R:R)</f>
        <v>0</v>
      </c>
      <c r="F76" s="51" t="e">
        <f t="shared" si="0"/>
        <v>#N/A</v>
      </c>
      <c r="G76" s="51">
        <f>LOOKUP(A76,'ورقة العمل'!A:A,'ورقة العمل'!E:E)</f>
        <v>0</v>
      </c>
      <c r="H76" s="51" t="e">
        <f>LOOKUP(A76,'Base-D'!A:A,'Base-D'!BK:BK)</f>
        <v>#N/A</v>
      </c>
      <c r="I76" s="51" t="e">
        <f>LOOKUP(A76,'Base-D'!A:A,'Base-D'!BM:BM)</f>
        <v>#N/A</v>
      </c>
      <c r="J76" s="51" t="e">
        <f t="shared" si="1"/>
        <v>#N/A</v>
      </c>
      <c r="K76" s="51">
        <f>LOOKUP(A76,'Base-D'!A:A,'Base-D'!BI:BI)</f>
        <v>0</v>
      </c>
      <c r="L76" s="51">
        <f>LOOKUP(A76,'Base-D'!A:A,'Base-D'!BG:BG)</f>
        <v>0</v>
      </c>
      <c r="M76" s="51">
        <f>LOOKUP(A76,'Base-D'!A:A,'Base-D'!BH:BH)</f>
        <v>0</v>
      </c>
      <c r="N76" s="51" t="e">
        <f t="shared" si="2"/>
        <v>#N/A</v>
      </c>
      <c r="O76" s="51" t="e">
        <f>LOOKUP(A76,'Base-D'!A:A,'Base-D'!AZ:AZ)</f>
        <v>#N/A</v>
      </c>
      <c r="P76" s="51" t="e">
        <f>LOOKUP(A76,'Base-D'!A:A,'Base-D'!AI:AI)</f>
        <v>#N/A</v>
      </c>
      <c r="Q76" s="51" t="e">
        <f>LOOKUP(A76,'Base-D'!A:A,'Base-D'!BB:BB)</f>
        <v>#N/A</v>
      </c>
      <c r="R76" s="51" t="e">
        <f>LOOKUP(A76,'Base-D'!A:A,'Base-D'!AJ:AJ)</f>
        <v>#N/A</v>
      </c>
      <c r="S76" s="51">
        <f>LOOKUP(A76,'Base-D'!A:A,'Base-D'!BC:BC)</f>
        <v>0</v>
      </c>
      <c r="T76" s="51" t="e">
        <f>LOOKUP(A76,'Base-D'!A:A,'Base-D'!BD:BD)</f>
        <v>#N/A</v>
      </c>
      <c r="U76" s="51">
        <f>LOOKUP(A76,'Base-D'!A:A,'Base-D'!BE:BE)</f>
        <v>0</v>
      </c>
      <c r="V76" s="51" t="e">
        <f>LOOKUP(A76,'Base-D'!A:A,'Base-D'!BF:BF)</f>
        <v>#N/A</v>
      </c>
      <c r="W76" s="51" t="e">
        <f>LOOKUP(A76,'Base-D'!A:A,'Base-D'!AT:AT)</f>
        <v>#N/A</v>
      </c>
      <c r="X76" s="51">
        <f>LOOKUP(A76,'Base-D'!A:A,'Base-D'!AE:AE)</f>
        <v>0</v>
      </c>
      <c r="Y76" s="51">
        <f>LOOKUP(A76,'ورقة العمل'!A:A,'ورقة العمل'!F:F)</f>
        <v>0</v>
      </c>
      <c r="Z76" s="689">
        <f>LOOKUP(A76,'Base-D'!A:A,'Base-D'!S:S)</f>
        <v>0</v>
      </c>
      <c r="AA76" s="51">
        <f>LOOKUP(A76,'Base-D'!A:A,'Base-D'!N:N)</f>
        <v>0</v>
      </c>
      <c r="AG76" s="1124" t="str">
        <f t="shared" si="6"/>
        <v/>
      </c>
      <c r="AH76" s="1124" t="str">
        <f t="shared" si="7"/>
        <v/>
      </c>
      <c r="AI76" s="1124" t="str">
        <f t="shared" si="8"/>
        <v/>
      </c>
    </row>
    <row r="77" spans="1:35" ht="63" hidden="1" customHeight="1">
      <c r="A77" s="81">
        <f>'Base-D'!A64</f>
        <v>63</v>
      </c>
      <c r="B77" s="1118">
        <v>33</v>
      </c>
      <c r="C77" s="50" t="str">
        <f>LOOKUP(A77,'Base-D'!A:A,'Base-D'!AX:AX)</f>
        <v/>
      </c>
      <c r="D77" s="50" t="e">
        <f>LOOKUP(A77,'Base-D'!A:A,'Base-D'!AY:AY)</f>
        <v>#N/A</v>
      </c>
      <c r="E77" s="50">
        <f>LOOKUP(A77,'Base-D'!A:A,'Base-D'!R:R)</f>
        <v>0</v>
      </c>
      <c r="F77" s="51" t="e">
        <f t="shared" si="0"/>
        <v>#N/A</v>
      </c>
      <c r="G77" s="51">
        <f>LOOKUP(A77,'ورقة العمل'!A:A,'ورقة العمل'!E:E)</f>
        <v>0</v>
      </c>
      <c r="H77" s="51" t="e">
        <f>LOOKUP(A77,'Base-D'!A:A,'Base-D'!BK:BK)</f>
        <v>#N/A</v>
      </c>
      <c r="I77" s="51" t="e">
        <f>LOOKUP(A77,'Base-D'!A:A,'Base-D'!BM:BM)</f>
        <v>#N/A</v>
      </c>
      <c r="J77" s="51" t="e">
        <f t="shared" si="1"/>
        <v>#N/A</v>
      </c>
      <c r="K77" s="51">
        <f>LOOKUP(A77,'Base-D'!A:A,'Base-D'!BI:BI)</f>
        <v>0</v>
      </c>
      <c r="L77" s="51">
        <f>LOOKUP(A77,'Base-D'!A:A,'Base-D'!BG:BG)</f>
        <v>0</v>
      </c>
      <c r="M77" s="51">
        <f>LOOKUP(A77,'Base-D'!A:A,'Base-D'!BH:BH)</f>
        <v>0</v>
      </c>
      <c r="N77" s="51" t="e">
        <f t="shared" si="2"/>
        <v>#N/A</v>
      </c>
      <c r="O77" s="51" t="e">
        <f>LOOKUP(A77,'Base-D'!A:A,'Base-D'!AZ:AZ)</f>
        <v>#N/A</v>
      </c>
      <c r="P77" s="51" t="e">
        <f>LOOKUP(A77,'Base-D'!A:A,'Base-D'!AI:AI)</f>
        <v>#N/A</v>
      </c>
      <c r="Q77" s="51" t="e">
        <f>LOOKUP(A77,'Base-D'!A:A,'Base-D'!BB:BB)</f>
        <v>#N/A</v>
      </c>
      <c r="R77" s="51" t="e">
        <f>LOOKUP(A77,'Base-D'!A:A,'Base-D'!AJ:AJ)</f>
        <v>#N/A</v>
      </c>
      <c r="S77" s="51">
        <f>LOOKUP(A77,'Base-D'!A:A,'Base-D'!BC:BC)</f>
        <v>0</v>
      </c>
      <c r="T77" s="51" t="e">
        <f>LOOKUP(A77,'Base-D'!A:A,'Base-D'!BD:BD)</f>
        <v>#N/A</v>
      </c>
      <c r="U77" s="51">
        <f>LOOKUP(A77,'Base-D'!A:A,'Base-D'!BE:BE)</f>
        <v>0</v>
      </c>
      <c r="V77" s="51" t="e">
        <f>LOOKUP(A77,'Base-D'!A:A,'Base-D'!BF:BF)</f>
        <v>#N/A</v>
      </c>
      <c r="W77" s="51" t="e">
        <f>LOOKUP(A77,'Base-D'!A:A,'Base-D'!AT:AT)</f>
        <v>#N/A</v>
      </c>
      <c r="X77" s="51">
        <f>LOOKUP(A77,'Base-D'!A:A,'Base-D'!AE:AE)</f>
        <v>0</v>
      </c>
      <c r="Y77" s="51">
        <f>LOOKUP(A77,'ورقة العمل'!A:A,'ورقة العمل'!F:F)</f>
        <v>0</v>
      </c>
      <c r="Z77" s="689">
        <f>LOOKUP(A77,'Base-D'!A:A,'Base-D'!S:S)</f>
        <v>0</v>
      </c>
      <c r="AA77" s="51">
        <f>LOOKUP(A77,'Base-D'!A:A,'Base-D'!N:N)</f>
        <v>0</v>
      </c>
      <c r="AG77" s="1124" t="str">
        <f t="shared" si="6"/>
        <v/>
      </c>
      <c r="AH77" s="1124" t="str">
        <f t="shared" si="7"/>
        <v/>
      </c>
      <c r="AI77" s="1124" t="str">
        <f t="shared" si="8"/>
        <v/>
      </c>
    </row>
    <row r="78" spans="1:35" ht="63" hidden="1" customHeight="1">
      <c r="A78" s="81">
        <f>'Base-D'!A65</f>
        <v>64</v>
      </c>
      <c r="B78" s="1118">
        <v>34</v>
      </c>
      <c r="C78" s="50" t="str">
        <f>LOOKUP(A78,'Base-D'!A:A,'Base-D'!AX:AX)</f>
        <v/>
      </c>
      <c r="D78" s="50" t="e">
        <f>LOOKUP(A78,'Base-D'!A:A,'Base-D'!AY:AY)</f>
        <v>#N/A</v>
      </c>
      <c r="E78" s="50">
        <f>LOOKUP(A78,'Base-D'!A:A,'Base-D'!R:R)</f>
        <v>0</v>
      </c>
      <c r="F78" s="51" t="e">
        <f t="shared" si="0"/>
        <v>#N/A</v>
      </c>
      <c r="G78" s="51">
        <f>LOOKUP(A78,'ورقة العمل'!A:A,'ورقة العمل'!E:E)</f>
        <v>0</v>
      </c>
      <c r="H78" s="51" t="e">
        <f>LOOKUP(A78,'Base-D'!A:A,'Base-D'!BK:BK)</f>
        <v>#N/A</v>
      </c>
      <c r="I78" s="51" t="e">
        <f>LOOKUP(A78,'Base-D'!A:A,'Base-D'!BM:BM)</f>
        <v>#N/A</v>
      </c>
      <c r="J78" s="51" t="e">
        <f t="shared" si="1"/>
        <v>#N/A</v>
      </c>
      <c r="K78" s="51">
        <f>LOOKUP(A78,'Base-D'!A:A,'Base-D'!BI:BI)</f>
        <v>0</v>
      </c>
      <c r="L78" s="51">
        <f>LOOKUP(A78,'Base-D'!A:A,'Base-D'!BG:BG)</f>
        <v>0</v>
      </c>
      <c r="M78" s="51">
        <f>LOOKUP(A78,'Base-D'!A:A,'Base-D'!BH:BH)</f>
        <v>0</v>
      </c>
      <c r="N78" s="51" t="e">
        <f t="shared" si="2"/>
        <v>#N/A</v>
      </c>
      <c r="O78" s="51" t="e">
        <f>LOOKUP(A78,'Base-D'!A:A,'Base-D'!AZ:AZ)</f>
        <v>#N/A</v>
      </c>
      <c r="P78" s="51" t="e">
        <f>LOOKUP(A78,'Base-D'!A:A,'Base-D'!AI:AI)</f>
        <v>#N/A</v>
      </c>
      <c r="Q78" s="51" t="e">
        <f>LOOKUP(A78,'Base-D'!A:A,'Base-D'!BB:BB)</f>
        <v>#N/A</v>
      </c>
      <c r="R78" s="51" t="e">
        <f>LOOKUP(A78,'Base-D'!A:A,'Base-D'!AJ:AJ)</f>
        <v>#N/A</v>
      </c>
      <c r="S78" s="51">
        <f>LOOKUP(A78,'Base-D'!A:A,'Base-D'!BC:BC)</f>
        <v>0</v>
      </c>
      <c r="T78" s="51" t="e">
        <f>LOOKUP(A78,'Base-D'!A:A,'Base-D'!BD:BD)</f>
        <v>#N/A</v>
      </c>
      <c r="U78" s="51">
        <f>LOOKUP(A78,'Base-D'!A:A,'Base-D'!BE:BE)</f>
        <v>0</v>
      </c>
      <c r="V78" s="51" t="e">
        <f>LOOKUP(A78,'Base-D'!A:A,'Base-D'!BF:BF)</f>
        <v>#N/A</v>
      </c>
      <c r="W78" s="51" t="e">
        <f>LOOKUP(A78,'Base-D'!A:A,'Base-D'!AT:AT)</f>
        <v>#N/A</v>
      </c>
      <c r="X78" s="51">
        <f>LOOKUP(A78,'Base-D'!A:A,'Base-D'!AE:AE)</f>
        <v>0</v>
      </c>
      <c r="Y78" s="51">
        <f>LOOKUP(A78,'ورقة العمل'!A:A,'ورقة العمل'!F:F)</f>
        <v>0</v>
      </c>
      <c r="Z78" s="689">
        <f>LOOKUP(A78,'Base-D'!A:A,'Base-D'!S:S)</f>
        <v>0</v>
      </c>
      <c r="AA78" s="51">
        <f>LOOKUP(A78,'Base-D'!A:A,'Base-D'!N:N)</f>
        <v>0</v>
      </c>
      <c r="AG78" s="1124" t="str">
        <f t="shared" si="6"/>
        <v/>
      </c>
      <c r="AH78" s="1124" t="str">
        <f t="shared" si="7"/>
        <v/>
      </c>
      <c r="AI78" s="1124" t="str">
        <f t="shared" si="8"/>
        <v/>
      </c>
    </row>
    <row r="79" spans="1:35" ht="63" hidden="1" customHeight="1">
      <c r="A79" s="81">
        <f>'Base-D'!A66</f>
        <v>65</v>
      </c>
      <c r="B79" s="1118">
        <v>35</v>
      </c>
      <c r="C79" s="50" t="str">
        <f>LOOKUP(A79,'Base-D'!A:A,'Base-D'!AX:AX)</f>
        <v/>
      </c>
      <c r="D79" s="50" t="e">
        <f>LOOKUP(A79,'Base-D'!A:A,'Base-D'!AY:AY)</f>
        <v>#N/A</v>
      </c>
      <c r="E79" s="50">
        <f>LOOKUP(A79,'Base-D'!A:A,'Base-D'!R:R)</f>
        <v>0</v>
      </c>
      <c r="F79" s="51" t="e">
        <f t="shared" si="0"/>
        <v>#N/A</v>
      </c>
      <c r="G79" s="51">
        <f>LOOKUP(A79,'ورقة العمل'!A:A,'ورقة العمل'!E:E)</f>
        <v>0</v>
      </c>
      <c r="H79" s="51" t="e">
        <f>LOOKUP(A79,'Base-D'!A:A,'Base-D'!BK:BK)</f>
        <v>#N/A</v>
      </c>
      <c r="I79" s="51" t="e">
        <f>LOOKUP(A79,'Base-D'!A:A,'Base-D'!BM:BM)</f>
        <v>#N/A</v>
      </c>
      <c r="J79" s="51" t="e">
        <f t="shared" si="1"/>
        <v>#N/A</v>
      </c>
      <c r="K79" s="51">
        <f>LOOKUP(A79,'Base-D'!A:A,'Base-D'!BI:BI)</f>
        <v>0</v>
      </c>
      <c r="L79" s="51">
        <f>LOOKUP(A79,'Base-D'!A:A,'Base-D'!BG:BG)</f>
        <v>0</v>
      </c>
      <c r="M79" s="51">
        <f>LOOKUP(A79,'Base-D'!A:A,'Base-D'!BH:BH)</f>
        <v>0</v>
      </c>
      <c r="N79" s="51" t="e">
        <f t="shared" si="2"/>
        <v>#N/A</v>
      </c>
      <c r="O79" s="51" t="e">
        <f>LOOKUP(A79,'Base-D'!A:A,'Base-D'!AZ:AZ)</f>
        <v>#N/A</v>
      </c>
      <c r="P79" s="51" t="e">
        <f>LOOKUP(A79,'Base-D'!A:A,'Base-D'!AI:AI)</f>
        <v>#N/A</v>
      </c>
      <c r="Q79" s="51" t="e">
        <f>LOOKUP(A79,'Base-D'!A:A,'Base-D'!BB:BB)</f>
        <v>#N/A</v>
      </c>
      <c r="R79" s="51" t="e">
        <f>LOOKUP(A79,'Base-D'!A:A,'Base-D'!AJ:AJ)</f>
        <v>#N/A</v>
      </c>
      <c r="S79" s="51">
        <f>LOOKUP(A79,'Base-D'!A:A,'Base-D'!BC:BC)</f>
        <v>0</v>
      </c>
      <c r="T79" s="51" t="e">
        <f>LOOKUP(A79,'Base-D'!A:A,'Base-D'!BD:BD)</f>
        <v>#N/A</v>
      </c>
      <c r="U79" s="51">
        <f>LOOKUP(A79,'Base-D'!A:A,'Base-D'!BE:BE)</f>
        <v>0</v>
      </c>
      <c r="V79" s="51" t="e">
        <f>LOOKUP(A79,'Base-D'!A:A,'Base-D'!BF:BF)</f>
        <v>#N/A</v>
      </c>
      <c r="W79" s="51" t="e">
        <f>LOOKUP(A79,'Base-D'!A:A,'Base-D'!AT:AT)</f>
        <v>#N/A</v>
      </c>
      <c r="X79" s="51">
        <f>LOOKUP(A79,'Base-D'!A:A,'Base-D'!AE:AE)</f>
        <v>0</v>
      </c>
      <c r="Y79" s="51">
        <f>LOOKUP(A79,'ورقة العمل'!A:A,'ورقة العمل'!F:F)</f>
        <v>0</v>
      </c>
      <c r="Z79" s="689">
        <f>LOOKUP(A79,'Base-D'!A:A,'Base-D'!S:S)</f>
        <v>0</v>
      </c>
      <c r="AA79" s="51">
        <f>LOOKUP(A79,'Base-D'!A:A,'Base-D'!N:N)</f>
        <v>0</v>
      </c>
      <c r="AG79" s="1124" t="str">
        <f t="shared" si="6"/>
        <v/>
      </c>
      <c r="AH79" s="1124" t="str">
        <f t="shared" si="7"/>
        <v/>
      </c>
      <c r="AI79" s="1124" t="str">
        <f t="shared" si="8"/>
        <v/>
      </c>
    </row>
    <row r="80" spans="1:35" ht="63" hidden="1" customHeight="1">
      <c r="A80" s="81">
        <f>'Base-D'!A67</f>
        <v>66</v>
      </c>
      <c r="B80" s="1118">
        <v>36</v>
      </c>
      <c r="C80" s="50" t="str">
        <f>LOOKUP(A80,'Base-D'!A:A,'Base-D'!AX:AX)</f>
        <v/>
      </c>
      <c r="D80" s="50" t="e">
        <f>LOOKUP(A80,'Base-D'!A:A,'Base-D'!AY:AY)</f>
        <v>#N/A</v>
      </c>
      <c r="E80" s="50">
        <f>LOOKUP(A80,'Base-D'!A:A,'Base-D'!R:R)</f>
        <v>0</v>
      </c>
      <c r="F80" s="51" t="e">
        <f t="shared" ref="F80:F89" si="9">N80-M80-L80-K80-J80-I80-H80-G80</f>
        <v>#N/A</v>
      </c>
      <c r="G80" s="51">
        <f>LOOKUP(A80,'ورقة العمل'!A:A,'ورقة العمل'!E:E)</f>
        <v>0</v>
      </c>
      <c r="H80" s="51" t="e">
        <f>LOOKUP(A80,'Base-D'!A:A,'Base-D'!BK:BK)</f>
        <v>#N/A</v>
      </c>
      <c r="I80" s="51" t="e">
        <f>LOOKUP(A80,'Base-D'!A:A,'Base-D'!BM:BM)</f>
        <v>#N/A</v>
      </c>
      <c r="J80" s="51" t="e">
        <f t="shared" ref="J80:J89" si="10">ROUND((N80-X80-M80-L80-K80-I80-H80)*Y80/30,2)</f>
        <v>#N/A</v>
      </c>
      <c r="K80" s="51">
        <f>LOOKUP(A80,'Base-D'!A:A,'Base-D'!BI:BI)</f>
        <v>0</v>
      </c>
      <c r="L80" s="51">
        <f>LOOKUP(A80,'Base-D'!A:A,'Base-D'!BG:BG)</f>
        <v>0</v>
      </c>
      <c r="M80" s="51">
        <f>LOOKUP(A80,'Base-D'!A:A,'Base-D'!BH:BH)</f>
        <v>0</v>
      </c>
      <c r="N80" s="51" t="e">
        <f t="shared" ref="N80:N92" si="11">SUM(O80:X80)</f>
        <v>#N/A</v>
      </c>
      <c r="O80" s="51" t="e">
        <f>LOOKUP(A80,'Base-D'!A:A,'Base-D'!AZ:AZ)</f>
        <v>#N/A</v>
      </c>
      <c r="P80" s="51" t="e">
        <f>LOOKUP(A80,'Base-D'!A:A,'Base-D'!AI:AI)</f>
        <v>#N/A</v>
      </c>
      <c r="Q80" s="51" t="e">
        <f>LOOKUP(A80,'Base-D'!A:A,'Base-D'!BB:BB)</f>
        <v>#N/A</v>
      </c>
      <c r="R80" s="51" t="e">
        <f>LOOKUP(A80,'Base-D'!A:A,'Base-D'!AJ:AJ)</f>
        <v>#N/A</v>
      </c>
      <c r="S80" s="51">
        <f>LOOKUP(A80,'Base-D'!A:A,'Base-D'!BC:BC)</f>
        <v>0</v>
      </c>
      <c r="T80" s="51" t="e">
        <f>LOOKUP(A80,'Base-D'!A:A,'Base-D'!BD:BD)</f>
        <v>#N/A</v>
      </c>
      <c r="U80" s="51">
        <f>LOOKUP(A80,'Base-D'!A:A,'Base-D'!BE:BE)</f>
        <v>0</v>
      </c>
      <c r="V80" s="51" t="e">
        <f>LOOKUP(A80,'Base-D'!A:A,'Base-D'!BF:BF)</f>
        <v>#N/A</v>
      </c>
      <c r="W80" s="51" t="e">
        <f>LOOKUP(A80,'Base-D'!A:A,'Base-D'!AT:AT)</f>
        <v>#N/A</v>
      </c>
      <c r="X80" s="51">
        <f>LOOKUP(A80,'Base-D'!A:A,'Base-D'!AE:AE)</f>
        <v>0</v>
      </c>
      <c r="Y80" s="51">
        <f>LOOKUP(A80,'ورقة العمل'!A:A,'ورقة العمل'!F:F)</f>
        <v>0</v>
      </c>
      <c r="Z80" s="689">
        <f>LOOKUP(A80,'Base-D'!A:A,'Base-D'!S:S)</f>
        <v>0</v>
      </c>
      <c r="AA80" s="51">
        <f>LOOKUP(A80,'Base-D'!A:A,'Base-D'!N:N)</f>
        <v>0</v>
      </c>
      <c r="AG80" s="1124" t="str">
        <f t="shared" si="6"/>
        <v/>
      </c>
      <c r="AH80" s="1124" t="str">
        <f t="shared" si="7"/>
        <v/>
      </c>
      <c r="AI80" s="1124" t="str">
        <f t="shared" si="8"/>
        <v/>
      </c>
    </row>
    <row r="81" spans="1:48" ht="63" hidden="1" customHeight="1">
      <c r="A81" s="81">
        <f>'Base-D'!A68</f>
        <v>67</v>
      </c>
      <c r="B81" s="1118">
        <v>37</v>
      </c>
      <c r="C81" s="50" t="str">
        <f>LOOKUP(A81,'Base-D'!A:A,'Base-D'!AX:AX)</f>
        <v/>
      </c>
      <c r="D81" s="50" t="e">
        <f>LOOKUP(A81,'Base-D'!A:A,'Base-D'!AY:AY)</f>
        <v>#N/A</v>
      </c>
      <c r="E81" s="50">
        <f>LOOKUP(A81,'Base-D'!A:A,'Base-D'!R:R)</f>
        <v>0</v>
      </c>
      <c r="F81" s="51" t="e">
        <f t="shared" si="9"/>
        <v>#N/A</v>
      </c>
      <c r="G81" s="51">
        <f>LOOKUP(A81,'ورقة العمل'!A:A,'ورقة العمل'!E:E)</f>
        <v>0</v>
      </c>
      <c r="H81" s="51" t="e">
        <f>LOOKUP(A81,'Base-D'!A:A,'Base-D'!BK:BK)</f>
        <v>#N/A</v>
      </c>
      <c r="I81" s="51" t="e">
        <f>LOOKUP(A81,'Base-D'!A:A,'Base-D'!BM:BM)</f>
        <v>#N/A</v>
      </c>
      <c r="J81" s="51" t="e">
        <f t="shared" si="10"/>
        <v>#N/A</v>
      </c>
      <c r="K81" s="51">
        <f>LOOKUP(A81,'Base-D'!A:A,'Base-D'!BI:BI)</f>
        <v>0</v>
      </c>
      <c r="L81" s="51">
        <f>LOOKUP(A81,'Base-D'!A:A,'Base-D'!BG:BG)</f>
        <v>0</v>
      </c>
      <c r="M81" s="51">
        <f>LOOKUP(A81,'Base-D'!A:A,'Base-D'!BH:BH)</f>
        <v>0</v>
      </c>
      <c r="N81" s="51" t="e">
        <f t="shared" si="11"/>
        <v>#N/A</v>
      </c>
      <c r="O81" s="51" t="e">
        <f>LOOKUP(A81,'Base-D'!A:A,'Base-D'!AZ:AZ)</f>
        <v>#N/A</v>
      </c>
      <c r="P81" s="51" t="e">
        <f>LOOKUP(A81,'Base-D'!A:A,'Base-D'!AI:AI)</f>
        <v>#N/A</v>
      </c>
      <c r="Q81" s="51" t="e">
        <f>LOOKUP(A81,'Base-D'!A:A,'Base-D'!BB:BB)</f>
        <v>#N/A</v>
      </c>
      <c r="R81" s="51" t="e">
        <f>LOOKUP(A81,'Base-D'!A:A,'Base-D'!AJ:AJ)</f>
        <v>#N/A</v>
      </c>
      <c r="S81" s="51">
        <f>LOOKUP(A81,'Base-D'!A:A,'Base-D'!BC:BC)</f>
        <v>0</v>
      </c>
      <c r="T81" s="51" t="e">
        <f>LOOKUP(A81,'Base-D'!A:A,'Base-D'!BD:BD)</f>
        <v>#N/A</v>
      </c>
      <c r="U81" s="51">
        <f>LOOKUP(A81,'Base-D'!A:A,'Base-D'!BE:BE)</f>
        <v>0</v>
      </c>
      <c r="V81" s="51" t="e">
        <f>LOOKUP(A81,'Base-D'!A:A,'Base-D'!BF:BF)</f>
        <v>#N/A</v>
      </c>
      <c r="W81" s="51" t="e">
        <f>LOOKUP(A81,'Base-D'!A:A,'Base-D'!AT:AT)</f>
        <v>#N/A</v>
      </c>
      <c r="X81" s="51">
        <f>LOOKUP(A81,'Base-D'!A:A,'Base-D'!AE:AE)</f>
        <v>0</v>
      </c>
      <c r="Y81" s="51">
        <f>LOOKUP(A81,'ورقة العمل'!A:A,'ورقة العمل'!F:F)</f>
        <v>0</v>
      </c>
      <c r="Z81" s="689">
        <f>LOOKUP(A81,'Base-D'!A:A,'Base-D'!S:S)</f>
        <v>0</v>
      </c>
      <c r="AA81" s="51">
        <f>LOOKUP(A81,'Base-D'!A:A,'Base-D'!N:N)</f>
        <v>0</v>
      </c>
      <c r="AG81" s="1124" t="str">
        <f t="shared" si="6"/>
        <v/>
      </c>
      <c r="AH81" s="1124" t="str">
        <f t="shared" si="7"/>
        <v/>
      </c>
      <c r="AI81" s="1124" t="str">
        <f t="shared" si="8"/>
        <v/>
      </c>
    </row>
    <row r="82" spans="1:48" ht="63" hidden="1" customHeight="1">
      <c r="A82" s="81">
        <f>'Base-D'!A69</f>
        <v>68</v>
      </c>
      <c r="B82" s="1118">
        <v>38</v>
      </c>
      <c r="C82" s="50" t="str">
        <f>LOOKUP(A82,'Base-D'!A:A,'Base-D'!AX:AX)</f>
        <v/>
      </c>
      <c r="D82" s="50" t="e">
        <f>LOOKUP(A82,'Base-D'!A:A,'Base-D'!AY:AY)</f>
        <v>#N/A</v>
      </c>
      <c r="E82" s="50">
        <f>LOOKUP(A82,'Base-D'!A:A,'Base-D'!R:R)</f>
        <v>0</v>
      </c>
      <c r="F82" s="51" t="e">
        <f t="shared" si="9"/>
        <v>#N/A</v>
      </c>
      <c r="G82" s="51">
        <f>LOOKUP(A82,'ورقة العمل'!A:A,'ورقة العمل'!E:E)</f>
        <v>0</v>
      </c>
      <c r="H82" s="51" t="e">
        <f>LOOKUP(A82,'Base-D'!A:A,'Base-D'!BK:BK)</f>
        <v>#N/A</v>
      </c>
      <c r="I82" s="51" t="e">
        <f>LOOKUP(A82,'Base-D'!A:A,'Base-D'!BM:BM)</f>
        <v>#N/A</v>
      </c>
      <c r="J82" s="51" t="e">
        <f t="shared" si="10"/>
        <v>#N/A</v>
      </c>
      <c r="K82" s="51">
        <f>LOOKUP(A82,'Base-D'!A:A,'Base-D'!BI:BI)</f>
        <v>0</v>
      </c>
      <c r="L82" s="51">
        <f>LOOKUP(A82,'Base-D'!A:A,'Base-D'!BG:BG)</f>
        <v>0</v>
      </c>
      <c r="M82" s="51">
        <f>LOOKUP(A82,'Base-D'!A:A,'Base-D'!BH:BH)</f>
        <v>0</v>
      </c>
      <c r="N82" s="51" t="e">
        <f t="shared" si="11"/>
        <v>#N/A</v>
      </c>
      <c r="O82" s="51" t="e">
        <f>LOOKUP(A82,'Base-D'!A:A,'Base-D'!AZ:AZ)</f>
        <v>#N/A</v>
      </c>
      <c r="P82" s="51" t="e">
        <f>LOOKUP(A82,'Base-D'!A:A,'Base-D'!AI:AI)</f>
        <v>#N/A</v>
      </c>
      <c r="Q82" s="51" t="e">
        <f>LOOKUP(A82,'Base-D'!A:A,'Base-D'!BB:BB)</f>
        <v>#N/A</v>
      </c>
      <c r="R82" s="51" t="e">
        <f>LOOKUP(A82,'Base-D'!A:A,'Base-D'!AJ:AJ)</f>
        <v>#N/A</v>
      </c>
      <c r="S82" s="51">
        <f>LOOKUP(A82,'Base-D'!A:A,'Base-D'!BC:BC)</f>
        <v>0</v>
      </c>
      <c r="T82" s="51" t="e">
        <f>LOOKUP(A82,'Base-D'!A:A,'Base-D'!BD:BD)</f>
        <v>#N/A</v>
      </c>
      <c r="U82" s="51">
        <f>LOOKUP(A82,'Base-D'!A:A,'Base-D'!BE:BE)</f>
        <v>0</v>
      </c>
      <c r="V82" s="51" t="e">
        <f>LOOKUP(A82,'Base-D'!A:A,'Base-D'!BF:BF)</f>
        <v>#N/A</v>
      </c>
      <c r="W82" s="51" t="e">
        <f>LOOKUP(A82,'Base-D'!A:A,'Base-D'!AT:AT)</f>
        <v>#N/A</v>
      </c>
      <c r="X82" s="51">
        <f>LOOKUP(A82,'Base-D'!A:A,'Base-D'!AE:AE)</f>
        <v>0</v>
      </c>
      <c r="Y82" s="51">
        <f>LOOKUP(A82,'ورقة العمل'!A:A,'ورقة العمل'!F:F)</f>
        <v>0</v>
      </c>
      <c r="Z82" s="689">
        <f>LOOKUP(A82,'Base-D'!A:A,'Base-D'!S:S)</f>
        <v>0</v>
      </c>
      <c r="AA82" s="51">
        <f>LOOKUP(A82,'Base-D'!A:A,'Base-D'!N:N)</f>
        <v>0</v>
      </c>
      <c r="AG82" s="1124" t="str">
        <f t="shared" si="6"/>
        <v/>
      </c>
      <c r="AH82" s="1124" t="str">
        <f t="shared" si="7"/>
        <v/>
      </c>
      <c r="AI82" s="1124" t="str">
        <f t="shared" si="8"/>
        <v/>
      </c>
    </row>
    <row r="83" spans="1:48" ht="63" hidden="1" customHeight="1">
      <c r="A83" s="81">
        <f>'Base-D'!A70</f>
        <v>69</v>
      </c>
      <c r="B83" s="1118">
        <v>14</v>
      </c>
      <c r="C83" s="50" t="str">
        <f>LOOKUP(A83,'Base-D'!A:A,'Base-D'!AX:AX)</f>
        <v/>
      </c>
      <c r="D83" s="50" t="e">
        <f>LOOKUP(A83,'Base-D'!A:A,'Base-D'!AY:AY)</f>
        <v>#N/A</v>
      </c>
      <c r="E83" s="50">
        <f>LOOKUP(A83,'Base-D'!A:A,'Base-D'!R:R)</f>
        <v>0</v>
      </c>
      <c r="F83" s="51" t="e">
        <f t="shared" si="9"/>
        <v>#N/A</v>
      </c>
      <c r="G83" s="51">
        <f>LOOKUP(A83,'ورقة العمل'!A:A,'ورقة العمل'!E:E)</f>
        <v>0</v>
      </c>
      <c r="H83" s="51" t="e">
        <f>LOOKUP(A83,'Base-D'!A:A,'Base-D'!BK:BK)</f>
        <v>#N/A</v>
      </c>
      <c r="I83" s="51" t="e">
        <f>LOOKUP(A83,'Base-D'!A:A,'Base-D'!BM:BM)</f>
        <v>#N/A</v>
      </c>
      <c r="J83" s="51" t="e">
        <f t="shared" si="10"/>
        <v>#N/A</v>
      </c>
      <c r="K83" s="51">
        <f>LOOKUP(A83,'Base-D'!A:A,'Base-D'!BI:BI)</f>
        <v>0</v>
      </c>
      <c r="L83" s="51">
        <f>LOOKUP(A83,'Base-D'!A:A,'Base-D'!BG:BG)</f>
        <v>0</v>
      </c>
      <c r="M83" s="51">
        <f>LOOKUP(A83,'Base-D'!A:A,'Base-D'!BH:BH)</f>
        <v>0</v>
      </c>
      <c r="N83" s="51" t="e">
        <f t="shared" si="11"/>
        <v>#N/A</v>
      </c>
      <c r="O83" s="51" t="e">
        <f>LOOKUP(A83,'Base-D'!A:A,'Base-D'!AZ:AZ)</f>
        <v>#N/A</v>
      </c>
      <c r="P83" s="51" t="e">
        <f>LOOKUP(A83,'Base-D'!A:A,'Base-D'!AI:AI)</f>
        <v>#N/A</v>
      </c>
      <c r="Q83" s="51" t="e">
        <f>LOOKUP(A83,'Base-D'!A:A,'Base-D'!BB:BB)</f>
        <v>#N/A</v>
      </c>
      <c r="R83" s="51" t="e">
        <f>LOOKUP(A83,'Base-D'!A:A,'Base-D'!AJ:AJ)</f>
        <v>#N/A</v>
      </c>
      <c r="S83" s="51">
        <f>LOOKUP(A83,'Base-D'!A:A,'Base-D'!BC:BC)</f>
        <v>0</v>
      </c>
      <c r="T83" s="51" t="e">
        <f>LOOKUP(A83,'Base-D'!A:A,'Base-D'!BD:BD)</f>
        <v>#N/A</v>
      </c>
      <c r="U83" s="51">
        <f>LOOKUP(A83,'Base-D'!A:A,'Base-D'!BE:BE)</f>
        <v>0</v>
      </c>
      <c r="V83" s="51" t="e">
        <f>LOOKUP(A83,'Base-D'!A:A,'Base-D'!BF:BF)</f>
        <v>#N/A</v>
      </c>
      <c r="W83" s="51" t="e">
        <f>LOOKUP(A83,'Base-D'!A:A,'Base-D'!AT:AT)</f>
        <v>#N/A</v>
      </c>
      <c r="X83" s="51">
        <f>LOOKUP(A83,'Base-D'!A:A,'Base-D'!AE:AE)</f>
        <v>0</v>
      </c>
      <c r="Y83" s="51">
        <f>LOOKUP(A83,'ورقة العمل'!A:A,'ورقة العمل'!F:F)</f>
        <v>0</v>
      </c>
      <c r="Z83" s="689">
        <f>LOOKUP(A83,'Base-D'!A:A,'Base-D'!S:S)</f>
        <v>0</v>
      </c>
      <c r="AA83" s="51">
        <f>LOOKUP(A83,'Base-D'!A:A,'Base-D'!N:N)</f>
        <v>0</v>
      </c>
      <c r="AG83" s="1124" t="str">
        <f t="shared" si="6"/>
        <v/>
      </c>
      <c r="AH83" s="1124" t="str">
        <f t="shared" si="7"/>
        <v/>
      </c>
      <c r="AI83" s="1124" t="str">
        <f t="shared" si="8"/>
        <v/>
      </c>
    </row>
    <row r="84" spans="1:48" ht="63" hidden="1" customHeight="1">
      <c r="A84" s="81">
        <f>'Base-D'!A71</f>
        <v>70</v>
      </c>
      <c r="B84" s="1118">
        <v>39</v>
      </c>
      <c r="C84" s="50" t="str">
        <f>LOOKUP(A84,'Base-D'!A:A,'Base-D'!AX:AX)</f>
        <v/>
      </c>
      <c r="D84" s="50" t="e">
        <f>LOOKUP(A84,'Base-D'!A:A,'Base-D'!AY:AY)</f>
        <v>#N/A</v>
      </c>
      <c r="E84" s="50">
        <f>LOOKUP(A84,'Base-D'!A:A,'Base-D'!R:R)</f>
        <v>0</v>
      </c>
      <c r="F84" s="51" t="e">
        <f t="shared" si="9"/>
        <v>#N/A</v>
      </c>
      <c r="G84" s="51">
        <f>LOOKUP(A84,'ورقة العمل'!A:A,'ورقة العمل'!E:E)</f>
        <v>0</v>
      </c>
      <c r="H84" s="51" t="e">
        <f>LOOKUP(A84,'Base-D'!A:A,'Base-D'!BK:BK)</f>
        <v>#N/A</v>
      </c>
      <c r="I84" s="51" t="e">
        <f>LOOKUP(A84,'Base-D'!A:A,'Base-D'!BM:BM)</f>
        <v>#N/A</v>
      </c>
      <c r="J84" s="51" t="e">
        <f t="shared" si="10"/>
        <v>#N/A</v>
      </c>
      <c r="K84" s="51">
        <f>LOOKUP(A84,'Base-D'!A:A,'Base-D'!BI:BI)</f>
        <v>0</v>
      </c>
      <c r="L84" s="51">
        <f>LOOKUP(A84,'Base-D'!A:A,'Base-D'!BG:BG)</f>
        <v>0</v>
      </c>
      <c r="M84" s="51">
        <f>LOOKUP(A84,'Base-D'!A:A,'Base-D'!BH:BH)</f>
        <v>0</v>
      </c>
      <c r="N84" s="51" t="e">
        <f t="shared" si="11"/>
        <v>#N/A</v>
      </c>
      <c r="O84" s="51" t="e">
        <f>LOOKUP(A84,'Base-D'!A:A,'Base-D'!AZ:AZ)</f>
        <v>#N/A</v>
      </c>
      <c r="P84" s="51" t="e">
        <f>LOOKUP(A84,'Base-D'!A:A,'Base-D'!AI:AI)</f>
        <v>#N/A</v>
      </c>
      <c r="Q84" s="51" t="e">
        <f>LOOKUP(A84,'Base-D'!A:A,'Base-D'!BB:BB)</f>
        <v>#N/A</v>
      </c>
      <c r="R84" s="51" t="e">
        <f>LOOKUP(A84,'Base-D'!A:A,'Base-D'!AJ:AJ)</f>
        <v>#N/A</v>
      </c>
      <c r="S84" s="51">
        <f>LOOKUP(A84,'Base-D'!A:A,'Base-D'!BC:BC)</f>
        <v>0</v>
      </c>
      <c r="T84" s="51" t="e">
        <f>LOOKUP(A84,'Base-D'!A:A,'Base-D'!BD:BD)</f>
        <v>#N/A</v>
      </c>
      <c r="U84" s="51">
        <f>LOOKUP(A84,'Base-D'!A:A,'Base-D'!BE:BE)</f>
        <v>0</v>
      </c>
      <c r="V84" s="51" t="e">
        <f>LOOKUP(A84,'Base-D'!A:A,'Base-D'!BF:BF)</f>
        <v>#N/A</v>
      </c>
      <c r="W84" s="51" t="e">
        <f>LOOKUP(A84,'Base-D'!A:A,'Base-D'!AT:AT)</f>
        <v>#N/A</v>
      </c>
      <c r="X84" s="51">
        <f>LOOKUP(A84,'Base-D'!A:A,'Base-D'!AE:AE)</f>
        <v>0</v>
      </c>
      <c r="Y84" s="51">
        <f>LOOKUP(A84,'ورقة العمل'!A:A,'ورقة العمل'!F:F)</f>
        <v>0</v>
      </c>
      <c r="Z84" s="689">
        <f>LOOKUP(A84,'Base-D'!A:A,'Base-D'!S:S)</f>
        <v>0</v>
      </c>
      <c r="AA84" s="51">
        <f>LOOKUP(A84,'Base-D'!A:A,'Base-D'!N:N)</f>
        <v>0</v>
      </c>
      <c r="AG84" s="1124" t="str">
        <f t="shared" si="6"/>
        <v/>
      </c>
      <c r="AH84" s="1124" t="str">
        <f t="shared" si="7"/>
        <v/>
      </c>
      <c r="AI84" s="1124" t="str">
        <f t="shared" si="8"/>
        <v/>
      </c>
    </row>
    <row r="85" spans="1:48" ht="63" hidden="1" customHeight="1">
      <c r="A85" s="81">
        <f>'Base-D'!A72</f>
        <v>71</v>
      </c>
      <c r="B85" s="1118">
        <v>40</v>
      </c>
      <c r="C85" s="50" t="str">
        <f>LOOKUP(A85,'Base-D'!A:A,'Base-D'!AX:AX)</f>
        <v/>
      </c>
      <c r="D85" s="50" t="e">
        <f>LOOKUP(A85,'Base-D'!A:A,'Base-D'!AY:AY)</f>
        <v>#N/A</v>
      </c>
      <c r="E85" s="50">
        <f>LOOKUP(A85,'Base-D'!A:A,'Base-D'!R:R)</f>
        <v>0</v>
      </c>
      <c r="F85" s="51" t="e">
        <f t="shared" si="9"/>
        <v>#N/A</v>
      </c>
      <c r="G85" s="51">
        <f>LOOKUP(A85,'ورقة العمل'!A:A,'ورقة العمل'!E:E)</f>
        <v>0</v>
      </c>
      <c r="H85" s="51" t="e">
        <f>LOOKUP(A85,'Base-D'!A:A,'Base-D'!BK:BK)</f>
        <v>#N/A</v>
      </c>
      <c r="I85" s="51" t="e">
        <f>LOOKUP(A85,'Base-D'!A:A,'Base-D'!BM:BM)</f>
        <v>#N/A</v>
      </c>
      <c r="J85" s="51" t="e">
        <f t="shared" si="10"/>
        <v>#N/A</v>
      </c>
      <c r="K85" s="51">
        <f>LOOKUP(A85,'Base-D'!A:A,'Base-D'!BI:BI)</f>
        <v>0</v>
      </c>
      <c r="L85" s="51">
        <f>LOOKUP(A85,'Base-D'!A:A,'Base-D'!BG:BG)</f>
        <v>0</v>
      </c>
      <c r="M85" s="51">
        <f>LOOKUP(A85,'Base-D'!A:A,'Base-D'!BH:BH)</f>
        <v>0</v>
      </c>
      <c r="N85" s="51" t="e">
        <f t="shared" si="11"/>
        <v>#N/A</v>
      </c>
      <c r="O85" s="51" t="e">
        <f>LOOKUP(A85,'Base-D'!A:A,'Base-D'!AZ:AZ)</f>
        <v>#N/A</v>
      </c>
      <c r="P85" s="51" t="e">
        <f>LOOKUP(A85,'Base-D'!A:A,'Base-D'!AI:AI)</f>
        <v>#N/A</v>
      </c>
      <c r="Q85" s="51" t="e">
        <f>LOOKUP(A85,'Base-D'!A:A,'Base-D'!BB:BB)</f>
        <v>#N/A</v>
      </c>
      <c r="R85" s="51" t="e">
        <f>LOOKUP(A85,'Base-D'!A:A,'Base-D'!AJ:AJ)</f>
        <v>#N/A</v>
      </c>
      <c r="S85" s="51">
        <f>LOOKUP(A85,'Base-D'!A:A,'Base-D'!BC:BC)</f>
        <v>0</v>
      </c>
      <c r="T85" s="51" t="e">
        <f>LOOKUP(A85,'Base-D'!A:A,'Base-D'!BD:BD)</f>
        <v>#N/A</v>
      </c>
      <c r="U85" s="51">
        <f>LOOKUP(A85,'Base-D'!A:A,'Base-D'!BE:BE)</f>
        <v>0</v>
      </c>
      <c r="V85" s="51" t="e">
        <f>LOOKUP(A85,'Base-D'!A:A,'Base-D'!BF:BF)</f>
        <v>#N/A</v>
      </c>
      <c r="W85" s="51" t="e">
        <f>LOOKUP(A85,'Base-D'!A:A,'Base-D'!AT:AT)</f>
        <v>#N/A</v>
      </c>
      <c r="X85" s="51">
        <f>LOOKUP(A85,'Base-D'!A:A,'Base-D'!AE:AE)</f>
        <v>0</v>
      </c>
      <c r="Y85" s="51">
        <f>LOOKUP(A85,'ورقة العمل'!A:A,'ورقة العمل'!F:F)</f>
        <v>0</v>
      </c>
      <c r="Z85" s="689">
        <f>LOOKUP(A85,'Base-D'!A:A,'Base-D'!S:S)</f>
        <v>0</v>
      </c>
      <c r="AA85" s="51">
        <f>LOOKUP(A85,'Base-D'!A:A,'Base-D'!N:N)</f>
        <v>0</v>
      </c>
      <c r="AG85" s="1124" t="str">
        <f t="shared" si="6"/>
        <v/>
      </c>
      <c r="AH85" s="1124" t="str">
        <f t="shared" si="7"/>
        <v/>
      </c>
      <c r="AI85" s="1124" t="str">
        <f t="shared" si="8"/>
        <v/>
      </c>
    </row>
    <row r="86" spans="1:48" ht="63" hidden="1" customHeight="1">
      <c r="A86" s="81">
        <f>'Base-D'!A73</f>
        <v>72</v>
      </c>
      <c r="B86" s="1118">
        <v>41</v>
      </c>
      <c r="C86" s="50" t="str">
        <f>LOOKUP(A86,'Base-D'!A:A,'Base-D'!AX:AX)</f>
        <v/>
      </c>
      <c r="D86" s="50" t="e">
        <f>LOOKUP(A86,'Base-D'!A:A,'Base-D'!AY:AY)</f>
        <v>#N/A</v>
      </c>
      <c r="E86" s="50">
        <f>LOOKUP(A86,'Base-D'!A:A,'Base-D'!R:R)</f>
        <v>0</v>
      </c>
      <c r="F86" s="51" t="e">
        <f t="shared" si="9"/>
        <v>#N/A</v>
      </c>
      <c r="G86" s="51">
        <f>LOOKUP(A86,'ورقة العمل'!A:A,'ورقة العمل'!E:E)</f>
        <v>0</v>
      </c>
      <c r="H86" s="51" t="e">
        <f>LOOKUP(A86,'Base-D'!A:A,'Base-D'!BK:BK)</f>
        <v>#N/A</v>
      </c>
      <c r="I86" s="51" t="e">
        <f>LOOKUP(A86,'Base-D'!A:A,'Base-D'!BM:BM)</f>
        <v>#N/A</v>
      </c>
      <c r="J86" s="51" t="e">
        <f t="shared" si="10"/>
        <v>#N/A</v>
      </c>
      <c r="K86" s="51">
        <f>LOOKUP(A86,'Base-D'!A:A,'Base-D'!BI:BI)</f>
        <v>0</v>
      </c>
      <c r="L86" s="51">
        <f>LOOKUP(A86,'Base-D'!A:A,'Base-D'!BG:BG)</f>
        <v>0</v>
      </c>
      <c r="M86" s="51">
        <f>LOOKUP(A86,'Base-D'!A:A,'Base-D'!BH:BH)</f>
        <v>0</v>
      </c>
      <c r="N86" s="51" t="e">
        <f t="shared" si="11"/>
        <v>#N/A</v>
      </c>
      <c r="O86" s="51" t="e">
        <f>LOOKUP(A86,'Base-D'!A:A,'Base-D'!AZ:AZ)</f>
        <v>#N/A</v>
      </c>
      <c r="P86" s="51" t="e">
        <f>LOOKUP(A86,'Base-D'!A:A,'Base-D'!AI:AI)</f>
        <v>#N/A</v>
      </c>
      <c r="Q86" s="51" t="e">
        <f>LOOKUP(A86,'Base-D'!A:A,'Base-D'!BB:BB)</f>
        <v>#N/A</v>
      </c>
      <c r="R86" s="51" t="e">
        <f>LOOKUP(A86,'Base-D'!A:A,'Base-D'!AJ:AJ)</f>
        <v>#N/A</v>
      </c>
      <c r="S86" s="51">
        <f>LOOKUP(A86,'Base-D'!A:A,'Base-D'!BC:BC)</f>
        <v>0</v>
      </c>
      <c r="T86" s="51" t="e">
        <f>LOOKUP(A86,'Base-D'!A:A,'Base-D'!BD:BD)</f>
        <v>#N/A</v>
      </c>
      <c r="U86" s="51">
        <f>LOOKUP(A86,'Base-D'!A:A,'Base-D'!BE:BE)</f>
        <v>0</v>
      </c>
      <c r="V86" s="51" t="e">
        <f>LOOKUP(A86,'Base-D'!A:A,'Base-D'!BF:BF)</f>
        <v>#N/A</v>
      </c>
      <c r="W86" s="51" t="e">
        <f>LOOKUP(A86,'Base-D'!A:A,'Base-D'!AT:AT)</f>
        <v>#N/A</v>
      </c>
      <c r="X86" s="51">
        <f>LOOKUP(A86,'Base-D'!A:A,'Base-D'!AE:AE)</f>
        <v>0</v>
      </c>
      <c r="Y86" s="51">
        <f>LOOKUP(A86,'ورقة العمل'!A:A,'ورقة العمل'!F:F)</f>
        <v>0</v>
      </c>
      <c r="Z86" s="689">
        <f>LOOKUP(A86,'Base-D'!A:A,'Base-D'!S:S)</f>
        <v>0</v>
      </c>
      <c r="AA86" s="51">
        <f>LOOKUP(A86,'Base-D'!A:A,'Base-D'!N:N)</f>
        <v>0</v>
      </c>
      <c r="AG86" s="1124" t="str">
        <f t="shared" si="6"/>
        <v/>
      </c>
      <c r="AH86" s="1124" t="str">
        <f t="shared" si="7"/>
        <v/>
      </c>
      <c r="AI86" s="1124" t="str">
        <f t="shared" si="8"/>
        <v/>
      </c>
    </row>
    <row r="87" spans="1:48" ht="63" hidden="1" customHeight="1">
      <c r="A87" s="81">
        <f>'Base-D'!A74</f>
        <v>73</v>
      </c>
      <c r="B87" s="1118">
        <v>42</v>
      </c>
      <c r="C87" s="50" t="str">
        <f>LOOKUP(A87,'Base-D'!A:A,'Base-D'!AX:AX)</f>
        <v/>
      </c>
      <c r="D87" s="50" t="e">
        <f>LOOKUP(A87,'Base-D'!A:A,'Base-D'!AY:AY)</f>
        <v>#N/A</v>
      </c>
      <c r="E87" s="50">
        <f>LOOKUP(A87,'Base-D'!A:A,'Base-D'!R:R)</f>
        <v>0</v>
      </c>
      <c r="F87" s="51" t="e">
        <f t="shared" si="9"/>
        <v>#N/A</v>
      </c>
      <c r="G87" s="51">
        <f>LOOKUP(A87,'ورقة العمل'!A:A,'ورقة العمل'!E:E)</f>
        <v>0</v>
      </c>
      <c r="H87" s="51" t="e">
        <f>LOOKUP(A87,'Base-D'!A:A,'Base-D'!BK:BK)</f>
        <v>#N/A</v>
      </c>
      <c r="I87" s="51" t="e">
        <f>LOOKUP(A87,'Base-D'!A:A,'Base-D'!BM:BM)</f>
        <v>#N/A</v>
      </c>
      <c r="J87" s="51" t="e">
        <f t="shared" si="10"/>
        <v>#N/A</v>
      </c>
      <c r="K87" s="51">
        <f>LOOKUP(A87,'Base-D'!A:A,'Base-D'!BI:BI)</f>
        <v>0</v>
      </c>
      <c r="L87" s="51">
        <f>LOOKUP(A87,'Base-D'!A:A,'Base-D'!BG:BG)</f>
        <v>0</v>
      </c>
      <c r="M87" s="51">
        <f>LOOKUP(A87,'Base-D'!A:A,'Base-D'!BH:BH)</f>
        <v>0</v>
      </c>
      <c r="N87" s="51" t="e">
        <f t="shared" si="11"/>
        <v>#N/A</v>
      </c>
      <c r="O87" s="51" t="e">
        <f>LOOKUP(A87,'Base-D'!A:A,'Base-D'!AZ:AZ)</f>
        <v>#N/A</v>
      </c>
      <c r="P87" s="51" t="e">
        <f>LOOKUP(A87,'Base-D'!A:A,'Base-D'!AI:AI)</f>
        <v>#N/A</v>
      </c>
      <c r="Q87" s="51" t="e">
        <f>LOOKUP(A87,'Base-D'!A:A,'Base-D'!BB:BB)</f>
        <v>#N/A</v>
      </c>
      <c r="R87" s="51" t="e">
        <f>LOOKUP(A87,'Base-D'!A:A,'Base-D'!AJ:AJ)</f>
        <v>#N/A</v>
      </c>
      <c r="S87" s="51">
        <f>LOOKUP(A87,'Base-D'!A:A,'Base-D'!BC:BC)</f>
        <v>0</v>
      </c>
      <c r="T87" s="51" t="e">
        <f>LOOKUP(A87,'Base-D'!A:A,'Base-D'!BD:BD)</f>
        <v>#N/A</v>
      </c>
      <c r="U87" s="51">
        <f>LOOKUP(A87,'Base-D'!A:A,'Base-D'!BE:BE)</f>
        <v>0</v>
      </c>
      <c r="V87" s="51" t="e">
        <f>LOOKUP(A87,'Base-D'!A:A,'Base-D'!BF:BF)</f>
        <v>#N/A</v>
      </c>
      <c r="W87" s="51" t="e">
        <f>LOOKUP(A87,'Base-D'!A:A,'Base-D'!AT:AT)</f>
        <v>#N/A</v>
      </c>
      <c r="X87" s="51">
        <f>LOOKUP(A87,'Base-D'!A:A,'Base-D'!AE:AE)</f>
        <v>0</v>
      </c>
      <c r="Y87" s="51">
        <f>LOOKUP(A87,'ورقة العمل'!A:A,'ورقة العمل'!F:F)</f>
        <v>0</v>
      </c>
      <c r="Z87" s="689">
        <f>LOOKUP(A87,'Base-D'!A:A,'Base-D'!S:S)</f>
        <v>0</v>
      </c>
      <c r="AA87" s="51">
        <f>LOOKUP(A87,'Base-D'!A:A,'Base-D'!N:N)</f>
        <v>0</v>
      </c>
      <c r="AG87" s="1124" t="str">
        <f t="shared" si="6"/>
        <v/>
      </c>
      <c r="AH87" s="1124" t="str">
        <f t="shared" si="7"/>
        <v/>
      </c>
      <c r="AI87" s="1124" t="str">
        <f t="shared" si="8"/>
        <v/>
      </c>
    </row>
    <row r="88" spans="1:48" ht="63" hidden="1" customHeight="1">
      <c r="A88" s="81">
        <f>'Base-D'!A75</f>
        <v>74</v>
      </c>
      <c r="B88" s="1118">
        <v>15</v>
      </c>
      <c r="C88" s="50" t="str">
        <f>LOOKUP(A88,'Base-D'!A:A,'Base-D'!AX:AX)</f>
        <v/>
      </c>
      <c r="D88" s="50" t="e">
        <f>LOOKUP(A88,'Base-D'!A:A,'Base-D'!AY:AY)</f>
        <v>#N/A</v>
      </c>
      <c r="E88" s="50">
        <f>LOOKUP(A88,'Base-D'!A:A,'Base-D'!R:R)</f>
        <v>0</v>
      </c>
      <c r="F88" s="51" t="e">
        <f t="shared" si="9"/>
        <v>#N/A</v>
      </c>
      <c r="G88" s="51">
        <f>LOOKUP(A88,'ورقة العمل'!A:A,'ورقة العمل'!E:E)</f>
        <v>0</v>
      </c>
      <c r="H88" s="51" t="e">
        <f>LOOKUP(A88,'Base-D'!A:A,'Base-D'!BK:BK)</f>
        <v>#N/A</v>
      </c>
      <c r="I88" s="51" t="e">
        <f>LOOKUP(A88,'Base-D'!A:A,'Base-D'!BM:BM)</f>
        <v>#N/A</v>
      </c>
      <c r="J88" s="51" t="e">
        <f t="shared" si="10"/>
        <v>#N/A</v>
      </c>
      <c r="K88" s="51">
        <f>LOOKUP(A88,'Base-D'!A:A,'Base-D'!BI:BI)</f>
        <v>0</v>
      </c>
      <c r="L88" s="51">
        <f>LOOKUP(A88,'Base-D'!A:A,'Base-D'!BG:BG)</f>
        <v>0</v>
      </c>
      <c r="M88" s="51">
        <f>LOOKUP(A88,'Base-D'!A:A,'Base-D'!BH:BH)</f>
        <v>0</v>
      </c>
      <c r="N88" s="51" t="e">
        <f t="shared" si="11"/>
        <v>#N/A</v>
      </c>
      <c r="O88" s="51" t="e">
        <f>LOOKUP(A88,'Base-D'!A:A,'Base-D'!AZ:AZ)</f>
        <v>#N/A</v>
      </c>
      <c r="P88" s="51" t="e">
        <f>LOOKUP(A88,'Base-D'!A:A,'Base-D'!AI:AI)</f>
        <v>#N/A</v>
      </c>
      <c r="Q88" s="51" t="e">
        <f>LOOKUP(A88,'Base-D'!A:A,'Base-D'!BB:BB)</f>
        <v>#N/A</v>
      </c>
      <c r="R88" s="51" t="e">
        <f>LOOKUP(A88,'Base-D'!A:A,'Base-D'!AJ:AJ)</f>
        <v>#N/A</v>
      </c>
      <c r="S88" s="51">
        <f>LOOKUP(A88,'Base-D'!A:A,'Base-D'!BC:BC)</f>
        <v>0</v>
      </c>
      <c r="T88" s="51" t="e">
        <f>LOOKUP(A88,'Base-D'!A:A,'Base-D'!BD:BD)</f>
        <v>#N/A</v>
      </c>
      <c r="U88" s="51">
        <f>LOOKUP(A88,'Base-D'!A:A,'Base-D'!BE:BE)</f>
        <v>0</v>
      </c>
      <c r="V88" s="51" t="e">
        <f>LOOKUP(A88,'Base-D'!A:A,'Base-D'!BF:BF)</f>
        <v>#N/A</v>
      </c>
      <c r="W88" s="51" t="e">
        <f>LOOKUP(A88,'Base-D'!A:A,'Base-D'!AT:AT)</f>
        <v>#N/A</v>
      </c>
      <c r="X88" s="51">
        <f>LOOKUP(A88,'Base-D'!A:A,'Base-D'!AE:AE)</f>
        <v>0</v>
      </c>
      <c r="Y88" s="51">
        <f>LOOKUP(A88,'ورقة العمل'!A:A,'ورقة العمل'!F:F)</f>
        <v>0</v>
      </c>
      <c r="Z88" s="689">
        <f>LOOKUP(A88,'Base-D'!A:A,'Base-D'!S:S)</f>
        <v>0</v>
      </c>
      <c r="AA88" s="51">
        <f>LOOKUP(A88,'Base-D'!A:A,'Base-D'!N:N)</f>
        <v>0</v>
      </c>
      <c r="AG88" s="1124" t="str">
        <f t="shared" si="6"/>
        <v/>
      </c>
      <c r="AH88" s="1124" t="str">
        <f t="shared" si="7"/>
        <v/>
      </c>
      <c r="AI88" s="1124" t="str">
        <f t="shared" si="8"/>
        <v/>
      </c>
    </row>
    <row r="89" spans="1:48" ht="63" hidden="1" customHeight="1">
      <c r="A89" s="81">
        <f>'Base-D'!A76</f>
        <v>75</v>
      </c>
      <c r="B89" s="1118">
        <v>16</v>
      </c>
      <c r="C89" s="50" t="str">
        <f>LOOKUP(A89,'Base-D'!A:A,'Base-D'!AX:AX)</f>
        <v/>
      </c>
      <c r="D89" s="50" t="e">
        <f>LOOKUP(A89,'Base-D'!A:A,'Base-D'!AY:AY)</f>
        <v>#N/A</v>
      </c>
      <c r="E89" s="50">
        <f>LOOKUP(A89,'Base-D'!A:A,'Base-D'!R:R)</f>
        <v>0</v>
      </c>
      <c r="F89" s="51" t="e">
        <f t="shared" si="9"/>
        <v>#N/A</v>
      </c>
      <c r="G89" s="51">
        <f>LOOKUP(A89,'ورقة العمل'!A:A,'ورقة العمل'!E:E)</f>
        <v>0</v>
      </c>
      <c r="H89" s="51" t="e">
        <f>LOOKUP(A89,'Base-D'!A:A,'Base-D'!BK:BK)</f>
        <v>#N/A</v>
      </c>
      <c r="I89" s="51" t="e">
        <f>LOOKUP(A89,'Base-D'!A:A,'Base-D'!BM:BM)</f>
        <v>#N/A</v>
      </c>
      <c r="J89" s="51" t="e">
        <f t="shared" si="10"/>
        <v>#N/A</v>
      </c>
      <c r="K89" s="51">
        <f>LOOKUP(A89,'Base-D'!A:A,'Base-D'!BI:BI)</f>
        <v>0</v>
      </c>
      <c r="L89" s="51">
        <f>LOOKUP(A89,'Base-D'!A:A,'Base-D'!BG:BG)</f>
        <v>0</v>
      </c>
      <c r="M89" s="51">
        <f>LOOKUP(A89,'Base-D'!A:A,'Base-D'!BH:BH)</f>
        <v>0</v>
      </c>
      <c r="N89" s="51" t="e">
        <f t="shared" si="11"/>
        <v>#N/A</v>
      </c>
      <c r="O89" s="51" t="e">
        <f>LOOKUP(A89,'Base-D'!A:A,'Base-D'!AZ:AZ)</f>
        <v>#N/A</v>
      </c>
      <c r="P89" s="51" t="e">
        <f>LOOKUP(A89,'Base-D'!A:A,'Base-D'!AI:AI)</f>
        <v>#N/A</v>
      </c>
      <c r="Q89" s="51" t="e">
        <f>LOOKUP(A89,'Base-D'!A:A,'Base-D'!BB:BB)</f>
        <v>#N/A</v>
      </c>
      <c r="R89" s="51" t="e">
        <f>LOOKUP(A89,'Base-D'!A:A,'Base-D'!AJ:AJ)</f>
        <v>#N/A</v>
      </c>
      <c r="S89" s="51">
        <f>LOOKUP(A89,'Base-D'!A:A,'Base-D'!BC:BC)</f>
        <v>0</v>
      </c>
      <c r="T89" s="51" t="e">
        <f>LOOKUP(A89,'Base-D'!A:A,'Base-D'!BD:BD)</f>
        <v>#N/A</v>
      </c>
      <c r="U89" s="51">
        <f>LOOKUP(A89,'Base-D'!A:A,'Base-D'!BE:BE)</f>
        <v>0</v>
      </c>
      <c r="V89" s="51" t="e">
        <f>LOOKUP(A89,'Base-D'!A:A,'Base-D'!BF:BF)</f>
        <v>#N/A</v>
      </c>
      <c r="W89" s="51" t="e">
        <f>LOOKUP(A89,'Base-D'!A:A,'Base-D'!AT:AT)</f>
        <v>#N/A</v>
      </c>
      <c r="X89" s="51">
        <f>LOOKUP(A89,'Base-D'!A:A,'Base-D'!AE:AE)</f>
        <v>0</v>
      </c>
      <c r="Y89" s="51">
        <f>LOOKUP(A89,'ورقة العمل'!A:A,'ورقة العمل'!F:F)</f>
        <v>0</v>
      </c>
      <c r="Z89" s="689">
        <f>LOOKUP(A89,'Base-D'!A:A,'Base-D'!S:S)</f>
        <v>0</v>
      </c>
      <c r="AA89" s="51">
        <f>LOOKUP(A89,'Base-D'!A:A,'Base-D'!N:N)</f>
        <v>0</v>
      </c>
      <c r="AG89" s="1124" t="str">
        <f t="shared" si="6"/>
        <v/>
      </c>
      <c r="AH89" s="1124" t="str">
        <f t="shared" si="7"/>
        <v/>
      </c>
      <c r="AI89" s="1124" t="str">
        <f t="shared" si="8"/>
        <v/>
      </c>
    </row>
    <row r="90" spans="1:48" ht="63" hidden="1" customHeight="1">
      <c r="A90" s="81">
        <f>'Base-D'!A77</f>
        <v>76</v>
      </c>
      <c r="B90" s="1118">
        <v>17</v>
      </c>
      <c r="C90" s="50" t="str">
        <f>LOOKUP(A90,'Base-D'!A:A,'Base-D'!AX:AX)</f>
        <v/>
      </c>
      <c r="D90" s="50" t="e">
        <f>LOOKUP(A90,'Base-D'!A:A,'Base-D'!AY:AY)</f>
        <v>#N/A</v>
      </c>
      <c r="E90" s="50">
        <f>LOOKUP(A90,'Base-D'!A:A,'Base-D'!R:R)</f>
        <v>0</v>
      </c>
      <c r="F90" s="51" t="e">
        <f t="shared" ref="F90:F92" si="12">N90-M90-L90-K90-J90-I90-H90-G90</f>
        <v>#N/A</v>
      </c>
      <c r="G90" s="51">
        <f>LOOKUP(A90,'ورقة العمل'!A:A,'ورقة العمل'!E:E)</f>
        <v>0</v>
      </c>
      <c r="H90" s="51" t="e">
        <f>LOOKUP(A90,'Base-D'!A:A,'Base-D'!BK:BK)</f>
        <v>#N/A</v>
      </c>
      <c r="I90" s="51" t="e">
        <f>LOOKUP(A90,'Base-D'!A:A,'Base-D'!BM:BM)</f>
        <v>#N/A</v>
      </c>
      <c r="J90" s="51" t="e">
        <f t="shared" ref="J90:J92" si="13">ROUND((N90-X90-M90-L90-K90-I90-H90)*Y90/30,2)</f>
        <v>#N/A</v>
      </c>
      <c r="K90" s="51">
        <f>LOOKUP(A90,'Base-D'!A:A,'Base-D'!BI:BI)</f>
        <v>0</v>
      </c>
      <c r="L90" s="51">
        <f>LOOKUP(A90,'Base-D'!A:A,'Base-D'!BG:BG)</f>
        <v>0</v>
      </c>
      <c r="M90" s="51">
        <f>LOOKUP(A90,'Base-D'!A:A,'Base-D'!BH:BH)</f>
        <v>0</v>
      </c>
      <c r="N90" s="51" t="e">
        <f t="shared" si="11"/>
        <v>#N/A</v>
      </c>
      <c r="O90" s="51" t="e">
        <f>LOOKUP(A90,'Base-D'!A:A,'Base-D'!AZ:AZ)</f>
        <v>#N/A</v>
      </c>
      <c r="P90" s="51" t="e">
        <f>LOOKUP(A90,'Base-D'!A:A,'Base-D'!AI:AI)</f>
        <v>#N/A</v>
      </c>
      <c r="Q90" s="51" t="e">
        <f>LOOKUP(A90,'Base-D'!A:A,'Base-D'!BB:BB)</f>
        <v>#N/A</v>
      </c>
      <c r="R90" s="51" t="e">
        <f>LOOKUP(A90,'Base-D'!A:A,'Base-D'!AJ:AJ)</f>
        <v>#N/A</v>
      </c>
      <c r="S90" s="51">
        <f>LOOKUP(A90,'Base-D'!A:A,'Base-D'!BC:BC)</f>
        <v>0</v>
      </c>
      <c r="T90" s="51" t="e">
        <f>LOOKUP(A90,'Base-D'!A:A,'Base-D'!BD:BD)</f>
        <v>#N/A</v>
      </c>
      <c r="U90" s="51">
        <f>LOOKUP(A90,'Base-D'!A:A,'Base-D'!BE:BE)</f>
        <v>0</v>
      </c>
      <c r="V90" s="51" t="e">
        <f>LOOKUP(A90,'Base-D'!A:A,'Base-D'!BF:BF)</f>
        <v>#N/A</v>
      </c>
      <c r="W90" s="51" t="e">
        <f>LOOKUP(A90,'Base-D'!A:A,'Base-D'!AT:AT)</f>
        <v>#N/A</v>
      </c>
      <c r="X90" s="51">
        <f>LOOKUP(A90,'Base-D'!A:A,'Base-D'!AE:AE)</f>
        <v>0</v>
      </c>
      <c r="Y90" s="51">
        <f>LOOKUP(A90,'ورقة العمل'!A:A,'ورقة العمل'!F:F)</f>
        <v>0</v>
      </c>
      <c r="Z90" s="689">
        <f>LOOKUP(A90,'Base-D'!A:A,'Base-D'!S:S)</f>
        <v>0</v>
      </c>
      <c r="AA90" s="51">
        <f>LOOKUP(A90,'Base-D'!A:A,'Base-D'!N:N)</f>
        <v>0</v>
      </c>
      <c r="AG90" s="1124" t="str">
        <f t="shared" si="6"/>
        <v/>
      </c>
      <c r="AH90" s="1124" t="str">
        <f t="shared" si="7"/>
        <v/>
      </c>
      <c r="AI90" s="1124" t="str">
        <f t="shared" si="8"/>
        <v/>
      </c>
    </row>
    <row r="91" spans="1:48" ht="63" hidden="1" customHeight="1">
      <c r="A91" s="81">
        <f>'Base-D'!A78</f>
        <v>77</v>
      </c>
      <c r="B91" s="1118">
        <v>5</v>
      </c>
      <c r="C91" s="50" t="str">
        <f>LOOKUP(A91,'Base-D'!A:A,'Base-D'!AX:AX)</f>
        <v/>
      </c>
      <c r="D91" s="50" t="e">
        <f>LOOKUP(A91,'Base-D'!A:A,'Base-D'!AY:AY)</f>
        <v>#N/A</v>
      </c>
      <c r="E91" s="50">
        <f>LOOKUP(A91,'Base-D'!A:A,'Base-D'!R:R)</f>
        <v>0</v>
      </c>
      <c r="F91" s="51" t="e">
        <f t="shared" si="12"/>
        <v>#N/A</v>
      </c>
      <c r="G91" s="51">
        <f>LOOKUP(A91,'ورقة العمل'!A:A,'ورقة العمل'!E:E)</f>
        <v>0</v>
      </c>
      <c r="H91" s="51" t="e">
        <f>LOOKUP(A91,'Base-D'!A:A,'Base-D'!BK:BK)</f>
        <v>#N/A</v>
      </c>
      <c r="I91" s="51" t="e">
        <f>LOOKUP(A91,'Base-D'!A:A,'Base-D'!BM:BM)</f>
        <v>#N/A</v>
      </c>
      <c r="J91" s="51" t="e">
        <f t="shared" si="13"/>
        <v>#N/A</v>
      </c>
      <c r="K91" s="51">
        <f>LOOKUP(A91,'Base-D'!A:A,'Base-D'!BI:BI)</f>
        <v>0</v>
      </c>
      <c r="L91" s="51">
        <f>LOOKUP(A91,'Base-D'!A:A,'Base-D'!BG:BG)</f>
        <v>0</v>
      </c>
      <c r="M91" s="51">
        <f>LOOKUP(A91,'Base-D'!A:A,'Base-D'!BH:BH)</f>
        <v>0</v>
      </c>
      <c r="N91" s="51" t="e">
        <f t="shared" si="11"/>
        <v>#N/A</v>
      </c>
      <c r="O91" s="51" t="e">
        <f>LOOKUP(A91,'Base-D'!A:A,'Base-D'!AZ:AZ)</f>
        <v>#N/A</v>
      </c>
      <c r="P91" s="51" t="e">
        <f>LOOKUP(A91,'Base-D'!A:A,'Base-D'!AI:AI)</f>
        <v>#N/A</v>
      </c>
      <c r="Q91" s="51" t="e">
        <f>LOOKUP(A91,'Base-D'!A:A,'Base-D'!BB:BB)</f>
        <v>#N/A</v>
      </c>
      <c r="R91" s="51" t="e">
        <f>LOOKUP(A91,'Base-D'!A:A,'Base-D'!AJ:AJ)</f>
        <v>#N/A</v>
      </c>
      <c r="S91" s="51">
        <f>LOOKUP(A91,'Base-D'!A:A,'Base-D'!BC:BC)</f>
        <v>0</v>
      </c>
      <c r="T91" s="51" t="e">
        <f>LOOKUP(A91,'Base-D'!A:A,'Base-D'!BD:BD)</f>
        <v>#N/A</v>
      </c>
      <c r="U91" s="51">
        <f>LOOKUP(A91,'Base-D'!A:A,'Base-D'!BE:BE)</f>
        <v>0</v>
      </c>
      <c r="V91" s="51" t="e">
        <f>LOOKUP(A91,'Base-D'!A:A,'Base-D'!BF:BF)</f>
        <v>#N/A</v>
      </c>
      <c r="W91" s="51" t="e">
        <f>LOOKUP(A91,'Base-D'!A:A,'Base-D'!AT:AT)</f>
        <v>#N/A</v>
      </c>
      <c r="X91" s="51">
        <f>LOOKUP(A91,'Base-D'!A:A,'Base-D'!AE:AE)</f>
        <v>0</v>
      </c>
      <c r="Y91" s="51">
        <f>LOOKUP(A91,'ورقة العمل'!A:A,'ورقة العمل'!F:F)</f>
        <v>0</v>
      </c>
      <c r="Z91" s="689">
        <f>LOOKUP(A91,'Base-D'!A:A,'Base-D'!S:S)</f>
        <v>0</v>
      </c>
      <c r="AA91" s="51">
        <f>LOOKUP(A91,'Base-D'!A:A,'Base-D'!N:N)</f>
        <v>0</v>
      </c>
      <c r="AG91" s="1124" t="str">
        <f>IF(Z91="لبنك الوطني الجزائري",B91,"")</f>
        <v/>
      </c>
      <c r="AH91" s="1124" t="str">
        <f>IF(Z91="بنك التنمية المحلية",B91,"")</f>
        <v/>
      </c>
      <c r="AI91" s="1124" t="str">
        <f>IF(Z91="بنك الفلاحة و التنمية الريفية",B91,"")</f>
        <v/>
      </c>
    </row>
    <row r="92" spans="1:48" ht="63" hidden="1" customHeight="1">
      <c r="A92" s="81">
        <f>'Base-D'!A79</f>
        <v>78</v>
      </c>
      <c r="B92" s="1118">
        <v>18</v>
      </c>
      <c r="C92" s="50" t="str">
        <f>LOOKUP(A92,'Base-D'!A:A,'Base-D'!AX:AX)</f>
        <v/>
      </c>
      <c r="D92" s="50" t="e">
        <f>LOOKUP(A92,'Base-D'!A:A,'Base-D'!AY:AY)</f>
        <v>#N/A</v>
      </c>
      <c r="E92" s="50">
        <f>LOOKUP(A92,'Base-D'!A:A,'Base-D'!R:R)</f>
        <v>0</v>
      </c>
      <c r="F92" s="51" t="e">
        <f t="shared" si="12"/>
        <v>#N/A</v>
      </c>
      <c r="G92" s="51">
        <f>LOOKUP(A92,'ورقة العمل'!A:A,'ورقة العمل'!E:E)</f>
        <v>0</v>
      </c>
      <c r="H92" s="51" t="e">
        <f>LOOKUP(A92,'Base-D'!A:A,'Base-D'!BK:BK)</f>
        <v>#N/A</v>
      </c>
      <c r="I92" s="51" t="e">
        <f>LOOKUP(A92,'Base-D'!A:A,'Base-D'!BM:BM)</f>
        <v>#N/A</v>
      </c>
      <c r="J92" s="51" t="e">
        <f t="shared" si="13"/>
        <v>#N/A</v>
      </c>
      <c r="K92" s="51">
        <f>LOOKUP(A92,'Base-D'!A:A,'Base-D'!BI:BI)</f>
        <v>0</v>
      </c>
      <c r="L92" s="51">
        <f>LOOKUP(A92,'Base-D'!A:A,'Base-D'!BG:BG)</f>
        <v>0</v>
      </c>
      <c r="M92" s="51">
        <f>LOOKUP(A92,'Base-D'!A:A,'Base-D'!BH:BH)</f>
        <v>0</v>
      </c>
      <c r="N92" s="51" t="e">
        <f t="shared" si="11"/>
        <v>#N/A</v>
      </c>
      <c r="O92" s="51" t="e">
        <f>LOOKUP(A92,'Base-D'!A:A,'Base-D'!AZ:AZ)</f>
        <v>#N/A</v>
      </c>
      <c r="P92" s="51" t="e">
        <f>LOOKUP(A92,'Base-D'!A:A,'Base-D'!AI:AI)</f>
        <v>#N/A</v>
      </c>
      <c r="Q92" s="51" t="e">
        <f>LOOKUP(A92,'Base-D'!A:A,'Base-D'!BB:BB)</f>
        <v>#N/A</v>
      </c>
      <c r="R92" s="51" t="e">
        <f>LOOKUP(A92,'Base-D'!A:A,'Base-D'!AJ:AJ)</f>
        <v>#N/A</v>
      </c>
      <c r="S92" s="51">
        <f>LOOKUP(A92,'Base-D'!A:A,'Base-D'!BC:BC)</f>
        <v>0</v>
      </c>
      <c r="T92" s="51" t="e">
        <f>LOOKUP(A92,'Base-D'!A:A,'Base-D'!BD:BD)</f>
        <v>#N/A</v>
      </c>
      <c r="U92" s="51">
        <f>LOOKUP(A92,'Base-D'!A:A,'Base-D'!BE:BE)</f>
        <v>0</v>
      </c>
      <c r="V92" s="51" t="e">
        <f>LOOKUP(A92,'Base-D'!A:A,'Base-D'!BF:BF)</f>
        <v>#N/A</v>
      </c>
      <c r="W92" s="51" t="e">
        <f>LOOKUP(A92,'Base-D'!A:A,'Base-D'!AT:AT)</f>
        <v>#N/A</v>
      </c>
      <c r="X92" s="51">
        <f>LOOKUP(A92,'Base-D'!A:A,'Base-D'!AE:AE)</f>
        <v>0</v>
      </c>
      <c r="Y92" s="51">
        <f>LOOKUP(A92,'ورقة العمل'!A:A,'ورقة العمل'!F:F)</f>
        <v>0</v>
      </c>
      <c r="Z92" s="689">
        <f>LOOKUP(A92,'Base-D'!A:A,'Base-D'!S:S)</f>
        <v>0</v>
      </c>
      <c r="AA92" s="51">
        <f>LOOKUP(A92,'Base-D'!A:A,'Base-D'!N:N)</f>
        <v>0</v>
      </c>
      <c r="AG92" s="1124" t="str">
        <f>IF(Z92="لبنك الوطني الجزائري",B92,"")</f>
        <v/>
      </c>
      <c r="AH92" s="1124" t="str">
        <f>IF(Z92="بنك التنمية المحلية",B92,"")</f>
        <v/>
      </c>
      <c r="AI92" s="1124" t="str">
        <f>IF(Z92="بنك الفلاحة و التنمية الريفية",B92,"")</f>
        <v/>
      </c>
    </row>
    <row r="93" spans="1:48" ht="35.25" hidden="1" thickBot="1">
      <c r="A93" s="81"/>
      <c r="B93" s="1118"/>
      <c r="C93" s="50"/>
      <c r="D93" s="50"/>
      <c r="E93" s="50"/>
      <c r="F93" s="51"/>
      <c r="G93" s="51"/>
      <c r="H93" s="51"/>
      <c r="I93" s="54"/>
      <c r="J93" s="51"/>
      <c r="K93" s="51"/>
      <c r="L93" s="51"/>
      <c r="M93" s="51"/>
      <c r="N93" s="51"/>
      <c r="O93" s="51"/>
      <c r="P93" s="51"/>
      <c r="Q93" s="51"/>
      <c r="R93" s="51"/>
      <c r="S93" s="51"/>
      <c r="T93" s="51"/>
      <c r="U93" s="51"/>
      <c r="V93" s="51"/>
      <c r="W93" s="51"/>
      <c r="X93" s="51"/>
      <c r="Y93" s="51"/>
    </row>
    <row r="94" spans="1:48" s="24" customFormat="1" ht="132" hidden="1" customHeight="1" thickBot="1">
      <c r="A94" s="82"/>
      <c r="B94" s="1406" t="s">
        <v>32</v>
      </c>
      <c r="C94" s="1407"/>
      <c r="D94" s="1407"/>
      <c r="E94" s="1408"/>
      <c r="F94" s="22">
        <f>SUMIF(Z15:Z93,Z94,F15:F93)</f>
        <v>770058.66</v>
      </c>
      <c r="G94" s="22">
        <f>SUMIF(Z15:Z93,Z94,G15:G93)</f>
        <v>35000</v>
      </c>
      <c r="H94" s="22">
        <f>SUMIF(Z15:Z93,Z94,H15:H93)</f>
        <v>91427.3</v>
      </c>
      <c r="I94" s="22">
        <f>SUMIF(Z15:Z93,Z94,I15:I93)</f>
        <v>97911.71</v>
      </c>
      <c r="J94" s="23">
        <f>SUMIF(Z15:Z93,Z94,J15:J93)</f>
        <v>35305.160000000003</v>
      </c>
      <c r="K94" s="23">
        <f>SUMIF(Z15:Z93,Z94,K15:K93)</f>
        <v>0</v>
      </c>
      <c r="L94" s="23">
        <f>SUMIF(Z15:Z93,Z94,L15:L93)</f>
        <v>0</v>
      </c>
      <c r="M94" s="23">
        <f>SUMIF(Z15:Z93,Z94,M15:M93)</f>
        <v>3890.67</v>
      </c>
      <c r="N94" s="23">
        <f>SUMIF(Z15:Z93,Z94,N15:N93)</f>
        <v>1033593.5</v>
      </c>
      <c r="O94" s="23">
        <f>SUMIF(Z15:Z93,Z94,O15:O93)</f>
        <v>457830</v>
      </c>
      <c r="P94" s="23">
        <f>SUMIF(Z15:Z93,Z94,P15:P93)</f>
        <v>19421.5</v>
      </c>
      <c r="Q94" s="23">
        <f>SUMIF(Z15:Z93,Z94,Q15:Q93)</f>
        <v>151236</v>
      </c>
      <c r="R94" s="23">
        <f>SUMIF(Z15:Z93,Z94,R15:R93)</f>
        <v>272232</v>
      </c>
      <c r="S94" s="23">
        <f>SUMIF(Z15:Z93,Z94,S15:S93)</f>
        <v>0</v>
      </c>
      <c r="T94" s="23">
        <f>SUMIF(Z15:Z93,Z94,T15:T93)</f>
        <v>24400</v>
      </c>
      <c r="U94" s="23">
        <f>SUMIF(Z15:Z93,Z94,U15:U93)</f>
        <v>10000</v>
      </c>
      <c r="V94" s="23">
        <f>SUMIF(Z15:Z93,Z94,V15:V93)</f>
        <v>80739</v>
      </c>
      <c r="W94" s="23">
        <f>SUMIF(Z15:Z93,Z94,W15:W93)</f>
        <v>0</v>
      </c>
      <c r="X94" s="23">
        <f>SUMIF(Z15:Z93,Z94,X15:X93)</f>
        <v>17735</v>
      </c>
      <c r="Y94" s="23"/>
      <c r="Z94" s="685" t="s">
        <v>550</v>
      </c>
      <c r="AA94" s="55">
        <f>AD1</f>
        <v>0</v>
      </c>
      <c r="AB94" s="24">
        <f>SUMIF(Z15:Z93,Z94,AA15:AA93)</f>
        <v>0</v>
      </c>
      <c r="AD94" s="65"/>
      <c r="AE94" s="71"/>
      <c r="AF94" s="65"/>
      <c r="AG94" s="1123"/>
      <c r="AH94" s="1119"/>
      <c r="AI94" s="1123"/>
      <c r="AJ94" s="65"/>
      <c r="AK94" s="25"/>
      <c r="AM94" s="25"/>
      <c r="AO94" s="25"/>
      <c r="AQ94" s="25"/>
      <c r="AU94" s="26"/>
      <c r="AV94" s="26"/>
    </row>
    <row r="95" spans="1:48" s="2" customFormat="1" ht="34.5" hidden="1" thickBot="1">
      <c r="A95" s="78"/>
      <c r="B95" s="14"/>
      <c r="C95" s="14"/>
      <c r="D95" s="27"/>
      <c r="E95" s="14"/>
      <c r="F95" s="16"/>
      <c r="G95" s="16"/>
      <c r="H95" s="16"/>
      <c r="I95" s="16"/>
      <c r="J95" s="14"/>
      <c r="K95" s="14"/>
      <c r="L95" s="14"/>
      <c r="M95" s="15"/>
      <c r="N95" s="16"/>
      <c r="O95" s="14"/>
      <c r="P95" s="14"/>
      <c r="Q95" s="14"/>
      <c r="R95" s="14"/>
      <c r="S95" s="14"/>
      <c r="T95" s="14"/>
      <c r="U95" s="14"/>
      <c r="V95" s="14"/>
      <c r="W95" s="14"/>
      <c r="X95" s="14"/>
      <c r="Y95" s="5"/>
      <c r="Z95" s="685" t="s">
        <v>550</v>
      </c>
      <c r="AD95" s="67"/>
      <c r="AE95" s="72"/>
      <c r="AF95" s="67"/>
      <c r="AG95" s="1125"/>
      <c r="AH95" s="1121"/>
      <c r="AI95" s="1125"/>
      <c r="AJ95" s="67"/>
      <c r="AK95" s="6"/>
      <c r="AM95" s="6"/>
      <c r="AO95" s="6"/>
      <c r="AQ95" s="6"/>
      <c r="AU95" s="28"/>
      <c r="AV95" s="28"/>
    </row>
    <row r="96" spans="1:48" s="2" customFormat="1" ht="89.25" hidden="1" thickBot="1">
      <c r="A96" s="78"/>
      <c r="B96" s="13"/>
      <c r="C96" s="29" t="s">
        <v>33</v>
      </c>
      <c r="D96" s="30" t="str">
        <f>[1]!Arreta(N94)</f>
        <v>مليون وثلاثة وثلاثون ألف وخمسمائة وثلاثة وتسعون دينار جزائري وخمسون سنتيما</v>
      </c>
      <c r="E96" s="30"/>
      <c r="F96" s="14"/>
      <c r="G96" s="14"/>
      <c r="H96" s="14"/>
      <c r="I96" s="14"/>
      <c r="J96" s="14"/>
      <c r="K96" s="14"/>
      <c r="L96" s="14"/>
      <c r="M96" s="31"/>
      <c r="N96" s="16"/>
      <c r="O96" s="32"/>
      <c r="P96" s="14"/>
      <c r="Q96" s="14"/>
      <c r="R96" s="14"/>
      <c r="S96" s="14"/>
      <c r="T96" s="33"/>
      <c r="U96" s="14"/>
      <c r="V96" s="14"/>
      <c r="W96" s="14"/>
      <c r="X96" s="14"/>
      <c r="Y96" s="5"/>
      <c r="Z96" s="685" t="s">
        <v>550</v>
      </c>
      <c r="AD96" s="67"/>
      <c r="AE96" s="67"/>
      <c r="AF96" s="67"/>
      <c r="AG96" s="1125"/>
      <c r="AH96" s="1121"/>
      <c r="AI96" s="1125"/>
      <c r="AJ96" s="67"/>
      <c r="AK96" s="6"/>
      <c r="AM96" s="6"/>
      <c r="AO96" s="6"/>
      <c r="AQ96" s="6"/>
      <c r="AU96" s="28"/>
      <c r="AV96" s="28"/>
    </row>
    <row r="97" spans="1:48" ht="45.75" hidden="1" thickBot="1">
      <c r="I97" s="1339">
        <f>الرئيسية!$N$10</f>
        <v>43617</v>
      </c>
      <c r="Z97" s="686"/>
    </row>
    <row r="98" spans="1:48" ht="36" hidden="1" thickBot="1">
      <c r="Z98" s="686"/>
    </row>
    <row r="99" spans="1:48" s="24" customFormat="1" ht="132" customHeight="1" thickBot="1">
      <c r="A99" s="82"/>
      <c r="B99" s="1406" t="s">
        <v>32</v>
      </c>
      <c r="C99" s="1407"/>
      <c r="D99" s="1407"/>
      <c r="E99" s="1408"/>
      <c r="F99" s="22">
        <f>SUMIF(Z15:Z93,Z99,F15:F93)</f>
        <v>295958.37</v>
      </c>
      <c r="G99" s="22">
        <f>SUMIF(Z15:Z93,Z99,G15:G93)</f>
        <v>10000</v>
      </c>
      <c r="H99" s="22">
        <f>SUMIF(Z15:Z93,Z99,H15:H93)</f>
        <v>34984.06</v>
      </c>
      <c r="I99" s="22">
        <f>SUMIF(Z15:Z93,Z99,I15:I93)</f>
        <v>44188.62</v>
      </c>
      <c r="J99" s="23">
        <f>SUMIF(Z15:Z93,Z99,J15:J93)</f>
        <v>0</v>
      </c>
      <c r="K99" s="23">
        <f>SUMIF(Z15:Z93,Z99,K15:K93)</f>
        <v>9523.81</v>
      </c>
      <c r="L99" s="23">
        <f>SUMIF(Z15:Z93,Z99,L15:L93)</f>
        <v>2057.1799999999998</v>
      </c>
      <c r="M99" s="23">
        <f>SUMIF(Z15:Z93,Z99,M15:M93)</f>
        <v>4055.96</v>
      </c>
      <c r="N99" s="23">
        <f>SUMIF(Z15:Z93,Z99,N15:N93)</f>
        <v>400768</v>
      </c>
      <c r="O99" s="23">
        <f>SUMIF(Z15:Z93,Z99,O15:O93)</f>
        <v>147520</v>
      </c>
      <c r="P99" s="23">
        <f>SUMIF(Z15:Z93,Z99,P15:P93)</f>
        <v>7091</v>
      </c>
      <c r="Q99" s="23">
        <f>SUMIF(Z15:Z93,Z99,Q15:Q93)</f>
        <v>25893</v>
      </c>
      <c r="R99" s="23">
        <f>SUMIF(Z15:Z93,Z99,R15:R93)</f>
        <v>79321.5</v>
      </c>
      <c r="S99" s="23">
        <f>SUMIF(Z15:Z93,Z99,S15:S93)</f>
        <v>37440</v>
      </c>
      <c r="T99" s="23">
        <f>SUMIF(Z15:Z93,Z99,T15:T93)</f>
        <v>38040</v>
      </c>
      <c r="U99" s="23">
        <f>SUMIF(Z15:Z93,Z99,U15:U93)</f>
        <v>10000</v>
      </c>
      <c r="V99" s="23">
        <f>SUMIF(Z15:Z93,Z99,V15:V93)</f>
        <v>51406.25</v>
      </c>
      <c r="W99" s="23">
        <f>SUMIF(Z15:Z93,Z99,W15:W93)</f>
        <v>0</v>
      </c>
      <c r="X99" s="23">
        <f>SUMIF(Z15:Z93,Z99,X15:X93)</f>
        <v>4056.25</v>
      </c>
      <c r="Y99" s="23"/>
      <c r="Z99" s="685" t="s">
        <v>549</v>
      </c>
      <c r="AA99" s="55">
        <f>AA94+1</f>
        <v>1</v>
      </c>
      <c r="AB99" s="24">
        <f>SUMIF(Z15:Z93,Z99,AA15:AA93)</f>
        <v>8000</v>
      </c>
      <c r="AD99" s="65"/>
      <c r="AE99" s="71"/>
      <c r="AF99" s="65"/>
      <c r="AG99" s="1123"/>
      <c r="AH99" s="1119"/>
      <c r="AI99" s="1123"/>
      <c r="AJ99" s="65"/>
      <c r="AK99" s="25"/>
      <c r="AM99" s="25"/>
      <c r="AO99" s="25"/>
      <c r="AQ99" s="25"/>
      <c r="AU99" s="26"/>
      <c r="AV99" s="26"/>
    </row>
    <row r="100" spans="1:48" s="2" customFormat="1" ht="33.75">
      <c r="A100" s="78"/>
      <c r="B100" s="14"/>
      <c r="C100" s="14"/>
      <c r="D100" s="27"/>
      <c r="E100" s="14"/>
      <c r="F100" s="16"/>
      <c r="G100" s="16"/>
      <c r="H100" s="16"/>
      <c r="I100" s="16"/>
      <c r="J100" s="14"/>
      <c r="K100" s="14"/>
      <c r="L100" s="14"/>
      <c r="M100" s="15"/>
      <c r="N100" s="16"/>
      <c r="O100" s="14"/>
      <c r="P100" s="14"/>
      <c r="Q100" s="14"/>
      <c r="R100" s="14"/>
      <c r="S100" s="14"/>
      <c r="T100" s="14"/>
      <c r="U100" s="14"/>
      <c r="V100" s="14"/>
      <c r="W100" s="14"/>
      <c r="X100" s="14"/>
      <c r="Y100" s="5"/>
      <c r="Z100" s="685" t="s">
        <v>549</v>
      </c>
      <c r="AD100" s="67"/>
      <c r="AE100" s="72"/>
      <c r="AF100" s="67"/>
      <c r="AG100" s="1125"/>
      <c r="AH100" s="1121"/>
      <c r="AI100" s="1125"/>
      <c r="AJ100" s="67"/>
      <c r="AK100" s="6"/>
      <c r="AM100" s="6"/>
      <c r="AO100" s="6"/>
      <c r="AQ100" s="6"/>
      <c r="AU100" s="28"/>
      <c r="AV100" s="28"/>
    </row>
    <row r="101" spans="1:48" s="2" customFormat="1" ht="88.5">
      <c r="A101" s="78"/>
      <c r="B101" s="13"/>
      <c r="C101" s="29" t="s">
        <v>33</v>
      </c>
      <c r="D101" s="30" t="str">
        <f>[1]!Arreta(N99)</f>
        <v xml:space="preserve">أربعمائة ألف وسبعمائة وثمانية وستون دينار جزائري </v>
      </c>
      <c r="E101" s="30"/>
      <c r="F101" s="14"/>
      <c r="G101" s="14"/>
      <c r="H101" s="14"/>
      <c r="I101" s="14"/>
      <c r="J101" s="14"/>
      <c r="K101" s="14"/>
      <c r="L101" s="14"/>
      <c r="M101" s="31"/>
      <c r="N101" s="16"/>
      <c r="O101" s="32"/>
      <c r="P101" s="14"/>
      <c r="Q101" s="14"/>
      <c r="R101" s="14"/>
      <c r="S101" s="14"/>
      <c r="T101" s="33"/>
      <c r="U101" s="14"/>
      <c r="V101" s="14"/>
      <c r="W101" s="14"/>
      <c r="X101" s="14"/>
      <c r="Y101" s="5"/>
      <c r="Z101" s="685" t="s">
        <v>549</v>
      </c>
      <c r="AD101" s="67"/>
      <c r="AE101" s="67"/>
      <c r="AF101" s="67"/>
      <c r="AG101" s="1125"/>
      <c r="AH101" s="1121"/>
      <c r="AI101" s="1125"/>
      <c r="AJ101" s="67"/>
      <c r="AK101" s="6"/>
      <c r="AM101" s="6"/>
      <c r="AO101" s="6"/>
      <c r="AQ101" s="6"/>
      <c r="AU101" s="28"/>
      <c r="AV101" s="28"/>
    </row>
    <row r="102" spans="1:48" ht="45" hidden="1">
      <c r="I102" s="1340">
        <f>الرئيسية!$N$10</f>
        <v>43617</v>
      </c>
      <c r="Z102" s="686"/>
    </row>
    <row r="103" spans="1:48" ht="35.25" hidden="1">
      <c r="Z103" s="686"/>
    </row>
    <row r="104" spans="1:48" ht="35.25" hidden="1">
      <c r="Z104" s="686"/>
    </row>
    <row r="105" spans="1:48" s="24" customFormat="1" ht="132" hidden="1" customHeight="1" thickBot="1">
      <c r="A105" s="82"/>
      <c r="B105" s="1406" t="s">
        <v>32</v>
      </c>
      <c r="C105" s="1407"/>
      <c r="D105" s="1407"/>
      <c r="E105" s="1408"/>
      <c r="F105" s="22">
        <f>SUMIF(Z15:Z93,Z105,F15:F93)</f>
        <v>178566.28</v>
      </c>
      <c r="G105" s="22">
        <f>SUMIF(Z15:Z93,Z105,G15:G93)</f>
        <v>5000</v>
      </c>
      <c r="H105" s="22">
        <f>SUMIF(Z15:Z93,Z105,H15:H93)</f>
        <v>20913.3</v>
      </c>
      <c r="I105" s="22">
        <f>SUMIF(Z15:Z93,Z105,I15:I93)</f>
        <v>30081.17</v>
      </c>
      <c r="J105" s="23">
        <f>SUMIF(Z15:Z93,Z105,J15:J93)</f>
        <v>0</v>
      </c>
      <c r="K105" s="23">
        <f>SUMIF(Z15:Z93,Z105,K15:K93)</f>
        <v>0</v>
      </c>
      <c r="L105" s="23">
        <f>SUMIF(Z15:Z93,Z105,L15:L93)</f>
        <v>2323.6999999999998</v>
      </c>
      <c r="M105" s="23">
        <f>SUMIF(Z15:Z93,Z105,M15:M93)</f>
        <v>3485.55</v>
      </c>
      <c r="N105" s="23">
        <f>SUMIF(Z15:Z93,Z105,N15:N93)</f>
        <v>240370</v>
      </c>
      <c r="O105" s="23">
        <f>SUMIF(Z15:Z93,Z105,O15:O93)</f>
        <v>76000</v>
      </c>
      <c r="P105" s="23">
        <f>SUMIF(Z15:Z93,Z105,P15:P93)</f>
        <v>3850</v>
      </c>
      <c r="Q105" s="23">
        <f>SUMIF(Z15:Z93,Z105,Q15:Q93)</f>
        <v>0</v>
      </c>
      <c r="R105" s="23">
        <f>SUMIF(Z15:Z93,Z105,R15:R93)</f>
        <v>38520</v>
      </c>
      <c r="S105" s="23">
        <f>SUMIF(Z15:Z93,Z105,S15:S93)</f>
        <v>38000</v>
      </c>
      <c r="T105" s="23">
        <f>SUMIF(Z15:Z93,Z105,T15:T93)</f>
        <v>38000</v>
      </c>
      <c r="U105" s="23">
        <f>SUMIF(Z15:Z93,Z105,U15:U93)</f>
        <v>8000</v>
      </c>
      <c r="V105" s="23">
        <f>SUMIF(Z15:Z93,Z105,V15:V93)</f>
        <v>38000</v>
      </c>
      <c r="W105" s="23">
        <f>SUMIF(Z15:Z93,Z105,W15:W93)</f>
        <v>0</v>
      </c>
      <c r="X105" s="23">
        <f>SUMIF(Z15:Z93,Z105,X15:X93)</f>
        <v>0</v>
      </c>
      <c r="Y105" s="23"/>
      <c r="Z105" s="685" t="s">
        <v>548</v>
      </c>
      <c r="AA105" s="55">
        <f>AA99+1</f>
        <v>2</v>
      </c>
      <c r="AB105" s="24">
        <f>SUMIF(Z15:Z93,Z105,AA15:AA93)</f>
        <v>8000</v>
      </c>
      <c r="AD105" s="65"/>
      <c r="AE105" s="71"/>
      <c r="AF105" s="65"/>
      <c r="AG105" s="1123"/>
      <c r="AH105" s="1119"/>
      <c r="AI105" s="1123"/>
      <c r="AJ105" s="65"/>
      <c r="AK105" s="25"/>
      <c r="AM105" s="25"/>
      <c r="AO105" s="25"/>
      <c r="AQ105" s="25"/>
      <c r="AU105" s="26"/>
      <c r="AV105" s="26"/>
    </row>
    <row r="106" spans="1:48" s="2" customFormat="1" ht="33.75" hidden="1">
      <c r="A106" s="78"/>
      <c r="B106" s="14"/>
      <c r="C106" s="14"/>
      <c r="D106" s="27"/>
      <c r="E106" s="14"/>
      <c r="F106" s="16"/>
      <c r="G106" s="16"/>
      <c r="H106" s="16"/>
      <c r="I106" s="16"/>
      <c r="J106" s="14"/>
      <c r="K106" s="14"/>
      <c r="L106" s="14"/>
      <c r="M106" s="15"/>
      <c r="N106" s="16"/>
      <c r="O106" s="14"/>
      <c r="P106" s="14"/>
      <c r="Q106" s="14"/>
      <c r="R106" s="14"/>
      <c r="S106" s="14"/>
      <c r="T106" s="14"/>
      <c r="U106" s="14"/>
      <c r="V106" s="14"/>
      <c r="W106" s="14"/>
      <c r="X106" s="14"/>
      <c r="Y106" s="5"/>
      <c r="Z106" s="685" t="s">
        <v>548</v>
      </c>
      <c r="AD106" s="67"/>
      <c r="AE106" s="72"/>
      <c r="AF106" s="67"/>
      <c r="AG106" s="1125"/>
      <c r="AH106" s="1121"/>
      <c r="AI106" s="1125"/>
      <c r="AJ106" s="67"/>
      <c r="AK106" s="6"/>
      <c r="AM106" s="6"/>
      <c r="AO106" s="6"/>
      <c r="AQ106" s="6"/>
      <c r="AU106" s="28"/>
      <c r="AV106" s="28"/>
    </row>
    <row r="107" spans="1:48" s="2" customFormat="1" ht="88.5" hidden="1">
      <c r="A107" s="78"/>
      <c r="B107" s="13"/>
      <c r="C107" s="29" t="s">
        <v>33</v>
      </c>
      <c r="D107" s="30" t="str">
        <f>[1]!Arreta(N105)</f>
        <v xml:space="preserve">مائتين وأربعون ألف وثلاثمائة وسبعون دينار جزائري </v>
      </c>
      <c r="E107" s="30"/>
      <c r="F107" s="14"/>
      <c r="G107" s="14"/>
      <c r="H107" s="14"/>
      <c r="I107" s="14"/>
      <c r="J107" s="14"/>
      <c r="K107" s="14"/>
      <c r="L107" s="14"/>
      <c r="M107" s="31"/>
      <c r="N107" s="16"/>
      <c r="O107" s="32"/>
      <c r="P107" s="14"/>
      <c r="Q107" s="14"/>
      <c r="R107" s="14"/>
      <c r="S107" s="14"/>
      <c r="T107" s="33"/>
      <c r="U107" s="14"/>
      <c r="V107" s="14"/>
      <c r="W107" s="14"/>
      <c r="X107" s="14"/>
      <c r="Y107" s="5"/>
      <c r="Z107" s="685" t="s">
        <v>548</v>
      </c>
      <c r="AD107" s="67"/>
      <c r="AE107" s="67"/>
      <c r="AF107" s="67"/>
      <c r="AG107" s="1125"/>
      <c r="AH107" s="1121"/>
      <c r="AI107" s="1125"/>
      <c r="AJ107" s="67"/>
      <c r="AK107" s="6"/>
      <c r="AM107" s="6"/>
      <c r="AO107" s="6"/>
      <c r="AQ107" s="6"/>
      <c r="AU107" s="28"/>
      <c r="AV107" s="28"/>
    </row>
    <row r="108" spans="1:48" ht="45" hidden="1">
      <c r="I108" s="1340">
        <f>الرئيسية!$N$10</f>
        <v>43617</v>
      </c>
      <c r="Z108" s="686"/>
    </row>
    <row r="109" spans="1:48" ht="35.25" hidden="1">
      <c r="Z109" s="686"/>
    </row>
    <row r="110" spans="1:48" s="24" customFormat="1" ht="132" hidden="1" customHeight="1" thickBot="1">
      <c r="A110" s="82"/>
      <c r="B110" s="1406" t="s">
        <v>32</v>
      </c>
      <c r="C110" s="1407"/>
      <c r="D110" s="1407"/>
      <c r="E110" s="1408"/>
      <c r="F110" s="22">
        <f>SUMIF(Z15:Z93,Z110,F15:F93)</f>
        <v>238512.25</v>
      </c>
      <c r="G110" s="22">
        <f>SUMIF(Z15:Z93,Z110,G15:G93)</f>
        <v>20000</v>
      </c>
      <c r="H110" s="22">
        <f>SUMIF(Z15:Z93,Z110,H15:H93)</f>
        <v>27941.27</v>
      </c>
      <c r="I110" s="22">
        <f>SUMIF(Z15:Z93,Z110,I15:I93)</f>
        <v>29047.88</v>
      </c>
      <c r="J110" s="23">
        <f>SUMIF(Z15:Z93,Z110,J15:J93)</f>
        <v>0</v>
      </c>
      <c r="K110" s="23">
        <f>SUMIF(Z15:Z93,Z110,K15:K93)</f>
        <v>0</v>
      </c>
      <c r="L110" s="23">
        <f>SUMIF(Z15:Z93,Z110,L15:L93)</f>
        <v>0</v>
      </c>
      <c r="M110" s="23">
        <f>SUMIF(Z15:Z93,Z110,M15:M93)</f>
        <v>824.6</v>
      </c>
      <c r="N110" s="23">
        <f>SUMIF(Z15:Z93,Z110,N15:N93)</f>
        <v>316326</v>
      </c>
      <c r="O110" s="23">
        <f>SUMIF(Z15:Z93,Z110,O15:O93)</f>
        <v>142155</v>
      </c>
      <c r="P110" s="23">
        <f>SUMIF(Z15:Z93,Z110,P15:P93)</f>
        <v>6065.5</v>
      </c>
      <c r="Q110" s="23">
        <f>SUMIF(Z15:Z93,Z110,Q15:Q93)</f>
        <v>46251</v>
      </c>
      <c r="R110" s="23">
        <f>SUMIF(Z15:Z93,Z110,R15:R93)</f>
        <v>81168.75</v>
      </c>
      <c r="S110" s="23">
        <f>SUMIF(Z15:Z93,Z110,S15:S93)</f>
        <v>0</v>
      </c>
      <c r="T110" s="23">
        <f>SUMIF(Z15:Z93,Z110,T15:T93)</f>
        <v>9200</v>
      </c>
      <c r="U110" s="23">
        <f>SUMIF(Z15:Z93,Z110,U15:U93)</f>
        <v>2000</v>
      </c>
      <c r="V110" s="23">
        <f>SUMIF(Z15:Z93,Z110,V15:V93)</f>
        <v>23618.25</v>
      </c>
      <c r="W110" s="23">
        <f>SUMIF(Z15:Z93,Z110,W15:W93)</f>
        <v>0</v>
      </c>
      <c r="X110" s="23">
        <f>SUMIF(Z15:Z93,Z110,X15:X93)</f>
        <v>5867.5</v>
      </c>
      <c r="Y110" s="23"/>
      <c r="Z110" s="685" t="s">
        <v>561</v>
      </c>
      <c r="AA110" s="55">
        <f>AA105+1</f>
        <v>3</v>
      </c>
      <c r="AB110" s="24">
        <f>SUMIF(Z15:Z93,Z110,AA15:AA93)</f>
        <v>0</v>
      </c>
      <c r="AD110" s="65"/>
      <c r="AE110" s="71"/>
      <c r="AF110" s="65"/>
      <c r="AG110" s="1123"/>
      <c r="AH110" s="1119"/>
      <c r="AI110" s="1123"/>
      <c r="AJ110" s="65"/>
      <c r="AK110" s="25"/>
      <c r="AM110" s="25"/>
      <c r="AO110" s="25"/>
      <c r="AQ110" s="25"/>
      <c r="AU110" s="26"/>
      <c r="AV110" s="26"/>
    </row>
    <row r="111" spans="1:48" s="2" customFormat="1" ht="33.75" hidden="1">
      <c r="A111" s="78"/>
      <c r="B111" s="14"/>
      <c r="C111" s="14"/>
      <c r="D111" s="27"/>
      <c r="E111" s="14"/>
      <c r="F111" s="16"/>
      <c r="G111" s="16"/>
      <c r="H111" s="16"/>
      <c r="I111" s="16"/>
      <c r="J111" s="14"/>
      <c r="K111" s="14"/>
      <c r="L111" s="14"/>
      <c r="M111" s="15"/>
      <c r="N111" s="16"/>
      <c r="O111" s="14"/>
      <c r="P111" s="14"/>
      <c r="Q111" s="14"/>
      <c r="R111" s="14"/>
      <c r="S111" s="14"/>
      <c r="T111" s="14"/>
      <c r="U111" s="14"/>
      <c r="V111" s="14"/>
      <c r="W111" s="14"/>
      <c r="X111" s="14"/>
      <c r="Y111" s="5"/>
      <c r="Z111" s="685" t="s">
        <v>561</v>
      </c>
      <c r="AD111" s="67"/>
      <c r="AE111" s="72"/>
      <c r="AF111" s="67"/>
      <c r="AG111" s="1125"/>
      <c r="AH111" s="1121"/>
      <c r="AI111" s="1125"/>
      <c r="AJ111" s="67"/>
      <c r="AK111" s="6"/>
      <c r="AM111" s="6"/>
      <c r="AO111" s="6"/>
      <c r="AQ111" s="6"/>
      <c r="AU111" s="28"/>
      <c r="AV111" s="28"/>
    </row>
    <row r="112" spans="1:48" s="2" customFormat="1" ht="88.5" hidden="1">
      <c r="A112" s="78"/>
      <c r="B112" s="13"/>
      <c r="C112" s="29" t="s">
        <v>33</v>
      </c>
      <c r="D112" s="30" t="str">
        <f>[1]!Arreta(N110)</f>
        <v xml:space="preserve">ثلاثمائة وستة عشر ألف وثلاثمائة وستة وعشرون دينار جزائري </v>
      </c>
      <c r="E112" s="30"/>
      <c r="F112" s="14"/>
      <c r="G112" s="14"/>
      <c r="H112" s="14"/>
      <c r="I112" s="14"/>
      <c r="J112" s="14"/>
      <c r="K112" s="14"/>
      <c r="L112" s="14"/>
      <c r="M112" s="31"/>
      <c r="N112" s="16"/>
      <c r="O112" s="32"/>
      <c r="P112" s="14"/>
      <c r="Q112" s="14"/>
      <c r="R112" s="14"/>
      <c r="S112" s="14"/>
      <c r="T112" s="33"/>
      <c r="U112" s="14"/>
      <c r="V112" s="14"/>
      <c r="W112" s="14"/>
      <c r="X112" s="14"/>
      <c r="Y112" s="5"/>
      <c r="Z112" s="685" t="s">
        <v>561</v>
      </c>
      <c r="AD112" s="67"/>
      <c r="AE112" s="67"/>
      <c r="AF112" s="67"/>
      <c r="AG112" s="1125"/>
      <c r="AH112" s="1121"/>
      <c r="AI112" s="1125"/>
      <c r="AJ112" s="67"/>
      <c r="AK112" s="6"/>
      <c r="AM112" s="6"/>
      <c r="AO112" s="6"/>
      <c r="AQ112" s="6"/>
      <c r="AU112" s="28"/>
      <c r="AV112" s="28"/>
    </row>
    <row r="113" spans="1:48" ht="45" hidden="1">
      <c r="I113" s="1340">
        <f>الرئيسية!$N$10</f>
        <v>43617</v>
      </c>
      <c r="Z113" s="686"/>
    </row>
    <row r="114" spans="1:48" ht="35.25" hidden="1">
      <c r="Z114" s="686"/>
    </row>
    <row r="115" spans="1:48" s="24" customFormat="1" ht="132" hidden="1" customHeight="1" thickBot="1">
      <c r="A115" s="82"/>
      <c r="B115" s="1406" t="s">
        <v>32</v>
      </c>
      <c r="C115" s="1407"/>
      <c r="D115" s="1407"/>
      <c r="E115" s="1408"/>
      <c r="F115" s="22">
        <f>SUMIF(Z15:Z93,Z115,F15:F93)</f>
        <v>1432551.89</v>
      </c>
      <c r="G115" s="22">
        <f>SUMIF(Z15:Z93,Z115,G15:G93)</f>
        <v>70000</v>
      </c>
      <c r="H115" s="22">
        <f>SUMIF(Z15:Z93,Z115,H15:H93)</f>
        <v>167469.10999999999</v>
      </c>
      <c r="I115" s="22">
        <f>SUMIF(Z15:Z93,Z115,I15:I93)</f>
        <v>150590.32999999999</v>
      </c>
      <c r="J115" s="23">
        <f>SUMIF(Z15:Z93,Z115,J15:J93)</f>
        <v>55507.93</v>
      </c>
      <c r="K115" s="23">
        <f>SUMIF(Z15:Z93,Z115,K15:K93)</f>
        <v>0</v>
      </c>
      <c r="L115" s="23">
        <f>SUMIF(Z15:Z93,Z115,L15:L93)</f>
        <v>0</v>
      </c>
      <c r="M115" s="23">
        <f>SUMIF(Z15:Z93,Z115,M15:M93)</f>
        <v>4526.99</v>
      </c>
      <c r="N115" s="23">
        <f>SUMIF(Z15:Z93,Z115,N15:N93)</f>
        <v>1880646.25</v>
      </c>
      <c r="O115" s="23">
        <f>SUMIF(Z15:Z93,Z115,O15:O93)</f>
        <v>831825</v>
      </c>
      <c r="P115" s="23">
        <f>SUMIF(Z15:Z93,Z115,P15:P93)</f>
        <v>42665</v>
      </c>
      <c r="Q115" s="23">
        <f>SUMIF(Z15:Z93,Z115,Q15:Q93)</f>
        <v>261625.5</v>
      </c>
      <c r="R115" s="23">
        <f>SUMIF(Z15:Z93,Z115,R15:R93)</f>
        <v>471971.25</v>
      </c>
      <c r="S115" s="23">
        <f>SUMIF(Z15:Z93,Z115,S15:S93)</f>
        <v>0</v>
      </c>
      <c r="T115" s="23">
        <f>SUMIF(Z15:Z93,Z115,T15:T93)</f>
        <v>71300</v>
      </c>
      <c r="U115" s="23">
        <f>SUMIF(Z15:Z93,Z115,U15:U93)</f>
        <v>42000</v>
      </c>
      <c r="V115" s="23">
        <f>SUMIF(Z15:Z93,Z99,V15:V93)</f>
        <v>51406.25</v>
      </c>
      <c r="W115" s="23">
        <f>SUMIF(Z15:Z93,Z115,W15:W93)</f>
        <v>0</v>
      </c>
      <c r="X115" s="23">
        <f>SUMIF(Z15:Z93,Z99,X15:X93)</f>
        <v>4056.25</v>
      </c>
      <c r="Y115" s="23"/>
      <c r="Z115" s="685" t="s">
        <v>562</v>
      </c>
      <c r="AA115" s="55">
        <f>AA110+1</f>
        <v>4</v>
      </c>
      <c r="AB115" s="24">
        <f>SUMIF(Z15:Z93,Z115,AA15:AA93)</f>
        <v>0</v>
      </c>
      <c r="AD115" s="65"/>
      <c r="AE115" s="71"/>
      <c r="AF115" s="65"/>
      <c r="AG115" s="1123"/>
      <c r="AH115" s="1119"/>
      <c r="AI115" s="1123"/>
      <c r="AJ115" s="65"/>
      <c r="AK115" s="25"/>
      <c r="AM115" s="25"/>
      <c r="AO115" s="25"/>
      <c r="AQ115" s="25"/>
      <c r="AU115" s="26"/>
      <c r="AV115" s="26"/>
    </row>
    <row r="116" spans="1:48" s="2" customFormat="1" ht="33.75" hidden="1">
      <c r="A116" s="78"/>
      <c r="B116" s="14"/>
      <c r="C116" s="14"/>
      <c r="D116" s="27"/>
      <c r="E116" s="14"/>
      <c r="F116" s="16"/>
      <c r="G116" s="16"/>
      <c r="H116" s="16"/>
      <c r="I116" s="16"/>
      <c r="J116" s="14"/>
      <c r="K116" s="14"/>
      <c r="L116" s="14"/>
      <c r="M116" s="15"/>
      <c r="N116" s="16"/>
      <c r="O116" s="14"/>
      <c r="P116" s="14"/>
      <c r="Q116" s="14"/>
      <c r="R116" s="14"/>
      <c r="S116" s="14"/>
      <c r="T116" s="14"/>
      <c r="U116" s="14"/>
      <c r="V116" s="14"/>
      <c r="W116" s="14"/>
      <c r="X116" s="14"/>
      <c r="Y116" s="5"/>
      <c r="Z116" s="685" t="s">
        <v>562</v>
      </c>
      <c r="AD116" s="67"/>
      <c r="AE116" s="72"/>
      <c r="AF116" s="67"/>
      <c r="AG116" s="1125"/>
      <c r="AH116" s="1121"/>
      <c r="AI116" s="1125"/>
      <c r="AJ116" s="67"/>
      <c r="AK116" s="6"/>
      <c r="AM116" s="6"/>
      <c r="AO116" s="6"/>
      <c r="AQ116" s="6"/>
      <c r="AU116" s="28"/>
      <c r="AV116" s="28"/>
    </row>
    <row r="117" spans="1:48" s="2" customFormat="1" ht="88.5" hidden="1">
      <c r="A117" s="78"/>
      <c r="B117" s="13"/>
      <c r="C117" s="29" t="s">
        <v>33</v>
      </c>
      <c r="D117" s="30" t="str">
        <f>[1]!Arreta(N115)</f>
        <v>مليون وثمانمائة وثمانون ألف وستمائة وستة وأربعون دينار جزائري وخمسة وعشرون سنتيما</v>
      </c>
      <c r="E117" s="30"/>
      <c r="F117" s="14"/>
      <c r="G117" s="14"/>
      <c r="H117" s="14"/>
      <c r="I117" s="14"/>
      <c r="J117" s="14"/>
      <c r="K117" s="14"/>
      <c r="L117" s="14"/>
      <c r="M117" s="31"/>
      <c r="N117" s="16"/>
      <c r="O117" s="32"/>
      <c r="P117" s="14"/>
      <c r="Q117" s="14"/>
      <c r="R117" s="14"/>
      <c r="S117" s="14"/>
      <c r="T117" s="33"/>
      <c r="U117" s="14"/>
      <c r="V117" s="14"/>
      <c r="W117" s="14"/>
      <c r="X117" s="14"/>
      <c r="Y117" s="5"/>
      <c r="Z117" s="685" t="s">
        <v>562</v>
      </c>
      <c r="AD117" s="67"/>
      <c r="AE117" s="67"/>
      <c r="AF117" s="67"/>
      <c r="AG117" s="1125"/>
      <c r="AH117" s="1121"/>
      <c r="AI117" s="1125"/>
      <c r="AJ117" s="67"/>
      <c r="AK117" s="6"/>
      <c r="AM117" s="6"/>
      <c r="AO117" s="6"/>
      <c r="AQ117" s="6"/>
      <c r="AU117" s="28"/>
      <c r="AV117" s="28"/>
    </row>
    <row r="118" spans="1:48" ht="45">
      <c r="I118" s="1340">
        <f>الرئيسية!$N$10</f>
        <v>43617</v>
      </c>
    </row>
  </sheetData>
  <autoFilter ref="Z14:Z117">
    <filterColumn colId="0">
      <filters>
        <filter val="بنك الفلاحة و التنمية الريفية"/>
      </filters>
    </filterColumn>
  </autoFilter>
  <mergeCells count="13">
    <mergeCell ref="B99:E99"/>
    <mergeCell ref="B105:E105"/>
    <mergeCell ref="B110:E110"/>
    <mergeCell ref="B115:E115"/>
    <mergeCell ref="C11:D11"/>
    <mergeCell ref="C12:D12"/>
    <mergeCell ref="C10:D10"/>
    <mergeCell ref="Y13:Y14"/>
    <mergeCell ref="P13:W13"/>
    <mergeCell ref="B94:E94"/>
    <mergeCell ref="B13:B14"/>
    <mergeCell ref="C13:C14"/>
    <mergeCell ref="H13:M13"/>
  </mergeCells>
  <phoneticPr fontId="2" type="noConversion"/>
  <dataValidations count="2">
    <dataValidation type="list" allowBlank="1" showInputMessage="1" showErrorMessage="1" error="خطأ........إختر إحدى المقرات الموجودة في القائمة" prompt="حدد  مقر البنك المراد إنشاء حالة الدفع له" sqref="Z94:Z96 Z99:Z101 Z115:Z117 Z110:Z112 Z105:Z107">
      <formula1>"الخزينة الولائية,لبنك الوطني الجزائري,بنك الفلاحة و التنمية الريفية,بنك التنمية المحلية,البنك الخارجي الجزائري,الحساب الجاري البريدي,القرض الشعبي الجزائري,الصندوق الوطني للتوفير والإحتياط"</formula1>
    </dataValidation>
    <dataValidation type="list" allowBlank="1" showInputMessage="1" showErrorMessage="1" sqref="J12">
      <formula1>'ورقة العمل'!Y2:Y6</formula1>
    </dataValidation>
  </dataValidations>
  <printOptions horizontalCentered="1"/>
  <pageMargins left="0.39370078740157483" right="0.19685039370078741" top="0.39370078740157483" bottom="0.59055118110236227" header="0" footer="0"/>
  <pageSetup paperSize="12" scale="10" orientation="landscape" horizontalDpi="180" verticalDpi="18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tabColor rgb="FF00B050"/>
    <pageSetUpPr fitToPage="1"/>
  </sheetPr>
  <dimension ref="B1:AN45"/>
  <sheetViews>
    <sheetView rightToLeft="1" view="pageBreakPreview" zoomScale="60" workbookViewId="0">
      <selection activeCell="E43" sqref="E43"/>
    </sheetView>
  </sheetViews>
  <sheetFormatPr baseColWidth="10" defaultRowHeight="12.75"/>
  <cols>
    <col min="1" max="1" width="3" customWidth="1"/>
    <col min="2" max="4" width="25.140625" customWidth="1"/>
    <col min="5" max="6" width="31.28515625" customWidth="1"/>
    <col min="7" max="9" width="25.140625" customWidth="1"/>
    <col min="10" max="10" width="15.140625" customWidth="1"/>
    <col min="11" max="11" width="3.7109375" customWidth="1"/>
    <col min="12" max="12" width="12.5703125" customWidth="1"/>
    <col min="13" max="13" width="24.7109375" customWidth="1"/>
    <col min="15" max="15" width="13.5703125" style="141" customWidth="1"/>
    <col min="19" max="19" width="19.28515625" customWidth="1"/>
    <col min="20" max="20" width="21.5703125" customWidth="1"/>
    <col min="21" max="21" width="17.42578125" customWidth="1"/>
    <col min="22" max="22" width="18.28515625" customWidth="1"/>
    <col min="23" max="23" width="19" customWidth="1"/>
    <col min="24" max="24" width="15.7109375" customWidth="1"/>
    <col min="25" max="25" width="15.42578125" customWidth="1"/>
    <col min="26" max="26" width="14" customWidth="1"/>
    <col min="27" max="28" width="20.7109375" customWidth="1"/>
    <col min="29" max="29" width="22" bestFit="1" customWidth="1"/>
    <col min="30" max="30" width="18.5703125" customWidth="1"/>
    <col min="31" max="31" width="22.42578125" customWidth="1"/>
  </cols>
  <sheetData>
    <row r="1" spans="2:40" s="2" customFormat="1" ht="51">
      <c r="B1" s="84" t="s">
        <v>1</v>
      </c>
      <c r="C1" s="85"/>
      <c r="D1" s="86"/>
      <c r="E1" s="87"/>
      <c r="F1" s="88" t="s">
        <v>47</v>
      </c>
      <c r="G1" s="85"/>
      <c r="H1" s="89" t="s">
        <v>48</v>
      </c>
      <c r="I1" s="90"/>
      <c r="J1" s="85"/>
      <c r="M1" s="1368"/>
      <c r="O1" s="142"/>
      <c r="P1" s="142"/>
      <c r="Q1" s="63"/>
      <c r="R1" s="65"/>
      <c r="S1" s="143"/>
      <c r="T1" s="143"/>
      <c r="U1" s="144"/>
      <c r="V1" s="143"/>
      <c r="W1" s="143"/>
      <c r="X1" s="143"/>
      <c r="Y1" s="143"/>
      <c r="Z1" s="143"/>
      <c r="AA1" s="145"/>
      <c r="AB1" s="145"/>
      <c r="AC1" s="145"/>
      <c r="AD1" s="145"/>
      <c r="AE1" s="145"/>
      <c r="AF1" s="6"/>
      <c r="AH1" s="6"/>
      <c r="AJ1" s="6"/>
      <c r="AL1" s="6"/>
      <c r="AN1" s="6"/>
    </row>
    <row r="2" spans="2:40" s="2" customFormat="1" ht="39" customHeight="1">
      <c r="B2" s="1388" t="s">
        <v>893</v>
      </c>
      <c r="C2" s="85"/>
      <c r="D2" s="85"/>
      <c r="E2" s="89" t="s">
        <v>49</v>
      </c>
      <c r="F2" s="85"/>
      <c r="G2" s="85"/>
      <c r="H2" s="1387" t="s">
        <v>892</v>
      </c>
      <c r="I2" s="90"/>
      <c r="J2" s="85"/>
      <c r="M2" s="1368"/>
      <c r="O2" s="142"/>
      <c r="P2" s="142"/>
      <c r="Q2" s="63"/>
      <c r="R2" s="65"/>
      <c r="S2" s="143"/>
      <c r="T2" s="143"/>
      <c r="U2" s="144"/>
      <c r="V2" s="143"/>
      <c r="W2" s="143"/>
      <c r="X2" s="143"/>
      <c r="Y2" s="143"/>
      <c r="Z2" s="143"/>
      <c r="AA2" s="145"/>
      <c r="AB2" s="145"/>
      <c r="AC2" s="145"/>
      <c r="AD2" s="145"/>
      <c r="AE2" s="145"/>
      <c r="AF2" s="6"/>
      <c r="AH2" s="6"/>
      <c r="AJ2" s="6"/>
      <c r="AL2" s="6"/>
      <c r="AN2" s="6"/>
    </row>
    <row r="3" spans="2:40" s="2" customFormat="1" ht="39" customHeight="1">
      <c r="B3" s="1389" t="s">
        <v>894</v>
      </c>
      <c r="C3" s="85"/>
      <c r="D3" s="85"/>
      <c r="E3" s="89" t="s">
        <v>50</v>
      </c>
      <c r="F3" s="85"/>
      <c r="G3" s="85"/>
      <c r="H3" s="1387" t="s">
        <v>891</v>
      </c>
      <c r="I3" s="90"/>
      <c r="J3" s="85"/>
      <c r="M3" s="1368"/>
      <c r="O3" s="142"/>
      <c r="P3" s="142"/>
      <c r="Q3" s="63"/>
      <c r="R3" s="65"/>
      <c r="S3" s="143"/>
      <c r="T3" s="143"/>
      <c r="U3" s="144"/>
      <c r="V3" s="143"/>
      <c r="W3" s="143"/>
      <c r="X3" s="143"/>
      <c r="Y3" s="143"/>
      <c r="Z3" s="143"/>
      <c r="AA3" s="145"/>
      <c r="AB3" s="145"/>
      <c r="AC3" s="145"/>
      <c r="AD3" s="145"/>
      <c r="AE3" s="145"/>
      <c r="AF3" s="6"/>
      <c r="AH3" s="6"/>
      <c r="AJ3" s="6"/>
      <c r="AL3" s="6"/>
      <c r="AN3" s="6"/>
    </row>
    <row r="4" spans="2:40" s="2" customFormat="1" ht="42.75">
      <c r="B4" s="92"/>
      <c r="C4" s="85"/>
      <c r="D4" s="85"/>
      <c r="E4" s="10"/>
      <c r="F4" s="85"/>
      <c r="G4" s="85"/>
      <c r="H4" s="93" t="s">
        <v>52</v>
      </c>
      <c r="I4" s="94"/>
      <c r="J4" s="85"/>
      <c r="O4" s="142"/>
      <c r="P4" s="142"/>
      <c r="Q4" s="63"/>
      <c r="R4" s="65"/>
      <c r="S4" s="143"/>
      <c r="T4" s="143"/>
      <c r="U4" s="144"/>
      <c r="V4" s="143"/>
      <c r="W4" s="143"/>
      <c r="X4" s="143"/>
      <c r="Y4" s="143"/>
      <c r="Z4" s="143"/>
      <c r="AA4" s="145"/>
      <c r="AB4" s="145"/>
      <c r="AC4" s="145"/>
      <c r="AD4" s="145"/>
      <c r="AE4" s="145"/>
      <c r="AF4" s="6"/>
      <c r="AH4" s="6"/>
      <c r="AJ4" s="6"/>
      <c r="AL4" s="6"/>
      <c r="AN4" s="6"/>
    </row>
    <row r="5" spans="2:40" s="2" customFormat="1" ht="44.25">
      <c r="B5" s="934" t="s">
        <v>650</v>
      </c>
      <c r="C5" s="1289">
        <v>73</v>
      </c>
      <c r="D5" s="10"/>
      <c r="E5" s="1418" t="str">
        <f>CONCATENATE("لشهـــــر :"," ",الرئيسية!N8)</f>
        <v>لشهـــــر : جوان</v>
      </c>
      <c r="F5" s="1418"/>
      <c r="G5" s="85"/>
      <c r="H5" s="85"/>
      <c r="I5" s="90"/>
      <c r="J5" s="85"/>
      <c r="O5" s="142"/>
      <c r="P5" s="142"/>
      <c r="Q5" s="63"/>
      <c r="R5" s="65"/>
      <c r="S5" s="143"/>
      <c r="T5" s="143"/>
      <c r="U5" s="144"/>
      <c r="V5" s="143"/>
      <c r="W5" s="143"/>
      <c r="X5" s="143"/>
      <c r="Y5" s="143"/>
      <c r="Z5" s="143"/>
      <c r="AA5" s="145"/>
      <c r="AB5" s="145"/>
      <c r="AC5" s="145"/>
      <c r="AD5" s="145"/>
      <c r="AE5" s="145"/>
      <c r="AF5" s="6"/>
      <c r="AH5" s="6"/>
      <c r="AJ5" s="6"/>
      <c r="AL5" s="6"/>
      <c r="AN5" s="6"/>
    </row>
    <row r="6" spans="2:40" s="2" customFormat="1" ht="42.75">
      <c r="B6" s="91"/>
      <c r="C6" s="95"/>
      <c r="D6" s="10"/>
      <c r="E6" s="62"/>
      <c r="F6" s="62"/>
      <c r="G6" s="85"/>
      <c r="H6" s="85"/>
      <c r="I6" s="90"/>
      <c r="J6" s="85"/>
      <c r="O6" s="142"/>
      <c r="P6" s="142"/>
      <c r="Q6" s="63"/>
      <c r="R6" s="65"/>
      <c r="S6" s="143"/>
      <c r="T6" s="143"/>
      <c r="U6" s="144"/>
      <c r="V6" s="143"/>
      <c r="W6" s="143"/>
      <c r="X6" s="143"/>
      <c r="Y6" s="143"/>
      <c r="Z6" s="143"/>
      <c r="AA6" s="145"/>
      <c r="AB6" s="145"/>
      <c r="AD6" s="6"/>
      <c r="AE6" s="174"/>
      <c r="AF6" s="6"/>
      <c r="AH6" s="6"/>
      <c r="AJ6" s="6"/>
      <c r="AL6" s="6"/>
      <c r="AN6" s="6"/>
    </row>
    <row r="7" spans="2:40" s="2" customFormat="1" ht="36.75" customHeight="1">
      <c r="B7" s="96"/>
      <c r="C7" s="85"/>
      <c r="D7" s="97"/>
      <c r="E7" s="1387" t="str">
        <f ca="1">CONCATENATE("تسييــــر : "," ",YEAR(TODAY())," ","فصل  : 53333333333333 ")</f>
        <v xml:space="preserve">تسييــــر :  2019 فصل  : 53333333333333 </v>
      </c>
      <c r="F7" s="85"/>
      <c r="G7" s="85"/>
      <c r="H7" s="92"/>
      <c r="I7" s="92"/>
      <c r="J7" s="85"/>
      <c r="S7" s="11"/>
      <c r="U7" s="83"/>
      <c r="AA7" s="6"/>
      <c r="AB7" s="6"/>
      <c r="AD7" s="6"/>
      <c r="AE7" s="174">
        <f>AC7-S7-AD7</f>
        <v>0</v>
      </c>
      <c r="AF7" s="6"/>
      <c r="AH7" s="6"/>
      <c r="AJ7" s="6"/>
      <c r="AL7" s="6"/>
      <c r="AN7" s="6"/>
    </row>
    <row r="8" spans="2:40" s="2" customFormat="1" ht="36.75" customHeight="1">
      <c r="B8" s="96"/>
      <c r="C8" s="85"/>
      <c r="D8" s="97"/>
      <c r="E8" s="91"/>
      <c r="F8" s="85"/>
      <c r="G8" s="85"/>
      <c r="H8" s="92"/>
      <c r="I8" s="92"/>
      <c r="J8" s="85"/>
      <c r="S8" s="11"/>
      <c r="U8" s="83"/>
      <c r="AA8" s="6"/>
      <c r="AB8" s="6"/>
      <c r="AD8" s="6"/>
      <c r="AE8" s="174">
        <f>AC8-S8-AD8</f>
        <v>0</v>
      </c>
      <c r="AF8" s="6"/>
      <c r="AH8" s="6"/>
      <c r="AJ8" s="6"/>
      <c r="AL8" s="6"/>
      <c r="AN8" s="6"/>
    </row>
    <row r="9" spans="2:40" s="2" customFormat="1" ht="36.75" customHeight="1">
      <c r="B9" s="91"/>
      <c r="C9" s="85"/>
      <c r="D9" s="97"/>
      <c r="E9" s="98" t="s">
        <v>53</v>
      </c>
      <c r="F9" s="99" t="str">
        <f>LOOKUP(C5,'ورقة العمل'!Y:Y,'ورقة العمل'!X:X)</f>
        <v>الحساب الجاري البريدي</v>
      </c>
      <c r="G9" s="85"/>
      <c r="H9" s="85"/>
      <c r="I9" s="85"/>
      <c r="J9" s="85"/>
      <c r="S9" s="11"/>
      <c r="U9" s="83"/>
      <c r="AA9" s="6"/>
      <c r="AB9" s="6"/>
      <c r="AD9" s="6"/>
      <c r="AE9" s="174">
        <f>AC9-S9-AD9</f>
        <v>0</v>
      </c>
      <c r="AF9" s="6"/>
      <c r="AH9" s="6"/>
      <c r="AJ9" s="6"/>
      <c r="AL9" s="6"/>
      <c r="AN9" s="6"/>
    </row>
    <row r="10" spans="2:40" s="2" customFormat="1" ht="36.75" customHeight="1">
      <c r="B10" s="91"/>
      <c r="C10" s="85"/>
      <c r="D10" s="97"/>
      <c r="E10" s="98"/>
      <c r="F10" s="99"/>
      <c r="G10" s="85"/>
      <c r="H10" s="85"/>
      <c r="I10" s="85"/>
      <c r="J10" s="85"/>
      <c r="S10" s="11"/>
      <c r="U10" s="83"/>
      <c r="AA10" s="6"/>
      <c r="AB10" s="6"/>
      <c r="AD10" s="6"/>
      <c r="AF10" s="6"/>
      <c r="AH10" s="6"/>
      <c r="AJ10" s="6"/>
      <c r="AL10" s="6"/>
      <c r="AN10" s="6"/>
    </row>
    <row r="11" spans="2:40" s="2" customFormat="1" ht="36.75" customHeight="1">
      <c r="B11" s="85"/>
      <c r="C11" s="85"/>
      <c r="D11" s="97"/>
      <c r="E11" s="1387" t="s">
        <v>895</v>
      </c>
      <c r="F11" s="85"/>
      <c r="G11" s="85"/>
      <c r="H11" s="85"/>
      <c r="I11" s="85"/>
      <c r="J11" s="90" t="s">
        <v>54</v>
      </c>
      <c r="S11" s="11"/>
      <c r="U11" s="83"/>
      <c r="AA11" s="6"/>
      <c r="AB11" s="6"/>
      <c r="AD11" s="6"/>
      <c r="AF11" s="6"/>
      <c r="AH11" s="6"/>
      <c r="AJ11" s="6"/>
      <c r="AL11" s="6"/>
      <c r="AN11" s="6"/>
    </row>
    <row r="12" spans="2:40" s="2" customFormat="1" ht="36.75" customHeight="1">
      <c r="B12" s="85"/>
      <c r="C12" s="85"/>
      <c r="D12" s="97"/>
      <c r="E12" s="91"/>
      <c r="F12" s="85"/>
      <c r="G12" s="85"/>
      <c r="H12" s="85"/>
      <c r="I12" s="85"/>
      <c r="J12" s="90"/>
      <c r="S12" s="11"/>
      <c r="U12" s="83"/>
      <c r="AA12" s="6"/>
      <c r="AB12" s="6"/>
      <c r="AD12" s="6"/>
      <c r="AF12" s="6"/>
      <c r="AH12" s="6"/>
      <c r="AJ12" s="6"/>
      <c r="AL12" s="6"/>
      <c r="AN12" s="6"/>
    </row>
    <row r="13" spans="2:40" s="2" customFormat="1" ht="38.25" customHeight="1">
      <c r="B13" s="85"/>
      <c r="C13" s="85"/>
      <c r="D13" s="92"/>
      <c r="E13" s="85"/>
      <c r="F13" s="85"/>
      <c r="G13" s="85"/>
      <c r="H13" s="85"/>
      <c r="I13" s="85"/>
      <c r="J13" s="85"/>
      <c r="S13" s="11"/>
      <c r="U13" s="83"/>
      <c r="AA13" s="6"/>
      <c r="AB13" s="6"/>
      <c r="AD13" s="6"/>
      <c r="AF13" s="6"/>
      <c r="AH13" s="6"/>
      <c r="AJ13" s="6"/>
      <c r="AL13" s="6"/>
      <c r="AN13" s="6"/>
    </row>
    <row r="14" spans="2:40" s="2" customFormat="1" ht="23.25">
      <c r="B14" s="100"/>
      <c r="C14" s="101"/>
      <c r="D14" s="101"/>
      <c r="E14" s="102"/>
      <c r="F14" s="103"/>
      <c r="G14" s="101"/>
      <c r="H14" s="101"/>
      <c r="I14" s="101"/>
      <c r="J14" s="104"/>
      <c r="S14" s="11"/>
      <c r="U14" s="83"/>
      <c r="AA14" s="6"/>
      <c r="AB14" s="6"/>
      <c r="AD14" s="6"/>
      <c r="AF14" s="6"/>
      <c r="AH14" s="6"/>
      <c r="AJ14" s="6"/>
      <c r="AL14" s="6"/>
      <c r="AN14" s="6"/>
    </row>
    <row r="15" spans="2:40" s="2" customFormat="1" ht="45" customHeight="1">
      <c r="B15" s="105" t="s">
        <v>55</v>
      </c>
      <c r="C15" s="106"/>
      <c r="D15" s="107"/>
      <c r="E15" s="152">
        <f>VLOOKUP(C5,TABMAND,S2+2,FALSE)</f>
        <v>831825</v>
      </c>
      <c r="F15" s="108"/>
      <c r="G15" s="109"/>
      <c r="H15" s="109"/>
      <c r="I15" s="109"/>
      <c r="J15" s="110"/>
      <c r="O15" s="139"/>
      <c r="S15" s="11"/>
      <c r="U15" s="83"/>
      <c r="AA15" s="6"/>
      <c r="AB15" s="6"/>
      <c r="AD15" s="6"/>
      <c r="AF15" s="6"/>
      <c r="AH15" s="6"/>
      <c r="AJ15" s="6"/>
      <c r="AL15" s="6"/>
      <c r="AN15" s="6"/>
    </row>
    <row r="16" spans="2:40" s="2" customFormat="1" ht="45" customHeight="1">
      <c r="B16" s="105" t="s">
        <v>56</v>
      </c>
      <c r="C16" s="106"/>
      <c r="D16" s="107"/>
      <c r="E16" s="152">
        <f>VLOOKUP(C5,TABMAND,S2+3,FALSE)</f>
        <v>940968</v>
      </c>
      <c r="F16" s="108"/>
      <c r="G16" s="109"/>
      <c r="H16" s="109"/>
      <c r="I16" s="109"/>
      <c r="J16" s="110"/>
      <c r="O16" s="139"/>
      <c r="S16" s="11"/>
      <c r="U16" s="83"/>
      <c r="AA16" s="6"/>
      <c r="AB16" s="6"/>
      <c r="AD16" s="6"/>
      <c r="AF16" s="6"/>
      <c r="AH16" s="6"/>
      <c r="AJ16" s="6"/>
      <c r="AL16" s="6"/>
      <c r="AN16" s="6"/>
    </row>
    <row r="17" spans="2:40" s="2" customFormat="1" ht="45" customHeight="1">
      <c r="B17" s="105" t="s">
        <v>57</v>
      </c>
      <c r="C17" s="107"/>
      <c r="D17" s="107"/>
      <c r="E17" s="152">
        <f>VLOOKUP(C5,TABMAND,S2+4,FALSE)</f>
        <v>4056.25</v>
      </c>
      <c r="F17" s="108"/>
      <c r="G17" s="109"/>
      <c r="H17" s="109"/>
      <c r="I17" s="109"/>
      <c r="J17" s="110"/>
      <c r="O17" s="139"/>
      <c r="S17" s="11"/>
      <c r="U17" s="83"/>
      <c r="AA17" s="6"/>
      <c r="AB17" s="6"/>
      <c r="AD17" s="6"/>
      <c r="AF17" s="6"/>
      <c r="AH17" s="6"/>
      <c r="AJ17" s="6"/>
      <c r="AL17" s="6"/>
      <c r="AN17" s="6"/>
    </row>
    <row r="18" spans="2:40" s="2" customFormat="1" ht="45" customHeight="1">
      <c r="B18" s="105" t="s">
        <v>58</v>
      </c>
      <c r="C18" s="107"/>
      <c r="D18" s="107"/>
      <c r="E18" s="111"/>
      <c r="F18" s="108"/>
      <c r="G18" s="109"/>
      <c r="H18" s="109"/>
      <c r="I18" s="109"/>
      <c r="J18" s="110"/>
      <c r="O18" s="139"/>
      <c r="S18" s="11"/>
      <c r="U18" s="83"/>
      <c r="AA18" s="6"/>
      <c r="AB18" s="6"/>
      <c r="AD18" s="6"/>
      <c r="AF18" s="6"/>
      <c r="AH18" s="6"/>
      <c r="AJ18" s="6"/>
      <c r="AL18" s="6"/>
      <c r="AN18" s="6"/>
    </row>
    <row r="19" spans="2:40" s="2" customFormat="1" ht="48" customHeight="1">
      <c r="B19" s="112"/>
      <c r="C19" s="109"/>
      <c r="D19" s="109"/>
      <c r="E19" s="111"/>
      <c r="F19" s="108"/>
      <c r="G19" s="109"/>
      <c r="H19" s="109"/>
      <c r="I19" s="109"/>
      <c r="J19" s="110"/>
      <c r="O19" s="139"/>
      <c r="S19" s="11"/>
      <c r="U19" s="83"/>
      <c r="AA19" s="6"/>
      <c r="AB19" s="6"/>
      <c r="AD19" s="6"/>
      <c r="AF19" s="6"/>
      <c r="AH19" s="6"/>
      <c r="AJ19" s="6"/>
      <c r="AL19" s="6"/>
      <c r="AN19" s="6"/>
    </row>
    <row r="20" spans="2:40" s="2" customFormat="1" ht="40.5" customHeight="1">
      <c r="B20" s="112"/>
      <c r="C20" s="113" t="s">
        <v>59</v>
      </c>
      <c r="D20" s="109"/>
      <c r="E20" s="111"/>
      <c r="F20" s="151">
        <f>SUM(E15:E18)</f>
        <v>1776849.25</v>
      </c>
      <c r="G20" s="109"/>
      <c r="H20" s="109"/>
      <c r="I20" s="109"/>
      <c r="J20" s="110"/>
      <c r="O20" s="139"/>
      <c r="S20" s="11"/>
      <c r="U20" s="83"/>
      <c r="AA20" s="6"/>
      <c r="AB20" s="6"/>
      <c r="AD20" s="6"/>
      <c r="AF20" s="6"/>
      <c r="AH20" s="6"/>
      <c r="AJ20" s="6"/>
      <c r="AL20" s="6"/>
      <c r="AN20" s="6"/>
    </row>
    <row r="21" spans="2:40" s="2" customFormat="1" ht="85.5" customHeight="1">
      <c r="B21" s="114"/>
      <c r="C21" s="109"/>
      <c r="D21" s="109"/>
      <c r="E21" s="111"/>
      <c r="F21" s="115"/>
      <c r="G21" s="109"/>
      <c r="H21" s="109"/>
      <c r="I21" s="109"/>
      <c r="J21" s="110"/>
      <c r="O21" s="139"/>
      <c r="S21" s="11"/>
      <c r="U21" s="83"/>
      <c r="AA21" s="6"/>
      <c r="AB21" s="6"/>
      <c r="AD21" s="6"/>
      <c r="AF21" s="6"/>
      <c r="AH21" s="6"/>
      <c r="AJ21" s="6"/>
      <c r="AL21" s="6"/>
      <c r="AN21" s="6"/>
    </row>
    <row r="22" spans="2:40" s="2" customFormat="1" ht="50.25" customHeight="1">
      <c r="B22" s="112"/>
      <c r="C22" s="116"/>
      <c r="D22" s="109"/>
      <c r="E22" s="111"/>
      <c r="F22" s="115"/>
      <c r="G22" s="1419" t="str">
        <f ca="1">'ETAT-PAY-PERM'!F10</f>
        <v>أجـــرة شهـــر جوان 2019</v>
      </c>
      <c r="H22" s="1420"/>
      <c r="I22" s="1420"/>
      <c r="J22" s="1421"/>
      <c r="O22" s="139"/>
      <c r="S22" s="11"/>
      <c r="U22" s="83"/>
      <c r="AA22" s="6"/>
      <c r="AB22" s="6"/>
      <c r="AD22" s="6"/>
      <c r="AF22" s="6"/>
      <c r="AH22" s="6"/>
      <c r="AJ22" s="6"/>
      <c r="AL22" s="6"/>
      <c r="AN22" s="6"/>
    </row>
    <row r="23" spans="2:40" s="2" customFormat="1" ht="48.75" customHeight="1">
      <c r="B23" s="114"/>
      <c r="C23" s="117" t="s">
        <v>60</v>
      </c>
      <c r="D23" s="109"/>
      <c r="E23" s="111"/>
      <c r="F23" s="115"/>
      <c r="G23" s="1419"/>
      <c r="H23" s="1420"/>
      <c r="I23" s="1420"/>
      <c r="J23" s="1421"/>
      <c r="O23" s="139"/>
      <c r="S23" s="11"/>
      <c r="U23" s="83"/>
      <c r="AA23" s="6"/>
      <c r="AB23" s="6"/>
      <c r="AD23" s="6"/>
      <c r="AF23" s="6"/>
      <c r="AH23" s="6"/>
      <c r="AJ23" s="6"/>
      <c r="AL23" s="6"/>
      <c r="AN23" s="6"/>
    </row>
    <row r="24" spans="2:40" s="2" customFormat="1" ht="43.5" customHeight="1">
      <c r="B24" s="114"/>
      <c r="C24" s="109"/>
      <c r="D24" s="118" t="s">
        <v>70</v>
      </c>
      <c r="E24" s="111"/>
      <c r="F24" s="115"/>
      <c r="G24" s="1419"/>
      <c r="H24" s="1420"/>
      <c r="I24" s="1420"/>
      <c r="J24" s="1421"/>
      <c r="O24" s="139"/>
      <c r="S24" s="11"/>
      <c r="U24" s="83"/>
      <c r="AA24" s="6"/>
      <c r="AB24" s="6"/>
      <c r="AD24" s="6"/>
      <c r="AF24" s="6"/>
      <c r="AH24" s="6"/>
      <c r="AJ24" s="6"/>
      <c r="AL24" s="6"/>
      <c r="AN24" s="6"/>
    </row>
    <row r="25" spans="2:40" s="2" customFormat="1" ht="43.5" customHeight="1">
      <c r="B25" s="119" t="s">
        <v>61</v>
      </c>
      <c r="C25" s="109"/>
      <c r="D25" s="109"/>
      <c r="E25" s="148">
        <f>VLOOKUP(C5,TABMAND,S2+6,FALSE)</f>
        <v>167469.10999999999</v>
      </c>
      <c r="F25" s="115"/>
      <c r="G25" s="109"/>
      <c r="H25" s="109"/>
      <c r="I25" s="109"/>
      <c r="J25" s="110"/>
      <c r="O25" s="139"/>
      <c r="S25" s="11"/>
      <c r="U25" s="83"/>
      <c r="AA25" s="6"/>
      <c r="AB25" s="6"/>
      <c r="AD25" s="6"/>
      <c r="AF25" s="6"/>
      <c r="AH25" s="6"/>
      <c r="AJ25" s="6"/>
      <c r="AL25" s="6"/>
      <c r="AN25" s="6"/>
    </row>
    <row r="26" spans="2:40" s="2" customFormat="1" ht="43.5" customHeight="1">
      <c r="B26" s="114"/>
      <c r="C26" s="120" t="s">
        <v>67</v>
      </c>
      <c r="D26" s="106"/>
      <c r="E26" s="148"/>
      <c r="F26" s="115"/>
      <c r="G26" s="109"/>
      <c r="H26" s="109"/>
      <c r="I26" s="109"/>
      <c r="J26" s="110"/>
      <c r="O26" s="139"/>
      <c r="S26" s="11"/>
      <c r="U26" s="83"/>
      <c r="AA26" s="6"/>
      <c r="AB26" s="6"/>
      <c r="AD26" s="6"/>
      <c r="AF26" s="6"/>
      <c r="AH26" s="6"/>
      <c r="AJ26" s="6"/>
      <c r="AL26" s="6"/>
      <c r="AN26" s="6"/>
    </row>
    <row r="27" spans="2:40" s="2" customFormat="1" ht="43.5" customHeight="1">
      <c r="B27" s="112"/>
      <c r="C27" s="121" t="s">
        <v>68</v>
      </c>
      <c r="D27" s="109"/>
      <c r="E27" s="148">
        <f>VLOOKUP(C5,TABMAND,S2+7,FALSE)</f>
        <v>150590.32999999999</v>
      </c>
      <c r="F27" s="115"/>
      <c r="G27" s="109"/>
      <c r="H27" s="109"/>
      <c r="I27" s="109"/>
      <c r="J27" s="110"/>
      <c r="O27" s="139"/>
      <c r="S27" s="11"/>
      <c r="U27" s="83"/>
      <c r="AA27" s="6"/>
      <c r="AB27" s="6"/>
      <c r="AD27" s="6"/>
      <c r="AF27" s="6"/>
      <c r="AH27" s="6"/>
      <c r="AJ27" s="6"/>
      <c r="AL27" s="6"/>
      <c r="AN27" s="6"/>
    </row>
    <row r="28" spans="2:40" s="2" customFormat="1" ht="43.5" customHeight="1">
      <c r="B28" s="112"/>
      <c r="C28" s="121" t="s">
        <v>69</v>
      </c>
      <c r="D28" s="109"/>
      <c r="E28" s="148">
        <f>VLOOKUP(C5,TABMAND,S2+9,FALSE)</f>
        <v>0</v>
      </c>
      <c r="F28" s="115"/>
      <c r="G28" s="109"/>
      <c r="H28" s="109"/>
      <c r="I28" s="109"/>
      <c r="J28" s="110"/>
      <c r="O28" s="139"/>
      <c r="S28" s="11"/>
      <c r="U28" s="83"/>
      <c r="AA28" s="6"/>
      <c r="AB28" s="6"/>
      <c r="AD28" s="6"/>
      <c r="AF28" s="6"/>
      <c r="AH28" s="6"/>
      <c r="AJ28" s="6"/>
      <c r="AL28" s="6"/>
      <c r="AN28" s="6"/>
    </row>
    <row r="29" spans="2:40" s="2" customFormat="1" ht="43.5" customHeight="1">
      <c r="B29" s="112"/>
      <c r="C29" s="121" t="s">
        <v>71</v>
      </c>
      <c r="D29" s="109"/>
      <c r="E29" s="148">
        <f>VLOOKUP(C5,TABMAND,S2+10,FALSE)</f>
        <v>0</v>
      </c>
      <c r="F29" s="115"/>
      <c r="G29" s="122"/>
      <c r="H29" s="123"/>
      <c r="I29" s="123"/>
      <c r="J29" s="124"/>
      <c r="O29" s="139"/>
      <c r="S29" s="11"/>
      <c r="U29" s="83"/>
      <c r="AA29" s="6"/>
      <c r="AB29" s="6"/>
      <c r="AD29" s="6"/>
      <c r="AF29" s="6"/>
      <c r="AH29" s="6"/>
      <c r="AJ29" s="6"/>
      <c r="AL29" s="6"/>
      <c r="AN29" s="6"/>
    </row>
    <row r="30" spans="2:40" s="2" customFormat="1" ht="43.5" customHeight="1">
      <c r="B30" s="112"/>
      <c r="C30" s="121" t="s">
        <v>72</v>
      </c>
      <c r="D30" s="109"/>
      <c r="E30" s="148">
        <f>VLOOKUP(C5,TABMAND,S2+11,FALSE)</f>
        <v>55507.93</v>
      </c>
      <c r="F30" s="115"/>
      <c r="G30" s="109"/>
      <c r="H30" s="109"/>
      <c r="I30" s="109"/>
      <c r="J30" s="110"/>
      <c r="O30" s="139"/>
      <c r="S30" s="11"/>
      <c r="U30" s="83"/>
      <c r="AA30" s="6"/>
      <c r="AB30" s="6"/>
      <c r="AD30" s="6"/>
      <c r="AF30" s="6"/>
      <c r="AH30" s="6"/>
      <c r="AJ30" s="6"/>
      <c r="AL30" s="6"/>
      <c r="AN30" s="6"/>
    </row>
    <row r="31" spans="2:40" s="2" customFormat="1" ht="43.5" customHeight="1">
      <c r="B31" s="112"/>
      <c r="C31" s="121" t="s">
        <v>73</v>
      </c>
      <c r="D31" s="109"/>
      <c r="E31" s="148">
        <f>VLOOKUP(C5,TABMAND,S2+8,FALSE)</f>
        <v>4526.99</v>
      </c>
      <c r="F31" s="115"/>
      <c r="G31" s="133" t="s">
        <v>62</v>
      </c>
      <c r="H31" s="134"/>
      <c r="I31" s="134"/>
      <c r="J31" s="135"/>
      <c r="O31" s="139"/>
      <c r="S31" s="11"/>
      <c r="U31" s="83"/>
      <c r="AA31" s="6"/>
      <c r="AB31" s="6"/>
      <c r="AD31" s="6"/>
      <c r="AF31" s="6"/>
      <c r="AH31" s="6"/>
      <c r="AJ31" s="6"/>
      <c r="AL31" s="6"/>
      <c r="AN31" s="6"/>
    </row>
    <row r="32" spans="2:40" s="2" customFormat="1" ht="43.5" customHeight="1">
      <c r="B32" s="112"/>
      <c r="C32" s="125" t="s">
        <v>74</v>
      </c>
      <c r="D32" s="109"/>
      <c r="E32" s="148">
        <f>VLOOKUP(C5,TABMAND,S2+12,FALSE)</f>
        <v>70000</v>
      </c>
      <c r="F32" s="115"/>
      <c r="G32" s="122"/>
      <c r="H32" s="123"/>
      <c r="I32" s="123"/>
      <c r="J32" s="124"/>
      <c r="O32" s="139"/>
      <c r="S32" s="11"/>
      <c r="U32" s="83"/>
      <c r="AA32" s="6"/>
      <c r="AB32" s="6"/>
      <c r="AD32" s="6"/>
      <c r="AF32" s="6"/>
      <c r="AH32" s="6"/>
      <c r="AJ32" s="6"/>
      <c r="AL32" s="6"/>
      <c r="AN32" s="6"/>
    </row>
    <row r="33" spans="2:40" s="2" customFormat="1" ht="42.75" customHeight="1">
      <c r="B33" s="112"/>
      <c r="C33" s="899" t="s">
        <v>637</v>
      </c>
      <c r="D33" s="109"/>
      <c r="E33" s="148">
        <v>0</v>
      </c>
      <c r="F33" s="115"/>
      <c r="G33" s="126"/>
      <c r="H33" s="116" t="s">
        <v>77</v>
      </c>
      <c r="I33" s="109"/>
      <c r="J33" s="110"/>
      <c r="O33" s="139"/>
      <c r="S33" s="11"/>
      <c r="U33" s="83"/>
      <c r="AA33" s="6"/>
      <c r="AB33" s="6"/>
      <c r="AD33" s="6"/>
      <c r="AF33" s="6"/>
      <c r="AH33" s="6"/>
      <c r="AJ33" s="6"/>
      <c r="AL33" s="6"/>
      <c r="AN33" s="6"/>
    </row>
    <row r="34" spans="2:40" s="2" customFormat="1" ht="42.75" customHeight="1">
      <c r="B34" s="112"/>
      <c r="C34" s="113" t="s">
        <v>75</v>
      </c>
      <c r="D34" s="109"/>
      <c r="E34" s="149">
        <f>SUM(E25:E33)</f>
        <v>448094.36</v>
      </c>
      <c r="F34" s="115"/>
      <c r="G34" s="109"/>
      <c r="H34" s="116" t="s">
        <v>78</v>
      </c>
      <c r="I34" s="109"/>
      <c r="J34" s="110"/>
      <c r="M34" s="136"/>
      <c r="N34" s="136"/>
      <c r="O34" s="140"/>
      <c r="S34" s="11"/>
      <c r="U34" s="83"/>
      <c r="AA34" s="6"/>
      <c r="AB34" s="6"/>
      <c r="AD34" s="6"/>
      <c r="AF34" s="6"/>
      <c r="AH34" s="6"/>
      <c r="AJ34" s="6"/>
      <c r="AL34" s="6"/>
      <c r="AN34" s="6"/>
    </row>
    <row r="35" spans="2:40" s="2" customFormat="1" ht="42.75" customHeight="1">
      <c r="B35" s="114"/>
      <c r="C35" s="113" t="s">
        <v>76</v>
      </c>
      <c r="D35" s="109"/>
      <c r="E35" s="127"/>
      <c r="F35" s="150">
        <f>SUM(F20-E34)</f>
        <v>1328754.8899999999</v>
      </c>
      <c r="G35" s="109"/>
      <c r="H35" s="116" t="s">
        <v>79</v>
      </c>
      <c r="I35" s="109"/>
      <c r="J35" s="110"/>
      <c r="M35" s="136"/>
      <c r="N35" s="136"/>
      <c r="O35" s="140"/>
      <c r="S35" s="11"/>
      <c r="U35" s="83"/>
      <c r="AA35" s="6"/>
      <c r="AB35" s="6"/>
      <c r="AD35" s="6"/>
      <c r="AF35" s="6"/>
      <c r="AH35" s="6"/>
      <c r="AJ35" s="6"/>
      <c r="AL35" s="6"/>
      <c r="AN35" s="6"/>
    </row>
    <row r="36" spans="2:40" s="2" customFormat="1" ht="33" customHeight="1">
      <c r="B36" s="114"/>
      <c r="C36" s="109"/>
      <c r="D36" s="109"/>
      <c r="E36" s="127"/>
      <c r="F36" s="108"/>
      <c r="G36" s="109"/>
      <c r="H36" s="116" t="s">
        <v>63</v>
      </c>
      <c r="I36" s="109"/>
      <c r="J36" s="110"/>
      <c r="O36" s="139"/>
      <c r="S36" s="11"/>
      <c r="U36" s="83"/>
      <c r="AA36" s="6"/>
      <c r="AB36" s="6"/>
      <c r="AD36" s="6"/>
      <c r="AF36" s="6"/>
      <c r="AH36" s="6"/>
      <c r="AJ36" s="6"/>
      <c r="AL36" s="6"/>
      <c r="AN36" s="6"/>
    </row>
    <row r="37" spans="2:40" s="2" customFormat="1" ht="33" customHeight="1">
      <c r="B37" s="114"/>
      <c r="C37" s="109"/>
      <c r="D37" s="109"/>
      <c r="E37" s="127"/>
      <c r="F37" s="108"/>
      <c r="G37" s="109"/>
      <c r="H37" s="116" t="s">
        <v>64</v>
      </c>
      <c r="I37" s="109"/>
      <c r="J37" s="110"/>
      <c r="O37" s="139"/>
      <c r="S37" s="11"/>
      <c r="U37" s="83"/>
      <c r="AA37" s="6"/>
      <c r="AB37" s="6"/>
      <c r="AD37" s="6"/>
      <c r="AF37" s="6"/>
      <c r="AH37" s="6"/>
      <c r="AJ37" s="6"/>
      <c r="AL37" s="6"/>
      <c r="AN37" s="6"/>
    </row>
    <row r="38" spans="2:40" s="2" customFormat="1" ht="33" customHeight="1">
      <c r="B38" s="114"/>
      <c r="C38" s="109"/>
      <c r="D38" s="109"/>
      <c r="E38" s="127"/>
      <c r="F38" s="108"/>
      <c r="G38" s="109"/>
      <c r="H38" s="116"/>
      <c r="I38" s="109"/>
      <c r="J38" s="110"/>
      <c r="O38" s="139"/>
      <c r="S38" s="11"/>
      <c r="U38" s="83"/>
      <c r="AA38" s="6"/>
      <c r="AB38" s="6"/>
      <c r="AD38" s="6"/>
      <c r="AF38" s="6"/>
      <c r="AH38" s="6"/>
      <c r="AJ38" s="6"/>
      <c r="AL38" s="6"/>
      <c r="AN38" s="6"/>
    </row>
    <row r="39" spans="2:40" s="2" customFormat="1" ht="45.75" customHeight="1">
      <c r="B39" s="128"/>
      <c r="C39" s="123"/>
      <c r="D39" s="123"/>
      <c r="E39" s="129"/>
      <c r="F39" s="130"/>
      <c r="G39" s="123"/>
      <c r="H39" s="123"/>
      <c r="I39" s="123"/>
      <c r="J39" s="124"/>
      <c r="O39" s="139"/>
      <c r="S39" s="11"/>
      <c r="U39" s="83"/>
      <c r="AA39" s="6"/>
      <c r="AB39" s="6"/>
      <c r="AD39" s="6"/>
      <c r="AF39" s="6"/>
      <c r="AH39" s="6"/>
      <c r="AJ39" s="6"/>
      <c r="AL39" s="6"/>
      <c r="AN39" s="6"/>
    </row>
    <row r="40" spans="2:40" s="2" customFormat="1" ht="45.75" customHeight="1">
      <c r="B40" s="146"/>
      <c r="C40" s="109"/>
      <c r="D40" s="109"/>
      <c r="E40" s="147"/>
      <c r="F40" s="147"/>
      <c r="G40" s="109"/>
      <c r="H40" s="109"/>
      <c r="I40" s="109"/>
      <c r="J40" s="109"/>
      <c r="O40" s="139"/>
      <c r="S40" s="11"/>
      <c r="U40" s="83"/>
      <c r="AA40" s="6"/>
      <c r="AB40" s="6"/>
      <c r="AD40" s="6"/>
      <c r="AF40" s="6"/>
      <c r="AH40" s="6"/>
      <c r="AJ40" s="6"/>
      <c r="AL40" s="6"/>
      <c r="AN40" s="6"/>
    </row>
    <row r="41" spans="2:40" s="2" customFormat="1" ht="33" customHeight="1">
      <c r="B41" s="85"/>
      <c r="C41" s="85"/>
      <c r="D41" s="85"/>
      <c r="E41" s="85"/>
      <c r="F41" s="85"/>
      <c r="G41" s="85"/>
      <c r="H41" s="85"/>
      <c r="I41" s="85"/>
      <c r="J41" s="85"/>
      <c r="O41" s="139"/>
      <c r="S41" s="11"/>
      <c r="U41" s="83"/>
      <c r="AA41" s="6"/>
      <c r="AB41" s="6"/>
      <c r="AD41" s="6"/>
      <c r="AF41" s="6"/>
      <c r="AH41" s="6"/>
      <c r="AJ41" s="6"/>
      <c r="AL41" s="6"/>
      <c r="AN41" s="6"/>
    </row>
    <row r="42" spans="2:40" s="2" customFormat="1" ht="45" customHeight="1">
      <c r="B42" s="153" t="str">
        <f>CONCATENATE("أوقف المبلغ : "," ",[1]!Arreta(F20))</f>
        <v>أوقف المبلغ :  مليون وسبعمائة وستة وسبعون ألف وثمانمائة وتسعة وأربعون دينار جزائري وخمسة وعشرون سنتيما</v>
      </c>
      <c r="C42" s="138"/>
      <c r="E42" s="56"/>
      <c r="F42" s="56"/>
      <c r="G42" s="56"/>
      <c r="H42" s="56"/>
      <c r="I42" s="56"/>
      <c r="J42" s="132"/>
      <c r="O42" s="139"/>
      <c r="S42" s="11"/>
      <c r="U42" s="83"/>
      <c r="AA42" s="6"/>
      <c r="AB42" s="6"/>
      <c r="AD42" s="6"/>
      <c r="AF42" s="6"/>
      <c r="AH42" s="6"/>
      <c r="AJ42" s="6"/>
      <c r="AL42" s="6"/>
      <c r="AN42" s="6"/>
    </row>
    <row r="43" spans="2:40" s="2" customFormat="1" ht="45" customHeight="1">
      <c r="B43" s="137"/>
      <c r="C43" s="138"/>
      <c r="D43" s="131"/>
      <c r="E43" s="56"/>
      <c r="F43" s="56"/>
      <c r="G43" s="56"/>
      <c r="H43" s="56"/>
      <c r="I43" s="56"/>
      <c r="J43" s="132"/>
      <c r="O43" s="139"/>
      <c r="S43" s="11"/>
      <c r="U43" s="83"/>
      <c r="AA43" s="6"/>
      <c r="AB43" s="6"/>
      <c r="AD43" s="6"/>
      <c r="AF43" s="6"/>
      <c r="AH43" s="6"/>
      <c r="AJ43" s="6"/>
      <c r="AL43" s="6"/>
      <c r="AN43" s="6"/>
    </row>
    <row r="44" spans="2:40" s="2" customFormat="1" ht="45.75" customHeight="1">
      <c r="B44" s="85"/>
      <c r="C44" s="85"/>
      <c r="D44" s="85"/>
      <c r="E44" s="85"/>
      <c r="F44" s="85"/>
      <c r="G44" s="85"/>
      <c r="H44" s="85"/>
      <c r="I44" s="85"/>
      <c r="J44" s="85"/>
      <c r="O44" s="139"/>
      <c r="S44" s="11"/>
      <c r="U44" s="83"/>
      <c r="AA44" s="6"/>
      <c r="AB44" s="6"/>
      <c r="AD44" s="6"/>
      <c r="AF44" s="6"/>
      <c r="AH44" s="6"/>
      <c r="AJ44" s="6"/>
      <c r="AL44" s="6"/>
      <c r="AN44" s="6"/>
    </row>
    <row r="45" spans="2:40" s="2" customFormat="1" ht="50.25" customHeight="1">
      <c r="B45" s="1390" t="s">
        <v>790</v>
      </c>
      <c r="C45" s="1422">
        <f>الرئيسية!N10</f>
        <v>43617</v>
      </c>
      <c r="D45" s="1422"/>
      <c r="E45" s="85"/>
      <c r="F45" s="85"/>
      <c r="I45" s="154" t="s">
        <v>65</v>
      </c>
      <c r="J45" s="85"/>
      <c r="O45" s="139"/>
      <c r="S45" s="11"/>
      <c r="U45" s="83"/>
      <c r="AA45" s="6"/>
      <c r="AB45" s="6"/>
      <c r="AD45" s="6"/>
      <c r="AF45" s="6"/>
      <c r="AH45" s="6"/>
      <c r="AJ45" s="6"/>
      <c r="AL45" s="6"/>
      <c r="AN45" s="6"/>
    </row>
  </sheetData>
  <mergeCells count="3">
    <mergeCell ref="E5:F5"/>
    <mergeCell ref="G22:J24"/>
    <mergeCell ref="C45:D45"/>
  </mergeCells>
  <phoneticPr fontId="2" type="noConversion"/>
  <dataValidations count="1">
    <dataValidation type="list" allowBlank="1" showInputMessage="1" showErrorMessage="1" sqref="C5">
      <formula1>'ورقة العمل'!Y2:Y6</formula1>
    </dataValidation>
  </dataValidations>
  <printOptions horizontalCentered="1"/>
  <pageMargins left="0.59055118110236227" right="0.59055118110236227" top="0.59055118110236227" bottom="0.59055118110236227" header="0" footer="0"/>
  <pageSetup paperSize="135" scale="48" orientation="portrait" horizontalDpi="180" verticalDpi="18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tabColor rgb="FF00B050"/>
    <pageSetUpPr fitToPage="1"/>
  </sheetPr>
  <dimension ref="B1:O35"/>
  <sheetViews>
    <sheetView rightToLeft="1" view="pageBreakPreview" topLeftCell="C1" zoomScale="50" zoomScaleSheetLayoutView="50" workbookViewId="0">
      <selection activeCell="E17" sqref="E17"/>
    </sheetView>
  </sheetViews>
  <sheetFormatPr baseColWidth="10" defaultRowHeight="12.75"/>
  <cols>
    <col min="1" max="1" width="11.42578125" style="186"/>
    <col min="2" max="2" width="55.140625" style="186" customWidth="1"/>
    <col min="3" max="3" width="29.7109375" style="186" customWidth="1"/>
    <col min="4" max="4" width="37.5703125" style="186" customWidth="1"/>
    <col min="5" max="5" width="19.28515625" style="186" customWidth="1"/>
    <col min="6" max="6" width="18.140625" style="186" customWidth="1"/>
    <col min="7" max="7" width="22.140625" style="186" customWidth="1"/>
    <col min="8" max="8" width="21.42578125" style="186" customWidth="1"/>
    <col min="9" max="10" width="13.140625" style="186" customWidth="1"/>
    <col min="11" max="11" width="13.5703125" style="186" customWidth="1"/>
    <col min="12" max="12" width="15" style="186" customWidth="1"/>
    <col min="13" max="14" width="13.5703125" style="186" customWidth="1"/>
    <col min="15" max="15" width="62.140625" style="186" customWidth="1"/>
    <col min="16" max="19" width="22.140625" style="186" customWidth="1"/>
    <col min="20" max="16384" width="11.42578125" style="186"/>
  </cols>
  <sheetData>
    <row r="1" spans="2:15" s="182" customFormat="1" ht="22.5" customHeight="1"/>
    <row r="2" spans="2:15" s="182" customFormat="1" ht="22.5" customHeight="1">
      <c r="B2" s="183"/>
      <c r="C2" s="183"/>
      <c r="D2" s="183"/>
      <c r="E2" s="183"/>
      <c r="F2" s="183"/>
      <c r="G2" s="183"/>
      <c r="H2" s="183"/>
      <c r="I2" s="183"/>
      <c r="J2" s="183"/>
      <c r="K2" s="183"/>
      <c r="L2" s="183"/>
      <c r="M2" s="183"/>
      <c r="N2" s="183"/>
      <c r="O2" s="183"/>
    </row>
    <row r="3" spans="2:15" ht="30">
      <c r="B3" s="184" t="s">
        <v>1</v>
      </c>
      <c r="C3" s="185"/>
      <c r="D3" s="185"/>
      <c r="E3" s="185"/>
      <c r="F3" s="1423" t="s">
        <v>89</v>
      </c>
      <c r="G3" s="1423"/>
      <c r="H3" s="1423"/>
      <c r="I3" s="185"/>
      <c r="J3" s="185"/>
      <c r="K3" s="185"/>
      <c r="L3" s="185"/>
      <c r="M3" s="185"/>
      <c r="N3" s="185"/>
      <c r="O3" s="185"/>
    </row>
    <row r="4" spans="2:15" ht="31.5" customHeight="1">
      <c r="B4" s="187" t="s">
        <v>66</v>
      </c>
      <c r="C4" s="188"/>
      <c r="D4" s="188"/>
      <c r="E4" s="188"/>
      <c r="F4" s="1423"/>
      <c r="G4" s="1423"/>
      <c r="H4" s="1423"/>
      <c r="I4" s="189"/>
      <c r="J4" s="14"/>
      <c r="K4" s="188"/>
      <c r="L4" s="188"/>
      <c r="M4" s="188"/>
      <c r="N4" s="188"/>
      <c r="O4" s="188"/>
    </row>
    <row r="5" spans="2:15" ht="30">
      <c r="B5" s="190" t="s">
        <v>90</v>
      </c>
      <c r="C5" s="181"/>
      <c r="D5" s="181"/>
      <c r="E5" s="181"/>
      <c r="F5" s="181"/>
      <c r="G5" s="181"/>
      <c r="H5" s="181"/>
      <c r="I5" s="181" t="s">
        <v>91</v>
      </c>
      <c r="J5" s="181"/>
      <c r="K5" s="181"/>
      <c r="L5" s="181"/>
      <c r="M5" s="181"/>
      <c r="N5" s="181"/>
      <c r="O5" s="181"/>
    </row>
    <row r="6" spans="2:15" ht="30">
      <c r="B6" s="191"/>
      <c r="C6" s="181"/>
      <c r="D6" s="181"/>
      <c r="E6" s="192"/>
      <c r="F6" s="181"/>
      <c r="G6" s="181"/>
      <c r="H6" s="181"/>
      <c r="I6" s="181"/>
      <c r="J6" s="181"/>
      <c r="K6" s="181"/>
      <c r="L6" s="181"/>
      <c r="M6" s="181"/>
      <c r="N6" s="181"/>
      <c r="O6" s="181"/>
    </row>
    <row r="7" spans="2:15" ht="30">
      <c r="B7" s="191"/>
      <c r="C7" s="181"/>
      <c r="D7" s="181"/>
      <c r="E7" s="193"/>
      <c r="F7" s="194"/>
      <c r="G7" s="195"/>
      <c r="H7" s="195" t="s">
        <v>92</v>
      </c>
      <c r="I7" s="195"/>
      <c r="J7" s="195"/>
      <c r="K7" s="195"/>
      <c r="L7" s="196"/>
      <c r="M7" s="181"/>
      <c r="N7" s="181"/>
      <c r="O7" s="181"/>
    </row>
    <row r="8" spans="2:15" ht="30">
      <c r="B8" s="191"/>
      <c r="C8" s="181"/>
      <c r="D8" s="181"/>
      <c r="E8" s="193"/>
      <c r="F8" s="1398" t="s">
        <v>912</v>
      </c>
      <c r="G8" s="195"/>
      <c r="H8" s="195"/>
      <c r="I8" s="195"/>
      <c r="J8" s="195"/>
      <c r="K8" s="195"/>
      <c r="L8" s="196"/>
      <c r="M8" s="181"/>
      <c r="N8" s="181"/>
      <c r="O8" s="181"/>
    </row>
    <row r="9" spans="2:15" ht="30">
      <c r="B9" s="191"/>
      <c r="C9" s="181"/>
      <c r="D9" s="181"/>
      <c r="E9" s="193"/>
      <c r="F9" s="197" t="s">
        <v>93</v>
      </c>
      <c r="G9" s="198"/>
      <c r="H9" s="199" t="s">
        <v>94</v>
      </c>
      <c r="I9" s="199" t="s">
        <v>95</v>
      </c>
      <c r="J9" s="1427" t="s">
        <v>656</v>
      </c>
      <c r="K9" s="1428"/>
      <c r="L9" s="1429"/>
      <c r="M9" s="181"/>
      <c r="N9" s="181"/>
      <c r="O9" s="181"/>
    </row>
    <row r="10" spans="2:15" ht="30">
      <c r="B10" s="191"/>
      <c r="C10" s="181"/>
      <c r="D10" s="181"/>
      <c r="E10" s="193"/>
      <c r="F10" s="1396">
        <v>2222</v>
      </c>
      <c r="G10" s="200"/>
      <c r="H10" s="1292">
        <f ca="1">YEAR(TODAY())</f>
        <v>2019</v>
      </c>
      <c r="I10" s="201" t="s">
        <v>96</v>
      </c>
      <c r="J10" s="1424" t="s">
        <v>97</v>
      </c>
      <c r="K10" s="1425"/>
      <c r="L10" s="1426"/>
      <c r="M10" s="181"/>
      <c r="N10" s="181"/>
      <c r="O10" s="181"/>
    </row>
    <row r="11" spans="2:15" ht="35.25">
      <c r="B11" s="1294" t="str">
        <f>CONCATENATE("رقـــم: "," ",'ETAT-SECSOC'!D11)</f>
        <v>رقـــم:  74</v>
      </c>
      <c r="C11" s="199" t="s">
        <v>20</v>
      </c>
      <c r="D11" s="1291">
        <f>'MAND-PAY-PERM'!C45</f>
        <v>43617</v>
      </c>
      <c r="E11" s="193"/>
      <c r="F11" s="194" t="s">
        <v>18</v>
      </c>
      <c r="G11" s="195"/>
      <c r="H11" s="195"/>
      <c r="I11" s="196"/>
      <c r="J11" s="1427" t="s">
        <v>98</v>
      </c>
      <c r="K11" s="1428"/>
      <c r="L11" s="1429"/>
      <c r="M11" s="181"/>
      <c r="N11" s="181"/>
      <c r="O11" s="181"/>
    </row>
    <row r="12" spans="2:15" ht="30">
      <c r="B12" s="191"/>
      <c r="C12" s="181"/>
      <c r="D12" s="204"/>
      <c r="E12" s="181"/>
      <c r="F12" s="205"/>
      <c r="G12" s="205"/>
      <c r="H12" s="206"/>
      <c r="I12" s="206"/>
      <c r="J12" s="206"/>
      <c r="K12" s="206"/>
      <c r="L12" s="206"/>
      <c r="M12" s="181"/>
      <c r="N12" s="181"/>
      <c r="O12" s="181"/>
    </row>
    <row r="13" spans="2:15" ht="30">
      <c r="B13" s="207">
        <v>1</v>
      </c>
      <c r="C13" s="208">
        <v>2</v>
      </c>
      <c r="D13" s="208">
        <v>3</v>
      </c>
      <c r="E13" s="208">
        <v>4</v>
      </c>
      <c r="F13" s="209">
        <v>5</v>
      </c>
      <c r="G13" s="209">
        <v>6</v>
      </c>
      <c r="H13" s="210">
        <v>7</v>
      </c>
      <c r="I13" s="211"/>
      <c r="J13" s="211" t="s">
        <v>99</v>
      </c>
      <c r="K13" s="211"/>
      <c r="L13" s="211"/>
      <c r="M13" s="212">
        <v>8</v>
      </c>
      <c r="N13" s="200" t="s">
        <v>17</v>
      </c>
      <c r="O13" s="200">
        <v>9</v>
      </c>
    </row>
    <row r="14" spans="2:15" s="215" customFormat="1" ht="52.5">
      <c r="B14" s="213" t="s">
        <v>100</v>
      </c>
      <c r="C14" s="214" t="s">
        <v>653</v>
      </c>
      <c r="D14" s="214" t="s">
        <v>101</v>
      </c>
      <c r="E14" s="941" t="s">
        <v>26</v>
      </c>
      <c r="F14" s="941" t="s">
        <v>318</v>
      </c>
      <c r="G14" s="941" t="s">
        <v>654</v>
      </c>
      <c r="H14" s="942" t="s">
        <v>95</v>
      </c>
      <c r="I14" s="943" t="s">
        <v>655</v>
      </c>
      <c r="J14" s="943" t="s">
        <v>102</v>
      </c>
      <c r="K14" s="943" t="s">
        <v>94</v>
      </c>
      <c r="L14" s="943" t="s">
        <v>65</v>
      </c>
      <c r="M14" s="943" t="s">
        <v>103</v>
      </c>
      <c r="N14" s="943" t="s">
        <v>104</v>
      </c>
      <c r="O14" s="943" t="s">
        <v>105</v>
      </c>
    </row>
    <row r="15" spans="2:15" ht="30">
      <c r="B15" s="217"/>
      <c r="C15" s="218"/>
      <c r="D15" s="219"/>
      <c r="E15" s="192"/>
      <c r="F15" s="228"/>
      <c r="G15" s="192"/>
      <c r="H15" s="228"/>
      <c r="I15" s="192"/>
      <c r="J15" s="228"/>
      <c r="K15" s="192"/>
      <c r="L15" s="228"/>
      <c r="M15" s="228"/>
      <c r="N15" s="192"/>
      <c r="O15" s="228"/>
    </row>
    <row r="16" spans="2:15" ht="30">
      <c r="B16" s="220" t="s">
        <v>106</v>
      </c>
      <c r="C16" s="263">
        <v>403001</v>
      </c>
      <c r="D16" s="264">
        <f>'ETAT-SECSOC'!H20</f>
        <v>955997.19</v>
      </c>
      <c r="E16" s="192"/>
      <c r="F16" s="222"/>
      <c r="G16" s="223"/>
      <c r="H16" s="266" t="str">
        <f>I10</f>
        <v>13-33</v>
      </c>
      <c r="I16" s="267" t="s">
        <v>107</v>
      </c>
      <c r="J16" s="268" t="str">
        <f>J10</f>
        <v>3,2,1</v>
      </c>
      <c r="K16" s="1293">
        <f ca="1">H10</f>
        <v>2019</v>
      </c>
      <c r="L16" s="1397">
        <f>F10</f>
        <v>2222</v>
      </c>
      <c r="M16" s="225"/>
      <c r="N16" s="224"/>
      <c r="O16" s="269" t="s">
        <v>108</v>
      </c>
    </row>
    <row r="17" spans="2:15" ht="30">
      <c r="B17" s="220" t="s">
        <v>109</v>
      </c>
      <c r="C17" s="226"/>
      <c r="D17" s="227"/>
      <c r="E17" s="192"/>
      <c r="F17" s="228"/>
      <c r="G17" s="192"/>
      <c r="H17" s="214"/>
      <c r="I17" s="193"/>
      <c r="J17" s="214"/>
      <c r="K17" s="193"/>
      <c r="L17" s="214"/>
      <c r="M17" s="214"/>
      <c r="N17" s="193"/>
      <c r="O17" s="270" t="s">
        <v>110</v>
      </c>
    </row>
    <row r="18" spans="2:15" ht="30">
      <c r="B18" s="220" t="s">
        <v>121</v>
      </c>
      <c r="C18" s="226"/>
      <c r="D18" s="227"/>
      <c r="E18" s="192"/>
      <c r="F18" s="228"/>
      <c r="G18" s="192"/>
      <c r="H18" s="214"/>
      <c r="I18" s="193"/>
      <c r="J18" s="214"/>
      <c r="K18" s="193"/>
      <c r="L18" s="214"/>
      <c r="M18" s="214"/>
      <c r="N18" s="193"/>
      <c r="O18" s="271" t="str">
        <f ca="1">'ETAT-PAY-PERM'!F10</f>
        <v>أجـــرة شهـــر جوان 2019</v>
      </c>
    </row>
    <row r="19" spans="2:15" ht="30">
      <c r="B19" s="230"/>
      <c r="C19" s="226"/>
      <c r="D19" s="221"/>
      <c r="E19" s="192"/>
      <c r="F19" s="228"/>
      <c r="G19" s="192"/>
      <c r="H19" s="214"/>
      <c r="I19" s="193"/>
      <c r="J19" s="214"/>
      <c r="K19" s="193"/>
      <c r="L19" s="214"/>
      <c r="M19" s="214"/>
      <c r="N19" s="193"/>
      <c r="O19" s="229"/>
    </row>
    <row r="20" spans="2:15" ht="30">
      <c r="B20" s="230"/>
      <c r="C20" s="226"/>
      <c r="D20" s="221"/>
      <c r="E20" s="192"/>
      <c r="F20" s="228"/>
      <c r="G20" s="192"/>
      <c r="H20" s="214"/>
      <c r="I20" s="193"/>
      <c r="J20" s="214"/>
      <c r="K20" s="193"/>
      <c r="L20" s="214"/>
      <c r="M20" s="214"/>
      <c r="N20" s="193"/>
      <c r="O20" s="229"/>
    </row>
    <row r="21" spans="2:15" ht="30">
      <c r="B21" s="230"/>
      <c r="C21" s="226"/>
      <c r="D21" s="221"/>
      <c r="E21" s="192"/>
      <c r="F21" s="228"/>
      <c r="G21" s="192"/>
      <c r="H21" s="214"/>
      <c r="I21" s="193"/>
      <c r="J21" s="214"/>
      <c r="K21" s="193"/>
      <c r="L21" s="214"/>
      <c r="M21" s="214"/>
      <c r="N21" s="193"/>
      <c r="O21" s="229"/>
    </row>
    <row r="22" spans="2:15" ht="30">
      <c r="B22" s="230"/>
      <c r="C22" s="226"/>
      <c r="D22" s="221"/>
      <c r="E22" s="192"/>
      <c r="F22" s="228"/>
      <c r="G22" s="192"/>
      <c r="H22" s="214"/>
      <c r="I22" s="193"/>
      <c r="J22" s="214"/>
      <c r="K22" s="193"/>
      <c r="L22" s="214"/>
      <c r="M22" s="214"/>
      <c r="N22" s="193"/>
      <c r="O22" s="231"/>
    </row>
    <row r="23" spans="2:15" ht="30">
      <c r="B23" s="230"/>
      <c r="C23" s="226"/>
      <c r="D23" s="221"/>
      <c r="E23" s="192"/>
      <c r="F23" s="228"/>
      <c r="G23" s="192"/>
      <c r="H23" s="214"/>
      <c r="I23" s="193"/>
      <c r="J23" s="214"/>
      <c r="K23" s="193"/>
      <c r="L23" s="214"/>
      <c r="M23" s="214"/>
      <c r="N23" s="193"/>
      <c r="O23" s="232"/>
    </row>
    <row r="24" spans="2:15" s="215" customFormat="1" ht="30">
      <c r="B24" s="230"/>
      <c r="C24" s="226"/>
      <c r="D24" s="221"/>
      <c r="E24" s="192"/>
      <c r="F24" s="228"/>
      <c r="G24" s="192"/>
      <c r="H24" s="214"/>
      <c r="I24" s="193"/>
      <c r="J24" s="214"/>
      <c r="K24" s="193"/>
      <c r="L24" s="214"/>
      <c r="M24" s="214"/>
      <c r="N24" s="193"/>
      <c r="O24" s="214"/>
    </row>
    <row r="25" spans="2:15" s="215" customFormat="1" ht="30">
      <c r="B25" s="230"/>
      <c r="C25" s="226"/>
      <c r="D25" s="221"/>
      <c r="E25" s="192"/>
      <c r="F25" s="228"/>
      <c r="G25" s="192"/>
      <c r="H25" s="214"/>
      <c r="I25" s="193"/>
      <c r="J25" s="214"/>
      <c r="K25" s="193"/>
      <c r="L25" s="214"/>
      <c r="M25" s="214"/>
      <c r="N25" s="193"/>
      <c r="O25" s="214"/>
    </row>
    <row r="26" spans="2:15" s="215" customFormat="1" ht="30">
      <c r="B26" s="230"/>
      <c r="C26" s="226"/>
      <c r="D26" s="221"/>
      <c r="E26" s="192"/>
      <c r="F26" s="228"/>
      <c r="G26" s="192"/>
      <c r="H26" s="214"/>
      <c r="I26" s="193"/>
      <c r="J26" s="214"/>
      <c r="K26" s="193"/>
      <c r="L26" s="214"/>
      <c r="M26" s="214"/>
      <c r="N26" s="193"/>
      <c r="O26" s="214"/>
    </row>
    <row r="27" spans="2:15" s="215" customFormat="1" ht="30">
      <c r="B27" s="230"/>
      <c r="C27" s="226"/>
      <c r="D27" s="221"/>
      <c r="E27" s="192"/>
      <c r="F27" s="228"/>
      <c r="G27" s="192"/>
      <c r="H27" s="214"/>
      <c r="I27" s="193"/>
      <c r="J27" s="214"/>
      <c r="K27" s="193"/>
      <c r="L27" s="214"/>
      <c r="M27" s="214"/>
      <c r="N27" s="193"/>
      <c r="O27" s="214"/>
    </row>
    <row r="28" spans="2:15" s="215" customFormat="1" ht="30">
      <c r="B28" s="233"/>
      <c r="C28" s="234"/>
      <c r="D28" s="235"/>
      <c r="E28" s="236"/>
      <c r="F28" s="237"/>
      <c r="G28" s="236"/>
      <c r="H28" s="216"/>
      <c r="I28" s="202"/>
      <c r="J28" s="216"/>
      <c r="K28" s="202"/>
      <c r="L28" s="216"/>
      <c r="M28" s="216"/>
      <c r="N28" s="203"/>
      <c r="O28" s="216"/>
    </row>
    <row r="29" spans="2:15" s="215" customFormat="1" ht="50.25">
      <c r="B29" s="238" t="s">
        <v>111</v>
      </c>
      <c r="C29" s="239"/>
      <c r="D29" s="264">
        <f>SUM(D16:D28)</f>
        <v>955997.19</v>
      </c>
      <c r="E29" s="240"/>
      <c r="F29" s="241" t="str">
        <f>CONCATENATE("أوقف المبلغ :"," ",[1]!Arreta(D29))</f>
        <v>أوقف المبلغ : تسعمائة وخمسة وخمسون ألف وتسعمائة وسبعة وتسعون دينار جزائري وتسعة عشر سنتيما</v>
      </c>
      <c r="G29" s="242"/>
      <c r="H29" s="186"/>
      <c r="I29" s="193"/>
      <c r="J29" s="193"/>
      <c r="K29" s="193"/>
      <c r="L29" s="193"/>
      <c r="M29" s="193"/>
      <c r="N29" s="193"/>
      <c r="O29" s="193"/>
    </row>
    <row r="30" spans="2:15" s="215" customFormat="1" ht="30">
      <c r="B30" s="243" t="s">
        <v>112</v>
      </c>
      <c r="C30" s="244"/>
      <c r="D30" s="265" t="str">
        <f>I10</f>
        <v>13-33</v>
      </c>
      <c r="E30" s="181"/>
      <c r="F30" s="240"/>
      <c r="G30" s="240"/>
      <c r="H30" s="240"/>
      <c r="I30" s="240"/>
      <c r="J30" s="240"/>
      <c r="K30" s="240"/>
      <c r="L30" s="240"/>
      <c r="M30" s="240"/>
      <c r="N30" s="240"/>
      <c r="O30" s="240"/>
    </row>
    <row r="31" spans="2:15" s="215" customFormat="1" ht="30">
      <c r="B31" s="243" t="s">
        <v>120</v>
      </c>
      <c r="C31" s="181"/>
      <c r="D31" s="245"/>
      <c r="E31" s="181"/>
      <c r="F31" s="181"/>
      <c r="G31" s="181"/>
      <c r="H31" s="181"/>
      <c r="I31" s="181"/>
      <c r="J31" s="181"/>
      <c r="K31" s="181"/>
      <c r="L31" s="181"/>
      <c r="M31" s="218"/>
      <c r="N31" s="246"/>
      <c r="O31" s="198" t="s">
        <v>113</v>
      </c>
    </row>
    <row r="32" spans="2:15" s="215" customFormat="1" ht="33.75">
      <c r="B32" s="238" t="s">
        <v>114</v>
      </c>
      <c r="C32" s="181"/>
      <c r="D32" s="181"/>
      <c r="E32" s="181"/>
      <c r="F32" s="247" t="s">
        <v>115</v>
      </c>
      <c r="G32" s="181"/>
      <c r="H32" s="181"/>
      <c r="I32" s="181"/>
      <c r="J32" s="181"/>
      <c r="K32" s="181"/>
      <c r="L32" s="181"/>
      <c r="M32" s="248"/>
      <c r="N32" s="192"/>
      <c r="O32" s="249" t="s">
        <v>119</v>
      </c>
    </row>
    <row r="33" spans="2:15" s="255" customFormat="1" ht="45">
      <c r="B33" s="250"/>
      <c r="C33" s="251"/>
      <c r="D33" s="251"/>
      <c r="E33" s="251"/>
      <c r="F33" s="251"/>
      <c r="G33" s="1430">
        <f>D11</f>
        <v>43617</v>
      </c>
      <c r="H33" s="1430"/>
      <c r="I33" s="251"/>
      <c r="J33" s="251"/>
      <c r="K33" s="251"/>
      <c r="L33" s="251"/>
      <c r="M33" s="253"/>
      <c r="N33" s="252"/>
      <c r="O33" s="254" t="s">
        <v>118</v>
      </c>
    </row>
    <row r="34" spans="2:15" ht="30">
      <c r="B34" s="256"/>
      <c r="C34" s="188"/>
      <c r="D34" s="188"/>
      <c r="E34" s="188"/>
      <c r="F34" s="188"/>
      <c r="G34" s="188"/>
      <c r="H34" s="188"/>
      <c r="I34" s="188"/>
      <c r="J34" s="188"/>
      <c r="K34" s="188"/>
      <c r="L34" s="188"/>
      <c r="M34" s="257"/>
      <c r="N34" s="258"/>
      <c r="O34" s="259" t="s">
        <v>117</v>
      </c>
    </row>
    <row r="35" spans="2:15" ht="30">
      <c r="B35" s="256"/>
      <c r="C35" s="188"/>
      <c r="D35" s="188"/>
      <c r="E35" s="188"/>
      <c r="F35" s="188"/>
      <c r="G35" s="188"/>
      <c r="H35" s="188"/>
      <c r="I35" s="188"/>
      <c r="J35" s="188"/>
      <c r="K35" s="188"/>
      <c r="L35" s="188"/>
      <c r="M35" s="260"/>
      <c r="N35" s="261"/>
      <c r="O35" s="262" t="s">
        <v>116</v>
      </c>
    </row>
  </sheetData>
  <mergeCells count="5">
    <mergeCell ref="F3:H4"/>
    <mergeCell ref="J10:L10"/>
    <mergeCell ref="J9:L9"/>
    <mergeCell ref="J11:L11"/>
    <mergeCell ref="G33:H33"/>
  </mergeCells>
  <phoneticPr fontId="2" type="noConversion"/>
  <printOptions horizontalCentered="1"/>
  <pageMargins left="0.59055118110236227" right="0.59055118110236227" top="0.39370078740157483" bottom="0.39370078740157483" header="0" footer="0"/>
  <pageSetup paperSize="12" scale="48" orientation="landscape" horizontalDpi="180" verticalDpi="180" r:id="rId1"/>
  <headerFooter alignWithMargins="0"/>
  <drawing r:id="rId2"/>
</worksheet>
</file>

<file path=xl/worksheets/sheet7.xml><?xml version="1.0" encoding="utf-8"?>
<worksheet xmlns="http://schemas.openxmlformats.org/spreadsheetml/2006/main" xmlns:r="http://schemas.openxmlformats.org/officeDocument/2006/relationships">
  <sheetPr>
    <tabColor rgb="FF00B050"/>
    <pageSetUpPr fitToPage="1"/>
  </sheetPr>
  <dimension ref="B1:I25"/>
  <sheetViews>
    <sheetView rightToLeft="1" view="pageBreakPreview" topLeftCell="A10" zoomScale="85" workbookViewId="0">
      <selection activeCell="D15" sqref="D15"/>
    </sheetView>
  </sheetViews>
  <sheetFormatPr baseColWidth="10" defaultRowHeight="12.75"/>
  <cols>
    <col min="1" max="1" width="5" customWidth="1"/>
    <col min="3" max="3" width="22.5703125" customWidth="1"/>
    <col min="4" max="4" width="29" customWidth="1"/>
    <col min="5" max="6" width="23.85546875" customWidth="1"/>
    <col min="7" max="7" width="22" customWidth="1"/>
    <col min="8" max="8" width="25.42578125" customWidth="1"/>
    <col min="9" max="9" width="30.7109375" customWidth="1"/>
  </cols>
  <sheetData>
    <row r="1" spans="2:9" ht="36.75" customHeight="1"/>
    <row r="2" spans="2:9" s="3" customFormat="1" ht="32.25" customHeight="1">
      <c r="B2" s="1434" t="s">
        <v>1</v>
      </c>
      <c r="C2" s="1434"/>
      <c r="D2" s="1434"/>
      <c r="E2" s="1434"/>
      <c r="F2" s="1434"/>
      <c r="G2" s="1434"/>
      <c r="H2" s="1434"/>
      <c r="I2" s="155"/>
    </row>
    <row r="3" spans="2:9" s="3" customFormat="1" ht="16.5">
      <c r="B3" s="156"/>
      <c r="E3" s="157"/>
      <c r="H3" s="155"/>
      <c r="I3" s="155"/>
    </row>
    <row r="4" spans="2:9" s="3" customFormat="1" ht="18">
      <c r="B4" s="1391" t="s">
        <v>910</v>
      </c>
      <c r="E4" s="157"/>
      <c r="H4" s="159"/>
      <c r="I4" s="159"/>
    </row>
    <row r="5" spans="2:9" s="3" customFormat="1" ht="20.25">
      <c r="B5" s="1391" t="s">
        <v>911</v>
      </c>
      <c r="E5" s="159"/>
      <c r="G5" s="1392" t="s">
        <v>797</v>
      </c>
      <c r="H5" s="1296">
        <f>الرئيسية!N10</f>
        <v>43617</v>
      </c>
      <c r="I5" s="157"/>
    </row>
    <row r="6" spans="2:9" s="3" customFormat="1" ht="15.75">
      <c r="B6" s="159"/>
      <c r="C6" s="159"/>
      <c r="D6" s="159"/>
      <c r="H6" s="159"/>
      <c r="I6" s="159"/>
    </row>
    <row r="7" spans="2:9" s="3" customFormat="1" ht="27.75">
      <c r="B7" s="1432" t="s">
        <v>80</v>
      </c>
      <c r="C7" s="1432"/>
      <c r="D7" s="1432"/>
      <c r="E7" s="1432"/>
      <c r="F7" s="1432"/>
      <c r="G7" s="1432"/>
      <c r="H7" s="1432"/>
    </row>
    <row r="8" spans="2:9" s="3" customFormat="1" ht="33.75" customHeight="1">
      <c r="B8" s="1433" t="str">
        <f ca="1">'ETAT-PAY-PERM'!F10</f>
        <v>أجـــرة شهـــر جوان 2019</v>
      </c>
      <c r="C8" s="1433"/>
      <c r="D8" s="1433"/>
      <c r="E8" s="1433"/>
      <c r="F8" s="1433"/>
      <c r="G8" s="1433"/>
      <c r="H8" s="1433"/>
    </row>
    <row r="9" spans="2:9" s="3" customFormat="1" ht="18">
      <c r="B9" s="1435" t="str">
        <f>CONCATENATE("التسييــــر :"," ",'ETAT-PAY-PERM'!D1)</f>
        <v xml:space="preserve">التسييــــر : </v>
      </c>
      <c r="C9" s="1435"/>
    </row>
    <row r="10" spans="2:9" s="3" customFormat="1" ht="11.25" customHeight="1">
      <c r="B10" s="160"/>
      <c r="C10" s="160"/>
    </row>
    <row r="11" spans="2:9" s="3" customFormat="1" ht="21.75">
      <c r="B11" s="1436" t="s">
        <v>81</v>
      </c>
      <c r="C11" s="1436"/>
      <c r="D11" s="940">
        <f>B18+1</f>
        <v>74</v>
      </c>
      <c r="E11" s="162"/>
    </row>
    <row r="12" spans="2:9" s="3" customFormat="1" ht="20.25">
      <c r="B12" s="175"/>
      <c r="C12" s="175"/>
      <c r="D12" s="176"/>
      <c r="E12" s="162"/>
      <c r="I12" s="1393"/>
    </row>
    <row r="13" spans="2:9" s="3" customFormat="1" ht="40.5" customHeight="1">
      <c r="B13" s="177" t="s">
        <v>87</v>
      </c>
      <c r="C13" s="177" t="s">
        <v>86</v>
      </c>
      <c r="D13" s="177" t="s">
        <v>85</v>
      </c>
      <c r="E13" s="177" t="s">
        <v>88</v>
      </c>
      <c r="F13" s="178" t="s">
        <v>82</v>
      </c>
      <c r="G13" s="178" t="s">
        <v>83</v>
      </c>
      <c r="H13" s="1299" t="s">
        <v>84</v>
      </c>
      <c r="I13" s="1394"/>
    </row>
    <row r="14" spans="2:9" s="3" customFormat="1" ht="42.75" customHeight="1">
      <c r="B14" s="1298">
        <f>'ورقة العمل'!Y2</f>
        <v>69</v>
      </c>
      <c r="C14" s="164"/>
      <c r="D14" s="165">
        <f>VLOOKUP(B14,TABMAND,$S$2+18,FALSE)</f>
        <v>1015858.5</v>
      </c>
      <c r="E14" s="166"/>
      <c r="F14" s="166"/>
      <c r="G14" s="167"/>
      <c r="H14" s="1300"/>
      <c r="I14" s="1395"/>
    </row>
    <row r="15" spans="2:9" s="3" customFormat="1" ht="42.75" customHeight="1">
      <c r="B15" s="1298">
        <f>'ورقة العمل'!Y3</f>
        <v>70</v>
      </c>
      <c r="C15" s="164"/>
      <c r="D15" s="165">
        <f>VLOOKUP(B15,TABMAND,$S$2+18,FALSE)</f>
        <v>388711.75</v>
      </c>
      <c r="E15" s="166"/>
      <c r="F15" s="166"/>
      <c r="G15" s="167"/>
      <c r="H15" s="1300"/>
      <c r="I15" s="1395"/>
    </row>
    <row r="16" spans="2:9" s="3" customFormat="1" ht="42.75" customHeight="1">
      <c r="B16" s="1298">
        <f>'ورقة العمل'!Y4</f>
        <v>71</v>
      </c>
      <c r="C16" s="164"/>
      <c r="D16" s="165">
        <f>VLOOKUP(B16,TABMAND,$S$2+18,FALSE)</f>
        <v>232370</v>
      </c>
      <c r="E16" s="166"/>
      <c r="F16" s="166"/>
      <c r="G16" s="167"/>
      <c r="H16" s="168"/>
      <c r="I16" s="169"/>
    </row>
    <row r="17" spans="2:9" s="3" customFormat="1" ht="42.75" customHeight="1">
      <c r="B17" s="1298">
        <f>'ورقة العمل'!Y5</f>
        <v>72</v>
      </c>
      <c r="C17" s="164"/>
      <c r="D17" s="165">
        <f>VLOOKUP(B17,TABMAND,$S$2+18,FALSE)</f>
        <v>310458.5</v>
      </c>
      <c r="E17" s="166"/>
      <c r="F17" s="166"/>
      <c r="G17" s="167"/>
      <c r="H17" s="168"/>
      <c r="I17" s="169"/>
    </row>
    <row r="18" spans="2:9" s="3" customFormat="1" ht="42.75" customHeight="1">
      <c r="B18" s="1298">
        <f>'ورقة العمل'!Y6</f>
        <v>73</v>
      </c>
      <c r="C18" s="164"/>
      <c r="D18" s="165">
        <f>VLOOKUP(B18,TABMAND,$S$2+18,FALSE)</f>
        <v>1876590</v>
      </c>
      <c r="E18" s="166"/>
      <c r="F18" s="166"/>
      <c r="G18" s="167"/>
      <c r="H18" s="168"/>
      <c r="I18" s="169"/>
    </row>
    <row r="19" spans="2:9" s="3" customFormat="1" ht="26.25" customHeight="1">
      <c r="B19" s="163"/>
      <c r="C19" s="164"/>
      <c r="D19" s="165"/>
      <c r="E19" s="166"/>
      <c r="F19" s="166"/>
      <c r="G19" s="167"/>
      <c r="H19" s="168"/>
      <c r="I19" s="169"/>
    </row>
    <row r="20" spans="2:9" s="3" customFormat="1" ht="46.5" customHeight="1">
      <c r="B20" s="170"/>
      <c r="C20" s="170"/>
      <c r="D20" s="179">
        <f>SUM(D14:D19)</f>
        <v>3823988.75</v>
      </c>
      <c r="E20" s="180">
        <f>ROUND(D20*23.75%,2)</f>
        <v>908197.33</v>
      </c>
      <c r="F20" s="180">
        <f>ROUND(D20*1%,2)</f>
        <v>38239.89</v>
      </c>
      <c r="G20" s="180">
        <f>ROUND(D20*0.25%,2)</f>
        <v>9559.9699999999993</v>
      </c>
      <c r="H20" s="180">
        <f>SUM(E20:G20)</f>
        <v>955997.19</v>
      </c>
    </row>
    <row r="21" spans="2:9" s="3" customFormat="1" ht="23.25">
      <c r="B21" s="157"/>
      <c r="C21" s="157"/>
      <c r="E21" s="161"/>
      <c r="G21" s="171"/>
    </row>
    <row r="22" spans="2:9" s="3" customFormat="1" ht="51.75" customHeight="1">
      <c r="B22" s="172"/>
      <c r="C22" s="1431" t="str">
        <f>CONCATENATE("أوقف المبلغ :"," ",[1]!Arreta(H20))</f>
        <v>أوقف المبلغ : تسعمائة وخمسة وخمسون ألف وتسعمائة وسبعة وتسعون دينار جزائري وتسعة عشر سنتيما</v>
      </c>
      <c r="D22" s="1431"/>
      <c r="E22" s="1431"/>
      <c r="F22" s="1431"/>
      <c r="G22" s="1431"/>
      <c r="H22" s="1431"/>
      <c r="I22" s="173"/>
    </row>
    <row r="23" spans="2:9" s="3" customFormat="1"/>
    <row r="25" spans="2:9" ht="23.25">
      <c r="H25" s="1297">
        <f>H5</f>
        <v>43617</v>
      </c>
    </row>
  </sheetData>
  <mergeCells count="6">
    <mergeCell ref="C22:H22"/>
    <mergeCell ref="B7:H7"/>
    <mergeCell ref="B8:H8"/>
    <mergeCell ref="B2:H2"/>
    <mergeCell ref="B9:C9"/>
    <mergeCell ref="B11:C11"/>
  </mergeCells>
  <phoneticPr fontId="2" type="noConversion"/>
  <printOptions horizontalCentered="1"/>
  <pageMargins left="0.59055118110236227" right="0.78740157480314965" top="0.78740157480314965" bottom="0.98425196850393704" header="0" footer="0"/>
  <pageSetup paperSize="9" scale="68" orientation="landscape" horizontalDpi="180" verticalDpi="180"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00B050"/>
  </sheetPr>
  <dimension ref="B1:AZ94"/>
  <sheetViews>
    <sheetView rightToLeft="1" view="pageBreakPreview" topLeftCell="A62" workbookViewId="0">
      <selection activeCell="C47" sqref="C47:E47"/>
    </sheetView>
  </sheetViews>
  <sheetFormatPr baseColWidth="10" defaultRowHeight="12.75"/>
  <cols>
    <col min="1" max="1" width="3.85546875" customWidth="1"/>
    <col min="7" max="8" width="15.28515625" bestFit="1" customWidth="1"/>
    <col min="10" max="10" width="21.5703125" customWidth="1"/>
    <col min="11" max="11" width="17.140625" customWidth="1"/>
  </cols>
  <sheetData>
    <row r="1" spans="2:52" s="3" customFormat="1" ht="23.25">
      <c r="B1" s="1444" t="s">
        <v>231</v>
      </c>
      <c r="C1" s="1444"/>
      <c r="D1" s="1444"/>
      <c r="E1" s="1444"/>
      <c r="F1" s="1444"/>
      <c r="G1" s="1444"/>
      <c r="H1" s="1444"/>
      <c r="I1" s="273"/>
      <c r="U1" s="52"/>
      <c r="W1" s="272"/>
      <c r="AL1" s="272"/>
      <c r="AQ1"/>
      <c r="AR1"/>
      <c r="AS1"/>
      <c r="AT1"/>
      <c r="AU1"/>
      <c r="AV1"/>
      <c r="AW1"/>
      <c r="AX1"/>
      <c r="AY1"/>
      <c r="AZ1" s="447"/>
    </row>
    <row r="2" spans="2:52" s="3" customFormat="1" ht="23.25">
      <c r="B2"/>
      <c r="C2" s="430"/>
      <c r="D2" s="430"/>
      <c r="E2" s="430"/>
      <c r="F2" s="430"/>
      <c r="G2" s="430"/>
      <c r="H2" s="430"/>
      <c r="I2" s="273"/>
      <c r="U2" s="52"/>
      <c r="W2" s="272"/>
      <c r="AL2" s="272"/>
      <c r="AQ2"/>
      <c r="AR2"/>
      <c r="AS2"/>
      <c r="AT2"/>
      <c r="AU2"/>
      <c r="AV2"/>
      <c r="AW2"/>
      <c r="AX2"/>
      <c r="AY2"/>
      <c r="AZ2" s="447"/>
    </row>
    <row r="3" spans="2:52" s="3" customFormat="1" ht="23.25">
      <c r="B3" s="1377" t="s">
        <v>906</v>
      </c>
      <c r="C3"/>
      <c r="D3"/>
      <c r="E3"/>
      <c r="F3" s="431"/>
      <c r="G3"/>
      <c r="H3"/>
      <c r="I3" s="273"/>
      <c r="U3" s="52"/>
      <c r="W3" s="272"/>
      <c r="AL3" s="272"/>
      <c r="AQ3"/>
      <c r="AR3"/>
      <c r="AS3"/>
      <c r="AT3"/>
      <c r="AU3"/>
      <c r="AV3"/>
      <c r="AW3"/>
      <c r="AX3"/>
      <c r="AY3"/>
      <c r="AZ3" s="447"/>
    </row>
    <row r="4" spans="2:52" s="3" customFormat="1" ht="23.25">
      <c r="B4" s="1378" t="s">
        <v>907</v>
      </c>
      <c r="C4" s="432"/>
      <c r="D4" s="284"/>
      <c r="E4" s="433" t="s">
        <v>249</v>
      </c>
      <c r="F4" s="944">
        <v>73</v>
      </c>
      <c r="G4" s="433" t="s">
        <v>250</v>
      </c>
      <c r="H4" s="1315">
        <f>الرئيسية!N10</f>
        <v>43617</v>
      </c>
      <c r="I4" s="273"/>
      <c r="U4" s="52"/>
      <c r="W4" s="272"/>
      <c r="AL4" s="272"/>
      <c r="AQ4"/>
      <c r="AR4"/>
      <c r="AS4"/>
      <c r="AT4"/>
      <c r="AU4"/>
      <c r="AV4"/>
      <c r="AW4"/>
      <c r="AX4"/>
      <c r="AY4"/>
      <c r="AZ4" s="447"/>
    </row>
    <row r="5" spans="2:52" s="3" customFormat="1" ht="23.25">
      <c r="F5" s="272"/>
      <c r="I5" s="273"/>
      <c r="U5" s="52"/>
      <c r="W5" s="272"/>
      <c r="AL5" s="272"/>
      <c r="AQ5"/>
      <c r="AR5"/>
      <c r="AS5"/>
      <c r="AT5"/>
      <c r="AU5"/>
      <c r="AV5"/>
      <c r="AW5"/>
      <c r="AX5"/>
      <c r="AY5"/>
      <c r="AZ5" s="447"/>
    </row>
    <row r="6" spans="2:52" s="3" customFormat="1" ht="23.25">
      <c r="B6" s="1445" t="s">
        <v>232</v>
      </c>
      <c r="C6" s="1445"/>
      <c r="D6" s="1445"/>
      <c r="E6" s="1445"/>
      <c r="F6" s="1445"/>
      <c r="G6" s="1445"/>
      <c r="H6" s="1445"/>
      <c r="I6" s="273"/>
      <c r="K6" s="523" t="str">
        <f>LOOKUP(F4,'ورقة العمل'!Y2:Y12,'ورقة العمل'!X2:X12)</f>
        <v>الحساب الجاري البريدي</v>
      </c>
      <c r="U6" s="52"/>
      <c r="W6" s="272"/>
      <c r="AL6" s="272"/>
      <c r="AQ6"/>
      <c r="AR6"/>
      <c r="AS6"/>
      <c r="AT6"/>
      <c r="AU6"/>
      <c r="AV6"/>
      <c r="AW6"/>
      <c r="AX6"/>
      <c r="AY6"/>
      <c r="AZ6" s="447"/>
    </row>
    <row r="7" spans="2:52" s="3" customFormat="1" ht="23.25">
      <c r="B7" s="1442" t="s">
        <v>233</v>
      </c>
      <c r="C7" s="1442"/>
      <c r="D7" s="1442"/>
      <c r="E7" s="1442"/>
      <c r="F7" s="1442"/>
      <c r="G7" s="1442"/>
      <c r="H7" s="1442"/>
      <c r="I7" s="273"/>
      <c r="U7" s="52"/>
      <c r="W7" s="272"/>
      <c r="AL7" s="272"/>
      <c r="AQ7"/>
      <c r="AR7"/>
      <c r="AS7"/>
      <c r="AT7"/>
      <c r="AU7"/>
      <c r="AV7"/>
      <c r="AW7"/>
      <c r="AX7"/>
      <c r="AY7"/>
      <c r="AZ7" s="447"/>
    </row>
    <row r="8" spans="2:52" s="3" customFormat="1" ht="23.25">
      <c r="B8" s="1442" t="s">
        <v>324</v>
      </c>
      <c r="C8" s="1442"/>
      <c r="D8" s="1442"/>
      <c r="E8" s="1442"/>
      <c r="F8" s="1442"/>
      <c r="G8" s="1442"/>
      <c r="H8" s="1442"/>
      <c r="I8" s="273"/>
      <c r="U8" s="52"/>
      <c r="W8" s="272"/>
      <c r="AL8" s="272"/>
      <c r="AQ8"/>
      <c r="AR8"/>
      <c r="AS8"/>
      <c r="AT8"/>
      <c r="AU8"/>
      <c r="AV8"/>
      <c r="AW8"/>
      <c r="AX8"/>
      <c r="AY8"/>
      <c r="AZ8" s="447"/>
    </row>
    <row r="9" spans="2:52" s="3" customFormat="1" ht="23.25">
      <c r="B9" s="157"/>
      <c r="C9" s="434" t="s">
        <v>325</v>
      </c>
      <c r="D9" s="947" t="str">
        <f>الرئيسية!N8</f>
        <v>جوان</v>
      </c>
      <c r="E9" s="272"/>
      <c r="F9" s="1379" t="s">
        <v>908</v>
      </c>
      <c r="G9" s="272"/>
      <c r="H9" s="272"/>
      <c r="I9" s="273"/>
      <c r="K9" s="522">
        <f>C17*9%</f>
        <v>168893.1</v>
      </c>
      <c r="U9" s="52"/>
      <c r="W9" s="272"/>
      <c r="AL9" s="272"/>
      <c r="AQ9"/>
      <c r="AR9"/>
      <c r="AS9"/>
      <c r="AT9"/>
      <c r="AU9"/>
      <c r="AV9"/>
      <c r="AW9"/>
      <c r="AX9"/>
      <c r="AY9"/>
      <c r="AZ9" s="447"/>
    </row>
    <row r="10" spans="2:52" s="3" customFormat="1" ht="23.25">
      <c r="B10" s="157" t="s">
        <v>234</v>
      </c>
      <c r="C10" s="157"/>
      <c r="D10" s="272"/>
      <c r="E10" s="272"/>
      <c r="F10" s="1379" t="s">
        <v>909</v>
      </c>
      <c r="G10" s="272"/>
      <c r="H10" s="272"/>
      <c r="I10" s="273"/>
      <c r="K10" s="452">
        <f>G18-K9</f>
        <v>-1423.99</v>
      </c>
      <c r="U10" s="52"/>
      <c r="W10" s="272"/>
      <c r="AL10" s="272"/>
      <c r="AQ10"/>
      <c r="AR10"/>
      <c r="AS10"/>
      <c r="AT10"/>
      <c r="AU10"/>
      <c r="AV10"/>
      <c r="AW10"/>
      <c r="AX10"/>
      <c r="AY10"/>
      <c r="AZ10" s="447"/>
    </row>
    <row r="11" spans="2:52" s="3" customFormat="1" ht="23.25">
      <c r="B11" s="157"/>
      <c r="C11" s="157" t="s">
        <v>235</v>
      </c>
      <c r="D11" s="272"/>
      <c r="E11" s="272"/>
      <c r="F11" s="157" t="str">
        <f ca="1">CONCATENATE("السنــة :","  ",YEAR(TODAY()))</f>
        <v>السنــة :  2019</v>
      </c>
      <c r="G11" s="272"/>
      <c r="H11" s="272"/>
      <c r="I11" s="273"/>
      <c r="U11" s="52"/>
      <c r="W11" s="272"/>
      <c r="AL11" s="272"/>
      <c r="AQ11"/>
      <c r="AR11"/>
      <c r="AS11"/>
      <c r="AT11"/>
      <c r="AU11"/>
      <c r="AV11"/>
      <c r="AW11"/>
      <c r="AX11"/>
      <c r="AY11"/>
      <c r="AZ11" s="447"/>
    </row>
    <row r="12" spans="2:52" s="3" customFormat="1" ht="23.25">
      <c r="B12" s="435" t="str">
        <f ca="1">'ETAT-PAY-PERM'!F10</f>
        <v>أجـــرة شهـــر جوان 2019</v>
      </c>
      <c r="C12" s="272"/>
      <c r="D12" s="272"/>
      <c r="E12" s="272"/>
      <c r="F12" s="436" t="s">
        <v>236</v>
      </c>
      <c r="G12" s="272"/>
      <c r="H12" s="272"/>
      <c r="I12" s="273"/>
      <c r="K12" s="523">
        <f>COUNTIF('ETAT-PAY-PERM'!Z15:'ETAT-PAY-PERM'!Z92,K6)</f>
        <v>29</v>
      </c>
      <c r="U12" s="52"/>
      <c r="W12" s="272"/>
      <c r="AL12" s="272"/>
      <c r="AQ12"/>
      <c r="AR12"/>
      <c r="AS12"/>
      <c r="AT12"/>
      <c r="AU12"/>
      <c r="AV12"/>
      <c r="AW12"/>
      <c r="AX12"/>
      <c r="AY12"/>
      <c r="AZ12" s="447"/>
    </row>
    <row r="13" spans="2:52" s="3" customFormat="1" ht="23.25">
      <c r="B13" s="157" t="s">
        <v>237</v>
      </c>
      <c r="C13" s="272"/>
      <c r="D13" s="272"/>
      <c r="E13" s="272"/>
      <c r="F13" s="272"/>
      <c r="G13" s="272"/>
      <c r="H13" s="272"/>
      <c r="I13" s="273"/>
      <c r="U13" s="52"/>
      <c r="W13" s="272"/>
      <c r="AL13" s="272"/>
      <c r="AQ13"/>
      <c r="AR13"/>
      <c r="AS13"/>
      <c r="AT13"/>
      <c r="AU13"/>
      <c r="AV13"/>
      <c r="AW13"/>
      <c r="AX13"/>
      <c r="AY13"/>
      <c r="AZ13" s="447"/>
    </row>
    <row r="14" spans="2:52" s="3" customFormat="1" ht="23.25">
      <c r="F14" s="272"/>
      <c r="I14" s="273"/>
      <c r="U14" s="52"/>
      <c r="W14" s="272"/>
      <c r="AL14" s="272"/>
      <c r="AQ14"/>
      <c r="AR14"/>
      <c r="AS14"/>
      <c r="AT14"/>
      <c r="AU14"/>
      <c r="AV14"/>
      <c r="AW14"/>
      <c r="AX14"/>
      <c r="AY14"/>
      <c r="AZ14" s="447"/>
    </row>
    <row r="15" spans="2:52" s="3" customFormat="1" ht="23.25">
      <c r="B15" s="1446" t="s">
        <v>238</v>
      </c>
      <c r="C15" s="1448" t="s">
        <v>239</v>
      </c>
      <c r="D15" s="1449"/>
      <c r="E15" s="1450"/>
      <c r="F15" s="1446" t="s">
        <v>240</v>
      </c>
      <c r="G15" s="1448" t="s">
        <v>241</v>
      </c>
      <c r="H15" s="1450"/>
      <c r="I15" s="273"/>
      <c r="U15" s="52"/>
      <c r="W15" s="272"/>
      <c r="AL15" s="272"/>
      <c r="AQ15"/>
      <c r="AR15"/>
      <c r="AS15"/>
      <c r="AT15"/>
      <c r="AU15"/>
      <c r="AV15"/>
      <c r="AW15"/>
      <c r="AX15"/>
      <c r="AY15"/>
      <c r="AZ15" s="447"/>
    </row>
    <row r="16" spans="2:52" s="3" customFormat="1" ht="23.25">
      <c r="B16" s="1447"/>
      <c r="C16" s="1451" t="s">
        <v>242</v>
      </c>
      <c r="D16" s="1453"/>
      <c r="E16" s="1452"/>
      <c r="F16" s="1447"/>
      <c r="G16" s="1451"/>
      <c r="H16" s="1452"/>
      <c r="I16" s="273"/>
      <c r="U16" s="52"/>
      <c r="W16" s="272"/>
      <c r="AL16" s="272"/>
      <c r="AQ16"/>
      <c r="AR16"/>
      <c r="AS16"/>
      <c r="AT16"/>
      <c r="AU16"/>
      <c r="AV16"/>
      <c r="AW16"/>
      <c r="AX16"/>
      <c r="AY16"/>
      <c r="AZ16" s="447"/>
    </row>
    <row r="17" spans="2:52" s="449" customFormat="1" ht="129" customHeight="1">
      <c r="B17" s="437">
        <f>VLOOKUP(F4,TABMAND,U2+19,FALSE)</f>
        <v>29</v>
      </c>
      <c r="C17" s="1440">
        <f>VLOOKUP(F4,TABMAND,U2+18,FALSE)</f>
        <v>1876590</v>
      </c>
      <c r="D17" s="1443"/>
      <c r="E17" s="1441"/>
      <c r="F17" s="437">
        <v>9</v>
      </c>
      <c r="G17" s="1440">
        <f>VLOOKUP(F4,TABMAND,U2+6,FALSE)</f>
        <v>167469.10999999999</v>
      </c>
      <c r="H17" s="1441"/>
      <c r="U17" s="450"/>
      <c r="AQ17"/>
      <c r="AR17"/>
      <c r="AS17"/>
      <c r="AT17"/>
      <c r="AU17"/>
      <c r="AV17"/>
      <c r="AW17"/>
      <c r="AX17"/>
      <c r="AY17"/>
      <c r="AZ17" s="447"/>
    </row>
    <row r="18" spans="2:52" s="3" customFormat="1" ht="23.25">
      <c r="B18" s="437">
        <f>SUM(B17:B17)</f>
        <v>29</v>
      </c>
      <c r="C18" s="1440">
        <f>SUM(C17:C17)</f>
        <v>1876590</v>
      </c>
      <c r="D18" s="1443"/>
      <c r="E18" s="1441"/>
      <c r="F18" s="451" t="s">
        <v>251</v>
      </c>
      <c r="G18" s="1440">
        <f>SUM(G17)</f>
        <v>167469.10999999999</v>
      </c>
      <c r="H18" s="1441"/>
      <c r="U18" s="52"/>
      <c r="W18" s="272"/>
      <c r="AL18" s="272"/>
      <c r="AQ18"/>
      <c r="AR18"/>
      <c r="AS18"/>
      <c r="AT18"/>
      <c r="AU18"/>
      <c r="AV18"/>
      <c r="AW18"/>
      <c r="AX18"/>
      <c r="AY18"/>
      <c r="AZ18" s="447"/>
    </row>
    <row r="19" spans="2:52" s="3" customFormat="1" ht="23.25">
      <c r="F19" s="272"/>
      <c r="U19" s="52"/>
      <c r="W19" s="272"/>
      <c r="AL19" s="272"/>
      <c r="AQ19"/>
      <c r="AR19"/>
      <c r="AS19"/>
      <c r="AT19"/>
      <c r="AU19"/>
      <c r="AV19"/>
      <c r="AW19"/>
      <c r="AX19"/>
      <c r="AY19"/>
      <c r="AZ19" s="447"/>
    </row>
    <row r="20" spans="2:52" s="3" customFormat="1" ht="23.25">
      <c r="B20" s="159" t="s">
        <v>244</v>
      </c>
      <c r="F20" s="272"/>
      <c r="I20" s="449"/>
      <c r="U20" s="52"/>
      <c r="W20" s="272"/>
      <c r="AL20" s="272"/>
      <c r="AQ20"/>
      <c r="AR20"/>
      <c r="AS20"/>
      <c r="AT20"/>
      <c r="AU20"/>
      <c r="AV20"/>
      <c r="AW20"/>
      <c r="AX20"/>
      <c r="AY20"/>
      <c r="AZ20" s="447"/>
    </row>
    <row r="21" spans="2:52" s="3" customFormat="1" ht="23.25">
      <c r="B21" s="159" t="s">
        <v>245</v>
      </c>
      <c r="F21" s="272"/>
      <c r="I21" s="449"/>
      <c r="U21" s="52"/>
      <c r="W21" s="272"/>
      <c r="AL21" s="272"/>
      <c r="AQ21"/>
      <c r="AR21"/>
      <c r="AS21"/>
      <c r="AT21"/>
      <c r="AU21"/>
      <c r="AV21"/>
      <c r="AW21"/>
      <c r="AX21"/>
      <c r="AY21"/>
      <c r="AZ21" s="447"/>
    </row>
    <row r="22" spans="2:52" s="3" customFormat="1" ht="23.25">
      <c r="F22" s="1380" t="s">
        <v>797</v>
      </c>
      <c r="G22" s="1314">
        <f>H4</f>
        <v>43617</v>
      </c>
      <c r="I22" s="273"/>
      <c r="U22" s="52"/>
      <c r="W22" s="272"/>
      <c r="AL22" s="272"/>
      <c r="AQ22"/>
      <c r="AR22"/>
      <c r="AS22"/>
      <c r="AT22"/>
      <c r="AU22"/>
      <c r="AV22"/>
      <c r="AW22"/>
      <c r="AX22"/>
      <c r="AY22"/>
      <c r="AZ22" s="447"/>
    </row>
    <row r="23" spans="2:52" s="3" customFormat="1" ht="23.25">
      <c r="F23" s="272"/>
      <c r="I23" s="273"/>
      <c r="U23" s="52"/>
      <c r="W23" s="272"/>
      <c r="AL23" s="272"/>
      <c r="AQ23"/>
      <c r="AR23"/>
      <c r="AS23"/>
      <c r="AT23"/>
      <c r="AU23"/>
      <c r="AV23"/>
      <c r="AW23"/>
      <c r="AX23"/>
      <c r="AY23"/>
      <c r="AZ23" s="447"/>
    </row>
    <row r="24" spans="2:52" s="3" customFormat="1" ht="23.25">
      <c r="F24" s="443" t="s">
        <v>246</v>
      </c>
      <c r="I24" s="273"/>
      <c r="U24" s="52"/>
      <c r="W24" s="272"/>
      <c r="AL24" s="272"/>
      <c r="AQ24"/>
      <c r="AR24"/>
      <c r="AS24"/>
      <c r="AT24"/>
      <c r="AU24"/>
      <c r="AV24"/>
      <c r="AW24"/>
      <c r="AX24"/>
      <c r="AY24"/>
      <c r="AZ24" s="447"/>
    </row>
    <row r="30" spans="2:52" s="3" customFormat="1" ht="23.25">
      <c r="B30" s="1444" t="s">
        <v>231</v>
      </c>
      <c r="C30" s="1444"/>
      <c r="D30" s="1444"/>
      <c r="E30" s="1444"/>
      <c r="F30" s="1444"/>
      <c r="G30" s="1444"/>
      <c r="H30" s="1444"/>
      <c r="I30" s="273"/>
      <c r="U30" s="52"/>
      <c r="W30" s="272"/>
      <c r="AL30" s="272"/>
      <c r="AQ30"/>
      <c r="AR30"/>
      <c r="AS30"/>
      <c r="AT30"/>
      <c r="AU30"/>
      <c r="AV30"/>
      <c r="AW30"/>
      <c r="AX30"/>
      <c r="AY30"/>
      <c r="AZ30" s="447"/>
    </row>
    <row r="31" spans="2:52" s="3" customFormat="1" ht="23.25">
      <c r="B31"/>
      <c r="C31" s="430"/>
      <c r="D31" s="430"/>
      <c r="E31" s="430"/>
      <c r="F31" s="430"/>
      <c r="G31" s="430"/>
      <c r="H31" s="430"/>
      <c r="I31" s="273"/>
      <c r="U31" s="52"/>
      <c r="W31" s="272"/>
      <c r="AL31" s="272"/>
      <c r="AQ31"/>
      <c r="AR31"/>
      <c r="AS31"/>
      <c r="AT31"/>
      <c r="AU31"/>
      <c r="AV31"/>
      <c r="AW31"/>
      <c r="AX31"/>
      <c r="AY31"/>
      <c r="AZ31" s="447"/>
    </row>
    <row r="32" spans="2:52" s="3" customFormat="1" ht="23.25">
      <c r="B32" s="1377" t="str">
        <f>B3</f>
        <v>المديرية العامة ,,,,,,,,,,,,,,</v>
      </c>
      <c r="C32"/>
      <c r="D32"/>
      <c r="E32"/>
      <c r="F32" s="431"/>
      <c r="G32"/>
      <c r="H32"/>
      <c r="I32" s="273"/>
      <c r="U32" s="52"/>
      <c r="W32" s="272"/>
      <c r="AL32" s="272"/>
      <c r="AQ32"/>
      <c r="AR32"/>
      <c r="AS32"/>
      <c r="AT32"/>
      <c r="AU32"/>
      <c r="AV32"/>
      <c r="AW32"/>
      <c r="AX32"/>
      <c r="AY32"/>
      <c r="AZ32" s="447"/>
    </row>
    <row r="33" spans="2:52" s="3" customFormat="1" ht="23.25">
      <c r="B33" s="1377" t="str">
        <f>B4</f>
        <v>مديرية أ,,,,,,,,,,,,,,,,,,,,,</v>
      </c>
      <c r="C33" s="432"/>
      <c r="D33" s="284"/>
      <c r="E33" s="524" t="s">
        <v>326</v>
      </c>
      <c r="F33" s="448" t="str">
        <f>'MAND-SEC-SOC'!B11</f>
        <v>رقـــم:  74</v>
      </c>
      <c r="G33" s="1313" t="s">
        <v>250</v>
      </c>
      <c r="H33" s="1314">
        <f>G22</f>
        <v>43617</v>
      </c>
      <c r="I33" s="273"/>
      <c r="U33" s="52"/>
      <c r="W33" s="272"/>
      <c r="AL33" s="272"/>
      <c r="AQ33"/>
      <c r="AR33"/>
      <c r="AS33"/>
      <c r="AT33"/>
      <c r="AU33"/>
      <c r="AV33"/>
      <c r="AW33"/>
      <c r="AX33"/>
      <c r="AY33"/>
      <c r="AZ33" s="447"/>
    </row>
    <row r="34" spans="2:52" s="3" customFormat="1" ht="23.25">
      <c r="F34" s="272"/>
      <c r="I34" s="273"/>
      <c r="U34" s="52"/>
      <c r="W34" s="272"/>
      <c r="AL34" s="272"/>
      <c r="AQ34"/>
      <c r="AR34"/>
      <c r="AS34"/>
      <c r="AT34"/>
      <c r="AU34"/>
      <c r="AV34"/>
      <c r="AW34"/>
      <c r="AX34"/>
      <c r="AY34"/>
      <c r="AZ34" s="447"/>
    </row>
    <row r="35" spans="2:52" s="3" customFormat="1" ht="23.25">
      <c r="B35" s="1445" t="s">
        <v>232</v>
      </c>
      <c r="C35" s="1445"/>
      <c r="D35" s="1445"/>
      <c r="E35" s="1445"/>
      <c r="F35" s="1445"/>
      <c r="G35" s="1445"/>
      <c r="H35" s="1445"/>
      <c r="I35" s="273"/>
      <c r="U35" s="52"/>
      <c r="W35" s="272"/>
      <c r="AL35" s="272"/>
      <c r="AQ35"/>
      <c r="AR35"/>
      <c r="AS35"/>
      <c r="AT35"/>
      <c r="AU35"/>
      <c r="AV35"/>
      <c r="AW35"/>
      <c r="AX35"/>
      <c r="AY35"/>
      <c r="AZ35" s="447"/>
    </row>
    <row r="36" spans="2:52" s="3" customFormat="1" ht="23.25">
      <c r="B36" s="1442" t="s">
        <v>233</v>
      </c>
      <c r="C36" s="1442"/>
      <c r="D36" s="1442"/>
      <c r="E36" s="1442"/>
      <c r="F36" s="1442"/>
      <c r="G36" s="1442"/>
      <c r="H36" s="1442"/>
      <c r="I36" s="273"/>
      <c r="U36" s="52"/>
      <c r="W36" s="272"/>
      <c r="AL36" s="272"/>
      <c r="AQ36"/>
      <c r="AR36"/>
      <c r="AS36"/>
      <c r="AT36"/>
      <c r="AU36"/>
      <c r="AV36"/>
      <c r="AW36"/>
      <c r="AX36"/>
      <c r="AY36"/>
      <c r="AZ36" s="447"/>
    </row>
    <row r="37" spans="2:52" s="3" customFormat="1" ht="23.25">
      <c r="B37" s="1442" t="s">
        <v>324</v>
      </c>
      <c r="C37" s="1442"/>
      <c r="D37" s="1442"/>
      <c r="E37" s="1442"/>
      <c r="F37" s="1442"/>
      <c r="G37" s="1442"/>
      <c r="H37" s="1442"/>
      <c r="I37" s="273"/>
      <c r="U37" s="52"/>
      <c r="W37" s="272"/>
      <c r="AL37" s="272"/>
      <c r="AQ37"/>
      <c r="AR37"/>
      <c r="AS37"/>
      <c r="AT37"/>
      <c r="AU37"/>
      <c r="AV37"/>
      <c r="AW37"/>
      <c r="AX37"/>
      <c r="AY37"/>
      <c r="AZ37" s="447"/>
    </row>
    <row r="38" spans="2:52" s="3" customFormat="1" ht="23.25">
      <c r="B38" s="157"/>
      <c r="C38" s="434" t="s">
        <v>325</v>
      </c>
      <c r="D38" s="947" t="str">
        <f>D9</f>
        <v>جوان</v>
      </c>
      <c r="E38" s="272"/>
      <c r="F38" s="1379" t="str">
        <f>F9</f>
        <v>المشترك رقم: 3333333333    المفتاح :  3333333</v>
      </c>
      <c r="G38" s="272"/>
      <c r="H38" s="272"/>
      <c r="I38" s="273"/>
      <c r="U38" s="52"/>
      <c r="W38" s="272"/>
      <c r="AL38" s="272"/>
      <c r="AQ38"/>
      <c r="AR38"/>
      <c r="AS38"/>
      <c r="AT38"/>
      <c r="AU38"/>
      <c r="AV38"/>
      <c r="AW38"/>
      <c r="AX38"/>
      <c r="AY38"/>
      <c r="AZ38" s="447"/>
    </row>
    <row r="39" spans="2:52" s="3" customFormat="1" ht="23.25">
      <c r="B39" s="157" t="s">
        <v>234</v>
      </c>
      <c r="C39" s="157"/>
      <c r="D39" s="272"/>
      <c r="E39" s="272"/>
      <c r="F39" s="1379" t="str">
        <f>F10</f>
        <v>العنوان الإجتماعي : ارؤىلارؤىؤئىؤىئىؤ ءؤلالا\</v>
      </c>
      <c r="G39" s="272"/>
      <c r="H39" s="272"/>
      <c r="I39" s="273"/>
      <c r="U39" s="52"/>
      <c r="W39" s="272"/>
      <c r="AL39" s="272"/>
      <c r="AQ39"/>
      <c r="AR39"/>
      <c r="AS39"/>
      <c r="AT39"/>
      <c r="AU39"/>
      <c r="AV39"/>
      <c r="AW39"/>
      <c r="AX39"/>
      <c r="AY39"/>
      <c r="AZ39" s="447"/>
    </row>
    <row r="40" spans="2:52" s="3" customFormat="1" ht="23.25">
      <c r="B40" s="157"/>
      <c r="C40" s="157" t="s">
        <v>235</v>
      </c>
      <c r="D40" s="272"/>
      <c r="E40" s="272"/>
      <c r="F40" s="157" t="str">
        <f>CONCATENATE("السنــة :","  ",'ETAT-PAY-PERM'!D1)</f>
        <v xml:space="preserve">السنــة :  </v>
      </c>
      <c r="G40" s="272"/>
      <c r="H40" s="272"/>
      <c r="I40" s="273"/>
      <c r="U40" s="52"/>
      <c r="W40" s="272"/>
      <c r="AL40" s="272"/>
      <c r="AQ40"/>
      <c r="AR40"/>
      <c r="AS40"/>
      <c r="AT40"/>
      <c r="AU40"/>
      <c r="AV40"/>
      <c r="AW40"/>
      <c r="AX40"/>
      <c r="AY40"/>
      <c r="AZ40" s="447"/>
    </row>
    <row r="41" spans="2:52" s="3" customFormat="1" ht="23.25">
      <c r="B41" s="435" t="str">
        <f ca="1">'ETAT-PAY-PERM'!F10</f>
        <v>أجـــرة شهـــر جوان 2019</v>
      </c>
      <c r="C41" s="272"/>
      <c r="D41" s="272"/>
      <c r="E41" s="272"/>
      <c r="F41" s="436" t="s">
        <v>236</v>
      </c>
      <c r="G41" s="272"/>
      <c r="H41" s="272"/>
      <c r="I41" s="273"/>
      <c r="K41" s="523"/>
      <c r="U41" s="52"/>
      <c r="W41" s="272"/>
      <c r="AL41" s="272"/>
      <c r="AQ41"/>
      <c r="AR41"/>
      <c r="AS41"/>
      <c r="AT41"/>
      <c r="AU41"/>
      <c r="AV41"/>
      <c r="AW41"/>
      <c r="AX41"/>
      <c r="AY41"/>
      <c r="AZ41" s="447"/>
    </row>
    <row r="42" spans="2:52" s="3" customFormat="1" ht="23.25">
      <c r="B42" s="157" t="s">
        <v>237</v>
      </c>
      <c r="C42" s="272"/>
      <c r="D42" s="272"/>
      <c r="E42" s="272"/>
      <c r="F42" s="272"/>
      <c r="G42" s="272"/>
      <c r="H42" s="272"/>
      <c r="I42" s="273"/>
      <c r="U42" s="52"/>
      <c r="W42" s="272"/>
      <c r="AL42" s="272"/>
      <c r="AQ42"/>
      <c r="AR42"/>
      <c r="AS42"/>
      <c r="AT42"/>
      <c r="AU42"/>
      <c r="AV42"/>
      <c r="AW42"/>
      <c r="AX42"/>
      <c r="AY42"/>
      <c r="AZ42" s="447"/>
    </row>
    <row r="43" spans="2:52">
      <c r="B43" s="3"/>
      <c r="C43" s="3"/>
      <c r="D43" s="3"/>
      <c r="E43" s="3"/>
      <c r="F43" s="272"/>
      <c r="G43" s="3"/>
      <c r="H43" s="3"/>
    </row>
    <row r="44" spans="2:52" ht="15.75">
      <c r="B44" s="1446" t="s">
        <v>238</v>
      </c>
      <c r="C44" s="1448" t="s">
        <v>239</v>
      </c>
      <c r="D44" s="1449"/>
      <c r="E44" s="1450"/>
      <c r="F44" s="1446" t="s">
        <v>240</v>
      </c>
      <c r="G44" s="1448" t="s">
        <v>241</v>
      </c>
      <c r="H44" s="1450"/>
    </row>
    <row r="45" spans="2:52" ht="15.75">
      <c r="B45" s="1447"/>
      <c r="C45" s="1451" t="s">
        <v>242</v>
      </c>
      <c r="D45" s="1453"/>
      <c r="E45" s="1452"/>
      <c r="F45" s="1447"/>
      <c r="G45" s="1451"/>
      <c r="H45" s="1452"/>
    </row>
    <row r="46" spans="2:52" ht="24.75" customHeight="1">
      <c r="B46" s="437">
        <f>'ورقة العمل'!AQ2</f>
        <v>12</v>
      </c>
      <c r="C46" s="1440">
        <f>'ورقة العمل'!AP2</f>
        <v>1015858.5</v>
      </c>
      <c r="D46" s="1443"/>
      <c r="E46" s="1441"/>
      <c r="F46" s="437">
        <v>34</v>
      </c>
      <c r="G46" s="1440">
        <f>ROUND(C46*F46/100,2)</f>
        <v>345391.89</v>
      </c>
      <c r="H46" s="1441"/>
    </row>
    <row r="47" spans="2:52" ht="24.75" customHeight="1">
      <c r="B47" s="437">
        <f>'ورقة العمل'!AQ3</f>
        <v>3</v>
      </c>
      <c r="C47" s="1440">
        <f>'ورقة العمل'!AP3</f>
        <v>388711.75</v>
      </c>
      <c r="D47" s="1443"/>
      <c r="E47" s="1441"/>
      <c r="F47" s="437">
        <v>34</v>
      </c>
      <c r="G47" s="1440">
        <f>ROUND(C47*F47/100,2)</f>
        <v>132162</v>
      </c>
      <c r="H47" s="1441"/>
    </row>
    <row r="48" spans="2:52" ht="24.75" customHeight="1">
      <c r="B48" s="437">
        <f>'ورقة العمل'!AQ4</f>
        <v>1</v>
      </c>
      <c r="C48" s="1440">
        <f>'ورقة العمل'!AP4</f>
        <v>232370</v>
      </c>
      <c r="D48" s="1443"/>
      <c r="E48" s="1441"/>
      <c r="F48" s="437">
        <v>34</v>
      </c>
      <c r="G48" s="1440">
        <f>ROUND(C48*F48/100,2)</f>
        <v>79005.8</v>
      </c>
      <c r="H48" s="1441"/>
    </row>
    <row r="49" spans="2:11" ht="24.75" customHeight="1">
      <c r="B49" s="437">
        <f>'ورقة العمل'!AQ5</f>
        <v>4</v>
      </c>
      <c r="C49" s="1440">
        <f>'ورقة العمل'!AP5</f>
        <v>310458.5</v>
      </c>
      <c r="D49" s="1443"/>
      <c r="E49" s="1441"/>
      <c r="F49" s="437">
        <v>34</v>
      </c>
      <c r="G49" s="1440">
        <f>ROUND(C49*F49/100,2)</f>
        <v>105555.89</v>
      </c>
      <c r="H49" s="1441"/>
    </row>
    <row r="50" spans="2:11" ht="24.75" customHeight="1">
      <c r="B50" s="437">
        <f>'ورقة العمل'!AQ6</f>
        <v>29</v>
      </c>
      <c r="C50" s="1440">
        <f>'ورقة العمل'!AP6</f>
        <v>1876590</v>
      </c>
      <c r="D50" s="1443"/>
      <c r="E50" s="1441"/>
      <c r="F50" s="437">
        <v>34</v>
      </c>
      <c r="G50" s="1440">
        <f>ROUND(C50*F50/100,2)</f>
        <v>638040.6</v>
      </c>
      <c r="H50" s="1441"/>
    </row>
    <row r="51" spans="2:11" ht="24.75" customHeight="1">
      <c r="B51" s="438">
        <f>B46+B47+B48+B49+B50</f>
        <v>49</v>
      </c>
      <c r="C51" s="1440">
        <f>SUM(C46:E50)</f>
        <v>3823988.75</v>
      </c>
      <c r="D51" s="1443"/>
      <c r="E51" s="1441"/>
      <c r="F51" s="439" t="s">
        <v>243</v>
      </c>
      <c r="G51" s="1440">
        <f>SUM(G46:H50)</f>
        <v>1300156.18</v>
      </c>
      <c r="H51" s="1441"/>
      <c r="I51" s="141"/>
    </row>
    <row r="52" spans="2:11">
      <c r="B52" s="3"/>
      <c r="C52" s="440"/>
      <c r="D52" s="3"/>
      <c r="E52" s="3"/>
      <c r="F52" s="272"/>
      <c r="G52" s="3"/>
      <c r="H52" s="3"/>
      <c r="K52">
        <f>ROUND(C51*34%,2)</f>
        <v>1300156.18</v>
      </c>
    </row>
    <row r="53" spans="2:11" ht="15.75">
      <c r="B53" s="159" t="s">
        <v>244</v>
      </c>
      <c r="C53" s="3"/>
      <c r="D53" s="3"/>
      <c r="E53" s="3"/>
      <c r="F53" s="272"/>
      <c r="G53" s="3"/>
      <c r="H53" s="3"/>
      <c r="K53" s="441">
        <f>G51-K52</f>
        <v>0</v>
      </c>
    </row>
    <row r="54" spans="2:11" ht="15.75">
      <c r="B54" s="159" t="s">
        <v>245</v>
      </c>
      <c r="C54" s="3"/>
      <c r="D54" s="3"/>
      <c r="E54" s="3"/>
      <c r="F54" s="272"/>
      <c r="G54" s="3"/>
      <c r="H54" s="3"/>
    </row>
    <row r="55" spans="2:11" ht="18">
      <c r="B55" s="3"/>
      <c r="C55" s="3"/>
      <c r="D55" s="3"/>
      <c r="E55" s="3"/>
      <c r="F55" s="1380" t="str">
        <f>F22</f>
        <v>الولاية في:</v>
      </c>
      <c r="G55" s="1314">
        <f>H33</f>
        <v>43617</v>
      </c>
      <c r="H55" s="3"/>
    </row>
    <row r="56" spans="2:11">
      <c r="B56" s="3"/>
      <c r="C56" s="3"/>
      <c r="D56" s="3"/>
      <c r="E56" s="3"/>
      <c r="F56" s="272"/>
      <c r="G56" s="3"/>
      <c r="H56" s="3"/>
    </row>
    <row r="57" spans="2:11" ht="18">
      <c r="B57" s="3"/>
      <c r="C57" s="3"/>
      <c r="D57" s="3"/>
      <c r="E57" s="3"/>
      <c r="F57" s="443" t="s">
        <v>246</v>
      </c>
      <c r="G57" s="3"/>
      <c r="H57" s="3"/>
    </row>
    <row r="58" spans="2:11" ht="14.25" customHeight="1"/>
    <row r="59" spans="2:11" ht="14.25" customHeight="1"/>
    <row r="60" spans="2:11" ht="14.25" customHeight="1"/>
    <row r="61" spans="2:11" ht="14.25" customHeight="1"/>
    <row r="62" spans="2:11" s="2" customFormat="1"/>
    <row r="63" spans="2:11" s="2" customFormat="1"/>
    <row r="64" spans="2:11" s="2" customFormat="1"/>
    <row r="65" spans="2:52" s="2" customFormat="1"/>
    <row r="67" spans="2:52" s="3" customFormat="1" ht="23.25">
      <c r="B67" s="1444" t="s">
        <v>231</v>
      </c>
      <c r="C67" s="1444"/>
      <c r="D67" s="1444"/>
      <c r="E67" s="1444"/>
      <c r="F67" s="1444"/>
      <c r="G67" s="1444"/>
      <c r="H67" s="1444"/>
      <c r="I67" s="273"/>
      <c r="U67" s="52"/>
      <c r="W67" s="272"/>
      <c r="AL67" s="272"/>
      <c r="AQ67"/>
      <c r="AR67"/>
      <c r="AS67"/>
      <c r="AT67"/>
      <c r="AU67"/>
      <c r="AV67"/>
      <c r="AW67"/>
      <c r="AX67"/>
      <c r="AY67"/>
      <c r="AZ67" s="447"/>
    </row>
    <row r="68" spans="2:52" s="3" customFormat="1" ht="23.25">
      <c r="B68"/>
      <c r="C68" s="430"/>
      <c r="D68" s="430"/>
      <c r="E68" s="430"/>
      <c r="F68" s="430"/>
      <c r="G68" s="430"/>
      <c r="H68" s="430"/>
      <c r="I68" s="273"/>
      <c r="U68" s="52"/>
      <c r="W68" s="272"/>
      <c r="AL68" s="272"/>
      <c r="AQ68"/>
      <c r="AR68"/>
      <c r="AS68"/>
      <c r="AT68"/>
      <c r="AU68"/>
      <c r="AV68"/>
      <c r="AW68"/>
      <c r="AX68"/>
      <c r="AY68"/>
      <c r="AZ68" s="447"/>
    </row>
    <row r="69" spans="2:52" s="3" customFormat="1" ht="23.25">
      <c r="B69" s="1377" t="str">
        <f>B32</f>
        <v>المديرية العامة ,,,,,,,,,,,,,,</v>
      </c>
      <c r="C69"/>
      <c r="D69"/>
      <c r="E69"/>
      <c r="F69" s="431"/>
      <c r="G69"/>
      <c r="H69"/>
      <c r="I69" s="273"/>
      <c r="U69" s="52"/>
      <c r="W69" s="272"/>
      <c r="AL69" s="272"/>
      <c r="AQ69"/>
      <c r="AR69"/>
      <c r="AS69"/>
      <c r="AT69"/>
      <c r="AU69"/>
      <c r="AV69"/>
      <c r="AW69"/>
      <c r="AX69"/>
      <c r="AY69"/>
      <c r="AZ69" s="447"/>
    </row>
    <row r="70" spans="2:52" s="3" customFormat="1" ht="23.25">
      <c r="B70" s="1377" t="str">
        <f>B33</f>
        <v>مديرية أ,,,,,,,,,,,,,,,,,,,,,</v>
      </c>
      <c r="C70" s="432"/>
      <c r="D70" s="284"/>
      <c r="E70" s="433" t="s">
        <v>249</v>
      </c>
      <c r="F70" s="448"/>
      <c r="G70" s="1313" t="s">
        <v>250</v>
      </c>
      <c r="H70" s="1315">
        <f>G55</f>
        <v>43617</v>
      </c>
      <c r="I70" s="273"/>
      <c r="U70" s="52"/>
      <c r="W70" s="272"/>
      <c r="AL70" s="272"/>
      <c r="AQ70"/>
      <c r="AR70"/>
      <c r="AS70"/>
      <c r="AT70"/>
      <c r="AU70"/>
      <c r="AV70"/>
      <c r="AW70"/>
      <c r="AX70"/>
      <c r="AY70"/>
      <c r="AZ70" s="447"/>
    </row>
    <row r="71" spans="2:52" s="3" customFormat="1" ht="23.25">
      <c r="F71" s="272"/>
      <c r="I71" s="273"/>
      <c r="U71" s="52"/>
      <c r="W71" s="272"/>
      <c r="AL71" s="272"/>
      <c r="AQ71"/>
      <c r="AR71"/>
      <c r="AS71"/>
      <c r="AT71"/>
      <c r="AU71"/>
      <c r="AV71"/>
      <c r="AW71"/>
      <c r="AX71"/>
      <c r="AY71"/>
      <c r="AZ71" s="447"/>
    </row>
    <row r="72" spans="2:52" s="3" customFormat="1" ht="23.25">
      <c r="B72" s="1445" t="s">
        <v>232</v>
      </c>
      <c r="C72" s="1445"/>
      <c r="D72" s="1445"/>
      <c r="E72" s="1445"/>
      <c r="F72" s="1445"/>
      <c r="G72" s="1445"/>
      <c r="H72" s="1445"/>
      <c r="I72" s="273"/>
      <c r="U72" s="52"/>
      <c r="W72" s="272"/>
      <c r="AL72" s="272"/>
      <c r="AQ72"/>
      <c r="AR72"/>
      <c r="AS72"/>
      <c r="AT72"/>
      <c r="AU72"/>
      <c r="AV72"/>
      <c r="AW72"/>
      <c r="AX72"/>
      <c r="AY72"/>
      <c r="AZ72" s="447"/>
    </row>
    <row r="73" spans="2:52" s="3" customFormat="1" ht="23.25">
      <c r="B73" s="1442" t="s">
        <v>233</v>
      </c>
      <c r="C73" s="1442"/>
      <c r="D73" s="1442"/>
      <c r="E73" s="1442"/>
      <c r="F73" s="1442"/>
      <c r="G73" s="1442"/>
      <c r="H73" s="1442"/>
      <c r="I73" s="273"/>
      <c r="U73" s="52"/>
      <c r="W73" s="272"/>
      <c r="AL73" s="272"/>
      <c r="AQ73"/>
      <c r="AR73"/>
      <c r="AS73"/>
      <c r="AT73"/>
      <c r="AU73"/>
      <c r="AV73"/>
      <c r="AW73"/>
      <c r="AX73"/>
      <c r="AY73"/>
      <c r="AZ73" s="447"/>
    </row>
    <row r="74" spans="2:52" s="3" customFormat="1" ht="23.25">
      <c r="B74" s="1442" t="s">
        <v>324</v>
      </c>
      <c r="C74" s="1442"/>
      <c r="D74" s="1442"/>
      <c r="E74" s="1442"/>
      <c r="F74" s="1442"/>
      <c r="G74" s="1442"/>
      <c r="H74" s="1442"/>
      <c r="I74" s="273"/>
      <c r="U74" s="52"/>
      <c r="W74" s="272"/>
      <c r="AL74" s="272"/>
      <c r="AQ74"/>
      <c r="AR74"/>
      <c r="AS74"/>
      <c r="AT74"/>
      <c r="AU74"/>
      <c r="AV74"/>
      <c r="AW74"/>
      <c r="AX74"/>
      <c r="AY74"/>
      <c r="AZ74" s="447"/>
    </row>
    <row r="75" spans="2:52" s="3" customFormat="1" ht="23.25">
      <c r="B75" s="157"/>
      <c r="C75" s="434" t="s">
        <v>325</v>
      </c>
      <c r="D75" s="947" t="str">
        <f>D38</f>
        <v>جوان</v>
      </c>
      <c r="E75" s="272"/>
      <c r="F75" s="1379" t="str">
        <f>F38</f>
        <v>المشترك رقم: 3333333333    المفتاح :  3333333</v>
      </c>
      <c r="G75" s="272"/>
      <c r="H75" s="272"/>
      <c r="I75" s="273"/>
      <c r="U75" s="52"/>
      <c r="W75" s="272"/>
      <c r="AL75" s="272"/>
      <c r="AQ75"/>
      <c r="AR75"/>
      <c r="AS75"/>
      <c r="AT75"/>
      <c r="AU75"/>
      <c r="AV75"/>
      <c r="AW75"/>
      <c r="AX75"/>
      <c r="AY75"/>
      <c r="AZ75" s="447"/>
    </row>
    <row r="76" spans="2:52" s="3" customFormat="1" ht="23.25">
      <c r="B76" s="157" t="s">
        <v>234</v>
      </c>
      <c r="C76" s="157"/>
      <c r="D76" s="272"/>
      <c r="E76" s="272"/>
      <c r="F76" s="1379" t="str">
        <f>F39</f>
        <v>العنوان الإجتماعي : ارؤىلارؤىؤئىؤىئىؤ ءؤلالا\</v>
      </c>
      <c r="G76" s="272"/>
      <c r="H76" s="272"/>
      <c r="I76" s="273"/>
      <c r="U76" s="52"/>
      <c r="W76" s="272"/>
      <c r="AL76" s="272"/>
      <c r="AQ76"/>
      <c r="AR76"/>
      <c r="AS76"/>
      <c r="AT76"/>
      <c r="AU76"/>
      <c r="AV76"/>
      <c r="AW76"/>
      <c r="AX76"/>
      <c r="AY76"/>
      <c r="AZ76" s="447"/>
    </row>
    <row r="77" spans="2:52" s="3" customFormat="1" ht="23.25">
      <c r="B77" s="157"/>
      <c r="C77" s="157" t="s">
        <v>235</v>
      </c>
      <c r="D77" s="272"/>
      <c r="E77" s="272"/>
      <c r="F77" s="157" t="str">
        <f>CONCATENATE("السنــة :","  ",'ETAT-PAY-PERM'!D1)</f>
        <v xml:space="preserve">السنــة :  </v>
      </c>
      <c r="G77" s="272"/>
      <c r="H77" s="272"/>
      <c r="I77" s="273"/>
      <c r="U77" s="52"/>
      <c r="W77" s="272"/>
      <c r="AL77" s="272"/>
      <c r="AQ77"/>
      <c r="AR77"/>
      <c r="AS77"/>
      <c r="AT77"/>
      <c r="AU77"/>
      <c r="AV77"/>
      <c r="AW77"/>
      <c r="AX77"/>
      <c r="AY77"/>
      <c r="AZ77" s="447"/>
    </row>
    <row r="78" spans="2:52" s="3" customFormat="1" ht="23.25">
      <c r="B78" s="435" t="str">
        <f ca="1">'ETAT-PAY-PERM'!F10</f>
        <v>أجـــرة شهـــر جوان 2019</v>
      </c>
      <c r="C78" s="272"/>
      <c r="D78" s="272"/>
      <c r="E78" s="272"/>
      <c r="F78" s="436" t="s">
        <v>236</v>
      </c>
      <c r="G78" s="272"/>
      <c r="H78" s="272"/>
      <c r="I78" s="273"/>
      <c r="K78" s="523"/>
      <c r="U78" s="52"/>
      <c r="W78" s="272"/>
      <c r="AL78" s="272"/>
      <c r="AQ78"/>
      <c r="AR78"/>
      <c r="AS78"/>
      <c r="AT78"/>
      <c r="AU78"/>
      <c r="AV78"/>
      <c r="AW78"/>
      <c r="AX78"/>
      <c r="AY78"/>
      <c r="AZ78" s="447"/>
    </row>
    <row r="79" spans="2:52" s="3" customFormat="1" ht="23.25">
      <c r="B79" s="157" t="s">
        <v>237</v>
      </c>
      <c r="C79" s="272"/>
      <c r="D79" s="272"/>
      <c r="E79" s="272"/>
      <c r="F79" s="272"/>
      <c r="G79" s="272"/>
      <c r="H79" s="272"/>
      <c r="I79" s="273"/>
      <c r="U79" s="52"/>
      <c r="W79" s="272"/>
      <c r="AL79" s="272"/>
      <c r="AQ79"/>
      <c r="AR79"/>
      <c r="AS79"/>
      <c r="AT79"/>
      <c r="AU79"/>
      <c r="AV79"/>
      <c r="AW79"/>
      <c r="AX79"/>
      <c r="AY79"/>
      <c r="AZ79" s="447"/>
    </row>
    <row r="80" spans="2:52">
      <c r="B80" s="3"/>
      <c r="C80" s="3"/>
      <c r="D80" s="3"/>
      <c r="E80" s="3"/>
      <c r="F80" s="272"/>
      <c r="G80" s="3"/>
      <c r="H80" s="3"/>
    </row>
    <row r="81" spans="2:8" ht="15.75">
      <c r="B81" s="1446" t="s">
        <v>247</v>
      </c>
      <c r="C81" s="1448" t="s">
        <v>239</v>
      </c>
      <c r="D81" s="1449"/>
      <c r="E81" s="1450"/>
      <c r="F81" s="1446" t="s">
        <v>240</v>
      </c>
      <c r="G81" s="1448" t="s">
        <v>241</v>
      </c>
      <c r="H81" s="1450"/>
    </row>
    <row r="82" spans="2:8" ht="15.75">
      <c r="B82" s="1447"/>
      <c r="C82" s="1451" t="s">
        <v>242</v>
      </c>
      <c r="D82" s="1453"/>
      <c r="E82" s="1452"/>
      <c r="F82" s="1447"/>
      <c r="G82" s="1451"/>
      <c r="H82" s="1452"/>
    </row>
    <row r="83" spans="2:8" ht="20.25">
      <c r="B83" s="445">
        <f>'ورقة العمل'!Y2</f>
        <v>69</v>
      </c>
      <c r="C83" s="1440">
        <f t="shared" ref="C83:C88" si="0">C46</f>
        <v>1015858.5</v>
      </c>
      <c r="D83" s="1443"/>
      <c r="E83" s="1441"/>
      <c r="F83" s="437">
        <v>9</v>
      </c>
      <c r="G83" s="1440">
        <f>G46</f>
        <v>345391.89</v>
      </c>
      <c r="H83" s="1441"/>
    </row>
    <row r="84" spans="2:8" ht="20.25">
      <c r="B84" s="445">
        <f>'ورقة العمل'!Y3</f>
        <v>70</v>
      </c>
      <c r="C84" s="1440">
        <f t="shared" si="0"/>
        <v>388711.75</v>
      </c>
      <c r="D84" s="1443"/>
      <c r="E84" s="1441"/>
      <c r="F84" s="437">
        <v>9</v>
      </c>
      <c r="G84" s="1440">
        <f>G47</f>
        <v>132162</v>
      </c>
      <c r="H84" s="1441"/>
    </row>
    <row r="85" spans="2:8" ht="20.25">
      <c r="B85" s="445">
        <f>'ورقة العمل'!Y4</f>
        <v>71</v>
      </c>
      <c r="C85" s="1440">
        <f t="shared" si="0"/>
        <v>232370</v>
      </c>
      <c r="D85" s="1443"/>
      <c r="E85" s="1441"/>
      <c r="F85" s="437">
        <v>9</v>
      </c>
      <c r="G85" s="1440">
        <f>G48</f>
        <v>79005.8</v>
      </c>
      <c r="H85" s="1441"/>
    </row>
    <row r="86" spans="2:8" ht="20.25">
      <c r="B86" s="445">
        <f>'ورقة العمل'!Y5</f>
        <v>72</v>
      </c>
      <c r="C86" s="1440">
        <f t="shared" si="0"/>
        <v>310458.5</v>
      </c>
      <c r="D86" s="1443"/>
      <c r="E86" s="1441"/>
      <c r="F86" s="437">
        <v>9</v>
      </c>
      <c r="G86" s="1440">
        <f>G49</f>
        <v>105555.89</v>
      </c>
      <c r="H86" s="1441"/>
    </row>
    <row r="87" spans="2:8" ht="20.25">
      <c r="B87" s="445">
        <f>'ورقة العمل'!Y6</f>
        <v>73</v>
      </c>
      <c r="C87" s="1440">
        <f t="shared" si="0"/>
        <v>1876590</v>
      </c>
      <c r="D87" s="1443"/>
      <c r="E87" s="1441"/>
      <c r="F87" s="437">
        <v>9</v>
      </c>
      <c r="G87" s="1440">
        <f>G50</f>
        <v>638040.6</v>
      </c>
      <c r="H87" s="1441"/>
    </row>
    <row r="88" spans="2:8" ht="20.25">
      <c r="B88" s="445">
        <f>B87+1</f>
        <v>74</v>
      </c>
      <c r="C88" s="1440">
        <f t="shared" si="0"/>
        <v>3823988.75</v>
      </c>
      <c r="D88" s="1443"/>
      <c r="E88" s="1441"/>
      <c r="F88" s="437">
        <v>25</v>
      </c>
      <c r="G88" s="1440">
        <f>'MAND-SEC-SOC'!D16</f>
        <v>955997.19</v>
      </c>
      <c r="H88" s="1441"/>
    </row>
    <row r="89" spans="2:8" ht="20.25">
      <c r="B89" s="1437" t="s">
        <v>248</v>
      </c>
      <c r="C89" s="1438"/>
      <c r="D89" s="1438"/>
      <c r="E89" s="1438"/>
      <c r="F89" s="1439"/>
      <c r="G89" s="1440">
        <f>SUM(G83:H88)</f>
        <v>2256153.37</v>
      </c>
      <c r="H89" s="1441"/>
    </row>
    <row r="90" spans="2:8">
      <c r="B90" s="3"/>
      <c r="C90" s="440"/>
      <c r="D90" s="3"/>
      <c r="E90" s="3"/>
      <c r="F90" s="272"/>
      <c r="G90" s="3"/>
      <c r="H90" s="3"/>
    </row>
    <row r="91" spans="2:8" ht="21.75" customHeight="1">
      <c r="B91" s="446" t="s">
        <v>244</v>
      </c>
      <c r="C91" s="3"/>
      <c r="D91" s="3"/>
      <c r="E91" s="3"/>
      <c r="F91" s="272"/>
      <c r="G91" s="3"/>
      <c r="H91" s="3"/>
    </row>
    <row r="92" spans="2:8" ht="21.75" customHeight="1">
      <c r="B92" s="159" t="s">
        <v>245</v>
      </c>
      <c r="C92" s="3"/>
      <c r="D92" s="3"/>
      <c r="E92" s="3"/>
      <c r="F92" s="272"/>
      <c r="G92" s="3"/>
      <c r="H92" s="3"/>
    </row>
    <row r="93" spans="2:8" ht="25.5" customHeight="1">
      <c r="B93" s="3"/>
      <c r="C93" s="3"/>
      <c r="D93" s="3"/>
      <c r="E93" s="3"/>
      <c r="F93" s="1380" t="str">
        <f>F55</f>
        <v>الولاية في:</v>
      </c>
      <c r="G93" s="1314">
        <f>H70</f>
        <v>43617</v>
      </c>
      <c r="H93" s="3"/>
    </row>
    <row r="94" spans="2:8" ht="25.5" customHeight="1">
      <c r="B94" s="3"/>
      <c r="C94" s="3"/>
      <c r="D94" s="3"/>
      <c r="E94" s="3"/>
      <c r="F94" s="443" t="s">
        <v>246</v>
      </c>
      <c r="G94" s="3"/>
      <c r="H94" s="3"/>
    </row>
  </sheetData>
  <mergeCells count="57">
    <mergeCell ref="B15:B16"/>
    <mergeCell ref="C15:E15"/>
    <mergeCell ref="F15:F16"/>
    <mergeCell ref="G15:H16"/>
    <mergeCell ref="C16:E16"/>
    <mergeCell ref="B1:H1"/>
    <mergeCell ref="B6:H6"/>
    <mergeCell ref="B7:H7"/>
    <mergeCell ref="B8:H8"/>
    <mergeCell ref="B44:B45"/>
    <mergeCell ref="C44:E44"/>
    <mergeCell ref="F44:F45"/>
    <mergeCell ref="G44:H45"/>
    <mergeCell ref="C45:E45"/>
    <mergeCell ref="B30:H30"/>
    <mergeCell ref="B35:H35"/>
    <mergeCell ref="B36:H36"/>
    <mergeCell ref="C17:E17"/>
    <mergeCell ref="G17:H17"/>
    <mergeCell ref="C18:E18"/>
    <mergeCell ref="G18:H18"/>
    <mergeCell ref="B81:B82"/>
    <mergeCell ref="C81:E81"/>
    <mergeCell ref="F81:F82"/>
    <mergeCell ref="G81:H82"/>
    <mergeCell ref="C82:E82"/>
    <mergeCell ref="B67:H67"/>
    <mergeCell ref="B72:H72"/>
    <mergeCell ref="B73:H73"/>
    <mergeCell ref="C46:E46"/>
    <mergeCell ref="G46:H46"/>
    <mergeCell ref="C47:E47"/>
    <mergeCell ref="G47:H47"/>
    <mergeCell ref="C49:E49"/>
    <mergeCell ref="G49:H49"/>
    <mergeCell ref="C86:E86"/>
    <mergeCell ref="G86:H86"/>
    <mergeCell ref="C83:E83"/>
    <mergeCell ref="G83:H83"/>
    <mergeCell ref="C84:E84"/>
    <mergeCell ref="G84:H84"/>
    <mergeCell ref="B89:F89"/>
    <mergeCell ref="G89:H89"/>
    <mergeCell ref="B37:H37"/>
    <mergeCell ref="B74:H74"/>
    <mergeCell ref="C87:E87"/>
    <mergeCell ref="G87:H87"/>
    <mergeCell ref="C88:E88"/>
    <mergeCell ref="G88:H88"/>
    <mergeCell ref="C85:E85"/>
    <mergeCell ref="G85:H85"/>
    <mergeCell ref="C50:E50"/>
    <mergeCell ref="G50:H50"/>
    <mergeCell ref="C51:E51"/>
    <mergeCell ref="G51:H51"/>
    <mergeCell ref="C48:E48"/>
    <mergeCell ref="G48:H48"/>
  </mergeCells>
  <phoneticPr fontId="2" type="noConversion"/>
  <dataValidations count="1">
    <dataValidation type="list" allowBlank="1" showInputMessage="1" showErrorMessage="1" sqref="F4">
      <formula1>'ورقة العمل'!Y2:Y6</formula1>
    </dataValidation>
  </dataValidations>
  <printOptions horizontalCentered="1"/>
  <pageMargins left="0.39370078740157483" right="0.39370078740157483" top="0.39370078740157483" bottom="0.78740157480314965" header="0" footer="0"/>
  <pageSetup paperSize="134" orientation="portrait" horizontalDpi="180" verticalDpi="18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tabColor rgb="FF00B050"/>
  </sheetPr>
  <dimension ref="A1:CC105"/>
  <sheetViews>
    <sheetView rightToLeft="1" view="pageBreakPreview" topLeftCell="A70" zoomScale="115" workbookViewId="0">
      <selection activeCell="G29" sqref="G29"/>
    </sheetView>
  </sheetViews>
  <sheetFormatPr baseColWidth="10" defaultRowHeight="15.75"/>
  <cols>
    <col min="1" max="1" width="3.7109375" style="300" customWidth="1"/>
    <col min="2" max="2" width="10.5703125" customWidth="1"/>
    <col min="3" max="3" width="26.28515625" customWidth="1"/>
    <col min="4" max="4" width="41.28515625" customWidth="1"/>
    <col min="5" max="5" width="24.7109375" customWidth="1"/>
    <col min="6" max="6" width="8.42578125" customWidth="1"/>
    <col min="7" max="7" width="16" style="3" customWidth="1"/>
    <col min="8" max="8" width="18.5703125" bestFit="1" customWidth="1"/>
    <col min="9" max="9" width="23.7109375" style="311" customWidth="1"/>
    <col min="10" max="10" width="19.28515625" style="311" customWidth="1"/>
    <col min="11" max="11" width="11.42578125" style="311"/>
    <col min="12" max="12" width="13.5703125" style="312" customWidth="1"/>
    <col min="13" max="14" width="11.42578125" style="311"/>
    <col min="15" max="15" width="11.42578125" style="531"/>
  </cols>
  <sheetData>
    <row r="1" spans="1:81" s="3" customFormat="1" ht="23.25">
      <c r="A1" s="300"/>
      <c r="B1" s="1454" t="s">
        <v>122</v>
      </c>
      <c r="C1" s="1454"/>
      <c r="D1" s="1454"/>
      <c r="E1" s="1455"/>
      <c r="F1" s="292"/>
      <c r="H1"/>
      <c r="I1" s="182"/>
      <c r="J1" s="182"/>
      <c r="K1" s="182"/>
      <c r="L1" s="305"/>
      <c r="M1" s="305"/>
      <c r="N1" s="305"/>
      <c r="O1" s="527"/>
      <c r="AM1" s="272"/>
      <c r="AP1" s="273"/>
      <c r="BB1" s="52"/>
      <c r="BD1" s="272"/>
      <c r="BS1" s="272"/>
      <c r="CB1"/>
      <c r="CC1" s="169"/>
    </row>
    <row r="2" spans="1:81" s="3" customFormat="1" ht="24" customHeight="1">
      <c r="A2" s="300"/>
      <c r="B2" s="1362" t="s">
        <v>803</v>
      </c>
      <c r="C2" s="275"/>
      <c r="D2" s="276"/>
      <c r="E2" s="277"/>
      <c r="F2" s="277"/>
      <c r="H2"/>
      <c r="I2" s="182"/>
      <c r="J2" s="182"/>
      <c r="K2" s="182"/>
      <c r="L2" s="305"/>
      <c r="M2" s="305"/>
      <c r="N2" s="305"/>
      <c r="O2" s="527"/>
      <c r="AM2" s="272"/>
      <c r="AP2" s="273"/>
      <c r="BB2" s="52"/>
      <c r="BD2" s="272"/>
      <c r="BS2" s="272"/>
      <c r="CB2"/>
      <c r="CC2" s="169"/>
    </row>
    <row r="3" spans="1:81" s="3" customFormat="1" ht="29.25" customHeight="1">
      <c r="A3" s="300"/>
      <c r="B3" s="1363" t="s">
        <v>905</v>
      </c>
      <c r="C3" s="275"/>
      <c r="D3" s="276"/>
      <c r="E3" s="277"/>
      <c r="F3" s="277"/>
      <c r="H3"/>
      <c r="I3" s="302"/>
      <c r="J3" s="303"/>
      <c r="K3" s="304"/>
      <c r="L3" s="305"/>
      <c r="M3" s="305"/>
      <c r="N3" s="305"/>
      <c r="O3" s="527"/>
      <c r="AM3" s="272"/>
      <c r="AP3" s="273"/>
      <c r="BB3" s="52"/>
      <c r="BD3" s="272"/>
      <c r="BS3" s="272"/>
      <c r="CB3"/>
      <c r="CC3" s="169"/>
    </row>
    <row r="4" spans="1:81" s="3" customFormat="1" ht="24" customHeight="1">
      <c r="A4" s="300"/>
      <c r="B4" s="277"/>
      <c r="C4" s="277"/>
      <c r="D4" s="313" t="s">
        <v>123</v>
      </c>
      <c r="E4" s="277"/>
      <c r="F4" s="277"/>
      <c r="H4"/>
      <c r="I4" s="533"/>
      <c r="J4" s="304"/>
      <c r="K4" s="304"/>
      <c r="L4" s="305"/>
      <c r="M4" s="305"/>
      <c r="N4" s="305"/>
      <c r="O4" s="527"/>
      <c r="AM4" s="272"/>
      <c r="AP4" s="273"/>
      <c r="BB4" s="52"/>
      <c r="BD4" s="272"/>
      <c r="BS4" s="272"/>
      <c r="CB4"/>
      <c r="CC4" s="169"/>
    </row>
    <row r="5" spans="1:81" s="3" customFormat="1" ht="24.75" customHeight="1">
      <c r="A5" s="300"/>
      <c r="B5" s="277"/>
      <c r="C5" s="159"/>
      <c r="D5" s="276"/>
      <c r="E5" s="277"/>
      <c r="F5" s="277"/>
      <c r="H5"/>
      <c r="I5" s="307"/>
      <c r="J5" s="307"/>
      <c r="K5" s="307"/>
      <c r="L5" s="305"/>
      <c r="M5" s="305"/>
      <c r="N5" s="305"/>
      <c r="O5" s="527"/>
      <c r="AM5" s="272"/>
      <c r="AP5" s="273"/>
      <c r="BB5" s="52"/>
      <c r="BD5" s="272"/>
      <c r="BS5" s="272"/>
      <c r="CB5"/>
      <c r="CC5" s="169"/>
    </row>
    <row r="6" spans="1:81" s="3" customFormat="1" ht="26.25" customHeight="1">
      <c r="A6" s="300"/>
      <c r="B6" s="279" t="s">
        <v>124</v>
      </c>
      <c r="C6" s="1301">
        <v>73</v>
      </c>
      <c r="D6" s="276"/>
      <c r="E6" s="277"/>
      <c r="F6" s="277"/>
      <c r="H6"/>
      <c r="I6" s="307"/>
      <c r="J6" s="307"/>
      <c r="K6" s="307"/>
      <c r="O6" s="528"/>
      <c r="AM6" s="272"/>
      <c r="AP6" s="273"/>
      <c r="BB6" s="52"/>
      <c r="BD6" s="272"/>
      <c r="BS6" s="272"/>
      <c r="CB6"/>
      <c r="CC6" s="169"/>
    </row>
    <row r="7" spans="1:81" s="3" customFormat="1" ht="18.75" customHeight="1">
      <c r="A7" s="300"/>
      <c r="B7" s="278" t="str">
        <f>'MAND-PAY-PERM'!E5</f>
        <v>لشهـــــر : جوان</v>
      </c>
      <c r="C7" s="278"/>
      <c r="D7" s="276"/>
      <c r="E7" s="277"/>
      <c r="F7" s="277"/>
      <c r="H7"/>
      <c r="I7" s="307"/>
      <c r="J7" s="307"/>
      <c r="K7" s="307"/>
      <c r="O7" s="528"/>
      <c r="AM7" s="272"/>
      <c r="AP7" s="273"/>
      <c r="BB7" s="52"/>
      <c r="BD7" s="272"/>
      <c r="BS7" s="272"/>
      <c r="CB7"/>
      <c r="CC7" s="169"/>
    </row>
    <row r="8" spans="1:81" s="3" customFormat="1" ht="18.75" customHeight="1">
      <c r="A8" s="300"/>
      <c r="B8" s="280" t="str">
        <f ca="1">'MAND-PAY-PERM'!E7</f>
        <v xml:space="preserve">تسييــــر :  2019 فصل  : 53333333333333 </v>
      </c>
      <c r="C8" s="281"/>
      <c r="D8" s="276"/>
      <c r="E8" s="277"/>
      <c r="F8" s="277"/>
      <c r="H8"/>
      <c r="I8" s="307"/>
      <c r="J8" s="307"/>
      <c r="K8" s="307"/>
      <c r="O8" s="528"/>
      <c r="AM8" s="272"/>
      <c r="AP8" s="273"/>
      <c r="BB8" s="52"/>
      <c r="BD8" s="272"/>
      <c r="BS8" s="272"/>
      <c r="CB8"/>
      <c r="CC8" s="169"/>
    </row>
    <row r="9" spans="1:81" s="3" customFormat="1" ht="18.75" customHeight="1">
      <c r="A9" s="300"/>
      <c r="B9" s="279" t="s">
        <v>125</v>
      </c>
      <c r="C9" s="282"/>
      <c r="D9" s="276"/>
      <c r="E9" s="277"/>
      <c r="F9" s="277"/>
      <c r="H9"/>
      <c r="I9" s="307"/>
      <c r="J9" s="307"/>
      <c r="K9" s="307"/>
      <c r="L9" s="305"/>
      <c r="M9" s="305"/>
      <c r="N9" s="306"/>
      <c r="O9" s="529"/>
      <c r="AM9" s="272"/>
      <c r="AP9" s="273"/>
      <c r="BB9" s="52"/>
      <c r="BD9" s="272"/>
      <c r="BS9" s="272"/>
    </row>
    <row r="10" spans="1:81" s="3" customFormat="1" ht="18.75" customHeight="1">
      <c r="A10" s="300"/>
      <c r="B10" s="274" t="s">
        <v>126</v>
      </c>
      <c r="C10" s="275"/>
      <c r="D10" s="283" t="str">
        <f>LOOKUP(C6,'ورقة العمل'!Y:Y,'ورقة العمل'!X:X)</f>
        <v>الحساب الجاري البريدي</v>
      </c>
      <c r="E10" s="275"/>
      <c r="F10" s="275"/>
      <c r="G10" s="1303"/>
      <c r="H10"/>
      <c r="I10" s="307"/>
      <c r="J10" s="307"/>
      <c r="K10" s="307"/>
      <c r="L10" s="307"/>
      <c r="M10" s="307"/>
      <c r="N10" s="307"/>
      <c r="O10" s="530"/>
      <c r="AM10" s="272"/>
      <c r="AP10" s="273"/>
      <c r="BB10" s="52"/>
      <c r="BD10" s="272"/>
      <c r="BS10" s="272"/>
    </row>
    <row r="11" spans="1:81" s="3" customFormat="1" ht="10.5" customHeight="1">
      <c r="A11" s="300"/>
      <c r="B11" s="285"/>
      <c r="C11" s="275"/>
      <c r="D11" s="286"/>
      <c r="E11" s="275"/>
      <c r="F11" s="275"/>
      <c r="G11" s="1303"/>
      <c r="H11"/>
      <c r="I11" s="307"/>
      <c r="J11" s="307"/>
      <c r="K11" s="307"/>
      <c r="L11" s="307"/>
      <c r="M11" s="307"/>
      <c r="N11" s="307"/>
      <c r="O11" s="530"/>
      <c r="AM11" s="272"/>
      <c r="AP11" s="273"/>
      <c r="BB11" s="52"/>
      <c r="BD11" s="272"/>
      <c r="BS11" s="272"/>
      <c r="BX11" s="1456"/>
    </row>
    <row r="12" spans="1:81" s="3" customFormat="1" ht="18" customHeight="1">
      <c r="A12" s="300"/>
      <c r="B12" s="287" t="s">
        <v>127</v>
      </c>
      <c r="C12" s="288"/>
      <c r="D12" s="286"/>
      <c r="E12" s="288"/>
      <c r="F12" s="288"/>
      <c r="G12" s="1303"/>
      <c r="H12"/>
      <c r="I12" s="307"/>
      <c r="J12" s="307"/>
      <c r="K12" s="307"/>
      <c r="L12" s="307"/>
      <c r="M12" s="307"/>
      <c r="N12" s="307"/>
      <c r="O12" s="530"/>
      <c r="AM12" s="272"/>
      <c r="AP12" s="273"/>
      <c r="BB12" s="52"/>
      <c r="BD12" s="272"/>
      <c r="BS12" s="272"/>
      <c r="BX12" s="1456"/>
      <c r="BZ12" s="1457"/>
      <c r="CA12" s="1457"/>
      <c r="CB12" s="1457"/>
    </row>
    <row r="13" spans="1:81" s="3" customFormat="1" ht="18" customHeight="1">
      <c r="A13" s="300"/>
      <c r="B13" s="279" t="s">
        <v>128</v>
      </c>
      <c r="C13" s="288"/>
      <c r="D13" s="286"/>
      <c r="E13" s="288"/>
      <c r="F13" s="288"/>
      <c r="G13" s="1303"/>
      <c r="H13"/>
      <c r="I13" s="307"/>
      <c r="J13" s="307"/>
      <c r="K13" s="307"/>
      <c r="L13" s="307"/>
      <c r="M13" s="307"/>
      <c r="N13" s="307"/>
      <c r="O13" s="530"/>
      <c r="AM13" s="272"/>
      <c r="AP13" s="273"/>
      <c r="BB13" s="52"/>
      <c r="BD13" s="272"/>
      <c r="BS13" s="272"/>
      <c r="BX13" s="1458"/>
      <c r="BY13" s="1458"/>
      <c r="BZ13" s="1458"/>
      <c r="CA13" s="1458"/>
      <c r="CB13" s="1458"/>
      <c r="CC13" s="1458"/>
    </row>
    <row r="14" spans="1:81" s="3" customFormat="1" ht="18" customHeight="1">
      <c r="A14" s="300"/>
      <c r="B14" s="279" t="s">
        <v>129</v>
      </c>
      <c r="C14" s="288"/>
      <c r="D14" s="286"/>
      <c r="E14" s="288"/>
      <c r="F14" s="288"/>
      <c r="G14" s="1303"/>
      <c r="H14"/>
      <c r="I14" s="307"/>
      <c r="J14" s="307"/>
      <c r="K14" s="307"/>
      <c r="L14" s="307"/>
      <c r="M14" s="307"/>
      <c r="N14" s="307"/>
      <c r="O14" s="530"/>
      <c r="AM14" s="272"/>
      <c r="AP14" s="273"/>
      <c r="BB14" s="52"/>
      <c r="BD14" s="272"/>
      <c r="BS14" s="272"/>
      <c r="BX14"/>
      <c r="BY14"/>
      <c r="BZ14"/>
      <c r="CA14"/>
      <c r="CB14"/>
      <c r="CC14"/>
    </row>
    <row r="15" spans="1:81" s="3" customFormat="1" ht="10.5" customHeight="1">
      <c r="A15" s="300"/>
      <c r="B15" s="277"/>
      <c r="C15" s="277"/>
      <c r="D15" s="276"/>
      <c r="E15" s="277"/>
      <c r="F15" s="277"/>
      <c r="H15"/>
      <c r="I15" s="307"/>
      <c r="J15" s="307"/>
      <c r="K15" s="307"/>
      <c r="L15" s="307"/>
      <c r="M15" s="307"/>
      <c r="N15" s="307"/>
      <c r="O15" s="530"/>
      <c r="AM15" s="272"/>
      <c r="AP15" s="273"/>
      <c r="BB15" s="52"/>
      <c r="BD15" s="272"/>
      <c r="BS15" s="272"/>
      <c r="BX15" s="1457"/>
      <c r="BY15" s="1457"/>
      <c r="BZ15" s="1457"/>
      <c r="CA15" s="1457"/>
      <c r="CB15" s="1457"/>
      <c r="CC15" s="1457"/>
    </row>
    <row r="16" spans="1:81" s="3" customFormat="1" ht="23.25" customHeight="1">
      <c r="A16" s="300"/>
      <c r="B16" s="314" t="s">
        <v>130</v>
      </c>
      <c r="C16" s="315" t="s">
        <v>131</v>
      </c>
      <c r="D16" s="316" t="s">
        <v>132</v>
      </c>
      <c r="E16" s="314" t="s">
        <v>133</v>
      </c>
      <c r="F16" s="1308">
        <v>1</v>
      </c>
      <c r="G16" s="1308" t="str">
        <f>D10</f>
        <v>الحساب الجاري البريدي</v>
      </c>
      <c r="H16"/>
      <c r="I16" s="307"/>
      <c r="J16" s="307"/>
      <c r="K16" s="307"/>
      <c r="L16" s="307"/>
      <c r="M16" s="307"/>
      <c r="N16" s="307"/>
      <c r="O16" s="530"/>
      <c r="AM16" s="272"/>
      <c r="AP16" s="273"/>
      <c r="BB16" s="52"/>
      <c r="BD16" s="272"/>
      <c r="BS16" s="272"/>
    </row>
    <row r="17" spans="1:71" s="3" customFormat="1" ht="17.25" customHeight="1">
      <c r="A17" s="300">
        <f>'ورقة العمل'!A2</f>
        <v>1</v>
      </c>
      <c r="B17" s="289"/>
      <c r="C17" s="290" t="str">
        <f>'ورقة العمل'!B2</f>
        <v>لللللللللللللللللللللل</v>
      </c>
      <c r="D17" s="290" t="str">
        <f>'ورقة العمل'!C2</f>
        <v>مدير ولائي (مفتش رئيس)</v>
      </c>
      <c r="E17" s="945">
        <f>'ورقة العمل'!E2</f>
        <v>5000</v>
      </c>
      <c r="F17" s="946">
        <f>IF(E17&gt;0,1,0)</f>
        <v>1</v>
      </c>
      <c r="G17" s="158" t="str">
        <f>'ورقة العمل'!D2</f>
        <v>لبنك الوطني الجزائري</v>
      </c>
      <c r="H17" s="291"/>
      <c r="I17" s="307"/>
      <c r="J17" s="307"/>
      <c r="K17" s="307"/>
      <c r="L17" s="307"/>
      <c r="M17" s="307"/>
      <c r="N17" s="307"/>
      <c r="O17" s="307"/>
      <c r="AM17" s="272"/>
      <c r="AP17" s="273"/>
      <c r="BB17" s="52"/>
      <c r="BD17" s="272"/>
      <c r="BS17" s="272"/>
    </row>
    <row r="18" spans="1:71" s="3" customFormat="1" ht="17.25" customHeight="1">
      <c r="A18" s="300">
        <f>'ورقة العمل'!A3</f>
        <v>2</v>
      </c>
      <c r="B18" s="289"/>
      <c r="C18" s="290" t="str">
        <f>'ورقة العمل'!B3</f>
        <v>فففففففففففففففففففف</v>
      </c>
      <c r="D18" s="290" t="str">
        <f>'ورقة العمل'!C3</f>
        <v>مدير ولائي (مفتش قسم)</v>
      </c>
      <c r="E18" s="945">
        <f>'ورقة العمل'!E3</f>
        <v>5000</v>
      </c>
      <c r="F18" s="946">
        <f t="shared" ref="F18:F81" si="0">IF(E18&gt;0,1,0)</f>
        <v>1</v>
      </c>
      <c r="G18" s="158" t="str">
        <f>'ورقة العمل'!D3</f>
        <v>بنك الفلاحة و التنمية الريفية</v>
      </c>
      <c r="H18" s="291"/>
      <c r="I18" s="307"/>
      <c r="J18" s="307"/>
      <c r="K18" s="307"/>
      <c r="L18" s="308"/>
      <c r="M18" s="307"/>
      <c r="N18" s="307"/>
      <c r="O18" s="307"/>
      <c r="AM18" s="272"/>
      <c r="AP18" s="273"/>
      <c r="BB18" s="52"/>
      <c r="BD18" s="272"/>
      <c r="BS18" s="272"/>
    </row>
    <row r="19" spans="1:71" s="3" customFormat="1" ht="17.25" customHeight="1">
      <c r="A19" s="300">
        <f>'ورقة العمل'!A4</f>
        <v>3</v>
      </c>
      <c r="B19" s="289"/>
      <c r="C19" s="290" t="str">
        <f>'ورقة العمل'!B4</f>
        <v>يسلللللللسيييييييي</v>
      </c>
      <c r="D19" s="290" t="str">
        <f>'ورقة العمل'!C4</f>
        <v xml:space="preserve"> مفتش قسم</v>
      </c>
      <c r="E19" s="945">
        <f>'ورقة العمل'!E4</f>
        <v>0</v>
      </c>
      <c r="F19" s="946">
        <f t="shared" si="0"/>
        <v>0</v>
      </c>
      <c r="G19" s="158" t="str">
        <f>'ورقة العمل'!D4</f>
        <v>الحساب الجاري البريدي</v>
      </c>
      <c r="H19" s="291"/>
      <c r="I19" s="307"/>
      <c r="J19" s="307"/>
      <c r="K19" s="307"/>
      <c r="L19" s="308"/>
      <c r="M19" s="307"/>
      <c r="N19" s="307"/>
      <c r="O19" s="307"/>
      <c r="AM19" s="272"/>
      <c r="AP19" s="273"/>
      <c r="BB19" s="52"/>
      <c r="BD19" s="272"/>
      <c r="BS19" s="272"/>
    </row>
    <row r="20" spans="1:71" s="3" customFormat="1" ht="17.25" customHeight="1">
      <c r="A20" s="300">
        <f>'ورقة العمل'!A5</f>
        <v>4</v>
      </c>
      <c r="B20" s="289"/>
      <c r="C20" s="290" t="str">
        <f>'ورقة العمل'!B5</f>
        <v>ررءرءؤرؤءرليسليسليسل</v>
      </c>
      <c r="D20" s="290" t="str">
        <f>'ورقة العمل'!C5</f>
        <v>رئيس مصلحة (مفتش قسم)</v>
      </c>
      <c r="E20" s="945">
        <f>'ورقة العمل'!E5</f>
        <v>5000</v>
      </c>
      <c r="F20" s="946">
        <f t="shared" si="0"/>
        <v>1</v>
      </c>
      <c r="G20" s="158" t="str">
        <f>'ورقة العمل'!D5</f>
        <v>الخزينة الولائية</v>
      </c>
      <c r="H20" s="291"/>
      <c r="I20" s="307"/>
      <c r="J20" s="307"/>
      <c r="K20" s="307"/>
      <c r="L20" s="308"/>
      <c r="M20" s="307"/>
      <c r="N20" s="307"/>
      <c r="O20" s="307"/>
      <c r="AM20" s="272"/>
      <c r="AP20" s="273"/>
      <c r="BB20" s="52"/>
      <c r="BD20" s="272"/>
      <c r="BS20" s="272"/>
    </row>
    <row r="21" spans="1:71" s="3" customFormat="1" ht="17.25" customHeight="1">
      <c r="A21" s="300">
        <f>'ورقة العمل'!A6</f>
        <v>5</v>
      </c>
      <c r="B21" s="289"/>
      <c r="C21" s="290" t="str">
        <f>'ورقة العمل'!B6</f>
        <v>صثقصقثصقضشللبيسلبيشل</v>
      </c>
      <c r="D21" s="290" t="str">
        <f>'ورقة العمل'!C6</f>
        <v>رئيس مصلحة (مفتش قسم)</v>
      </c>
      <c r="E21" s="945">
        <f>'ورقة العمل'!E6</f>
        <v>0</v>
      </c>
      <c r="F21" s="946">
        <f t="shared" si="0"/>
        <v>0</v>
      </c>
      <c r="G21" s="158" t="str">
        <f>'ورقة العمل'!D6</f>
        <v>الخزينة الولائية</v>
      </c>
      <c r="H21" s="291"/>
      <c r="I21" s="307"/>
      <c r="J21" s="307"/>
      <c r="K21" s="307"/>
      <c r="L21" s="308"/>
      <c r="M21" s="307"/>
      <c r="N21" s="307"/>
      <c r="O21" s="307"/>
      <c r="AM21" s="272"/>
      <c r="AP21" s="273"/>
      <c r="BB21" s="52"/>
      <c r="BD21" s="272"/>
      <c r="BS21" s="272"/>
    </row>
    <row r="22" spans="1:71" s="3" customFormat="1" ht="17.25" customHeight="1">
      <c r="A22" s="300">
        <f>'ورقة العمل'!A7</f>
        <v>6</v>
      </c>
      <c r="B22" s="289"/>
      <c r="C22" s="290" t="str">
        <f>'ورقة العمل'!B7</f>
        <v>صثقثصقثصقصثرسيبرشبيسب</v>
      </c>
      <c r="D22" s="290" t="str">
        <f>'ورقة العمل'!C7</f>
        <v>رئيس مصلحة (متصرف رئيسي)</v>
      </c>
      <c r="E22" s="945">
        <f>'ورقة العمل'!E7</f>
        <v>0</v>
      </c>
      <c r="F22" s="946">
        <f t="shared" si="0"/>
        <v>0</v>
      </c>
      <c r="G22" s="158" t="str">
        <f>'ورقة العمل'!D7</f>
        <v>الخزينة الولائية</v>
      </c>
      <c r="H22" s="291"/>
      <c r="I22" s="307"/>
      <c r="J22" s="307"/>
      <c r="K22" s="307"/>
      <c r="L22" s="308"/>
      <c r="M22" s="307"/>
      <c r="N22" s="307"/>
      <c r="O22" s="307"/>
      <c r="AM22" s="272"/>
      <c r="AP22" s="273"/>
      <c r="BB22" s="52"/>
      <c r="BD22" s="272"/>
      <c r="BS22" s="272"/>
    </row>
    <row r="23" spans="1:71" s="3" customFormat="1" ht="17.25" customHeight="1">
      <c r="A23" s="300">
        <f>'ورقة العمل'!A8</f>
        <v>7</v>
      </c>
      <c r="B23" s="289"/>
      <c r="C23" s="290" t="str">
        <f>'ورقة العمل'!B8</f>
        <v>للللللللبيسلبيليبسل</v>
      </c>
      <c r="D23" s="290" t="str">
        <f>'ورقة العمل'!C8</f>
        <v>رئيس مصلحة (متصرف)</v>
      </c>
      <c r="E23" s="945">
        <f>'ورقة العمل'!E8</f>
        <v>0</v>
      </c>
      <c r="F23" s="946">
        <f t="shared" si="0"/>
        <v>0</v>
      </c>
      <c r="G23" s="158" t="str">
        <f>'ورقة العمل'!D8</f>
        <v>الحساب الجاري البريدي</v>
      </c>
      <c r="H23" s="291"/>
      <c r="I23" s="307"/>
      <c r="J23" s="307"/>
      <c r="K23" s="307"/>
      <c r="L23" s="308"/>
      <c r="M23" s="307"/>
      <c r="N23" s="307"/>
      <c r="O23" s="307"/>
      <c r="AM23" s="272"/>
      <c r="AP23" s="273"/>
      <c r="BB23" s="52"/>
      <c r="BD23" s="272"/>
      <c r="BS23" s="272"/>
    </row>
    <row r="24" spans="1:71" s="3" customFormat="1" ht="17.25" customHeight="1">
      <c r="A24" s="300">
        <f>'ورقة العمل'!A9</f>
        <v>8</v>
      </c>
      <c r="B24" s="289"/>
      <c r="C24" s="290" t="str">
        <f>'ورقة العمل'!B9</f>
        <v>ففففففففلللللللللللللل</v>
      </c>
      <c r="D24" s="290" t="str">
        <f>'ورقة العمل'!C9</f>
        <v>محافظ عقاري (مفتش مركزي)</v>
      </c>
      <c r="E24" s="945">
        <f>'ورقة العمل'!E9</f>
        <v>5000</v>
      </c>
      <c r="F24" s="946">
        <f t="shared" si="0"/>
        <v>1</v>
      </c>
      <c r="G24" s="158" t="str">
        <f>'ورقة العمل'!D9</f>
        <v>بنك التنمية المحلية</v>
      </c>
      <c r="H24" s="291"/>
      <c r="I24" s="307"/>
      <c r="J24" s="307"/>
      <c r="K24" s="307"/>
      <c r="L24" s="308"/>
      <c r="M24" s="307"/>
      <c r="N24" s="307"/>
      <c r="O24" s="307"/>
      <c r="AM24" s="272"/>
      <c r="AP24" s="273"/>
      <c r="BB24" s="52"/>
      <c r="BD24" s="272"/>
      <c r="BS24" s="272"/>
    </row>
    <row r="25" spans="1:71" s="3" customFormat="1" ht="17.25" customHeight="1">
      <c r="A25" s="300">
        <f>'ورقة العمل'!A10</f>
        <v>9</v>
      </c>
      <c r="B25" s="289"/>
      <c r="C25" s="290" t="str">
        <f>'ورقة العمل'!B10</f>
        <v>سييييييييفففففففففففف</v>
      </c>
      <c r="D25" s="290" t="str">
        <f>'ورقة العمل'!C10</f>
        <v>رئيس مفتشية (مفتش قسم)</v>
      </c>
      <c r="E25" s="945">
        <f>'ورقة العمل'!E10</f>
        <v>0</v>
      </c>
      <c r="F25" s="946">
        <f t="shared" si="0"/>
        <v>0</v>
      </c>
      <c r="G25" s="158" t="str">
        <f>'ورقة العمل'!D10</f>
        <v>بنك الفلاحة و التنمية الريفية</v>
      </c>
      <c r="H25" s="291"/>
      <c r="I25" s="307"/>
      <c r="J25" s="307"/>
      <c r="K25" s="307"/>
      <c r="L25" s="308"/>
      <c r="M25" s="307"/>
      <c r="N25" s="307"/>
      <c r="O25" s="307"/>
      <c r="AM25" s="272"/>
      <c r="AP25" s="273"/>
      <c r="BB25" s="52"/>
      <c r="BD25" s="272"/>
      <c r="BS25" s="272"/>
    </row>
    <row r="26" spans="1:71" s="3" customFormat="1" ht="17.25" customHeight="1">
      <c r="A26" s="300">
        <f>'ورقة العمل'!A11</f>
        <v>10</v>
      </c>
      <c r="B26" s="289"/>
      <c r="C26" s="290" t="str">
        <f>'ورقة العمل'!B11</f>
        <v>ليسليسليسليسللللللل</v>
      </c>
      <c r="D26" s="290" t="str">
        <f>'ورقة العمل'!C11</f>
        <v>رئيس مفتشية (مفتش)</v>
      </c>
      <c r="E26" s="945">
        <f>'ورقة العمل'!E11</f>
        <v>5000</v>
      </c>
      <c r="F26" s="946">
        <f t="shared" si="0"/>
        <v>1</v>
      </c>
      <c r="G26" s="158" t="str">
        <f>'ورقة العمل'!D11</f>
        <v>الحساب الجاري البريدي</v>
      </c>
      <c r="H26" s="291"/>
      <c r="I26" s="307"/>
      <c r="J26" s="307"/>
      <c r="K26" s="307"/>
      <c r="L26" s="308"/>
      <c r="M26" s="307"/>
      <c r="N26" s="307"/>
      <c r="O26" s="307"/>
      <c r="AM26" s="272"/>
      <c r="AP26" s="273"/>
      <c r="BB26" s="52"/>
      <c r="BD26" s="272"/>
      <c r="BS26" s="272"/>
    </row>
    <row r="27" spans="1:71" s="3" customFormat="1" ht="17.25" customHeight="1">
      <c r="A27" s="300">
        <f>'ورقة العمل'!A12</f>
        <v>11</v>
      </c>
      <c r="B27" s="289"/>
      <c r="C27" s="290" t="str">
        <f>'ورقة العمل'!B12</f>
        <v>شللبيسلبيشلررءرءؤرؤءر</v>
      </c>
      <c r="D27" s="290" t="str">
        <f>'ورقة العمل'!C12</f>
        <v>رئيس مفتشية (مفتش مركزي)</v>
      </c>
      <c r="E27" s="945">
        <f>'ورقة العمل'!E12</f>
        <v>5000</v>
      </c>
      <c r="F27" s="946">
        <f t="shared" si="0"/>
        <v>1</v>
      </c>
      <c r="G27" s="158" t="str">
        <f>'ورقة العمل'!D12</f>
        <v>الحساب الجاري البريدي</v>
      </c>
      <c r="H27" s="291"/>
      <c r="I27" s="307"/>
      <c r="J27" s="307"/>
      <c r="K27" s="307"/>
      <c r="L27" s="308"/>
      <c r="M27" s="307"/>
      <c r="N27" s="307"/>
      <c r="O27" s="307"/>
      <c r="AM27" s="272"/>
      <c r="AP27" s="273"/>
      <c r="BB27" s="52"/>
      <c r="BD27" s="272"/>
      <c r="BS27" s="272"/>
    </row>
    <row r="28" spans="1:71" s="3" customFormat="1" ht="17.25" customHeight="1">
      <c r="A28" s="300">
        <f>'ورقة العمل'!A13</f>
        <v>12</v>
      </c>
      <c r="B28" s="289"/>
      <c r="C28" s="290" t="str">
        <f>'ورقة العمل'!B13</f>
        <v>رسيبرشبيسبصثقصقثصقض</v>
      </c>
      <c r="D28" s="290" t="str">
        <f>'ورقة العمل'!C13</f>
        <v>رئيس مكتب (مفتش رئيسي)</v>
      </c>
      <c r="E28" s="945">
        <f>'ورقة العمل'!E13</f>
        <v>5000</v>
      </c>
      <c r="F28" s="946">
        <f t="shared" si="0"/>
        <v>1</v>
      </c>
      <c r="G28" s="158" t="str">
        <f>'ورقة العمل'!D13</f>
        <v>الخزينة الولائية</v>
      </c>
      <c r="H28" s="291"/>
      <c r="I28" s="307"/>
      <c r="J28" s="307"/>
      <c r="K28" s="307"/>
      <c r="L28" s="308"/>
      <c r="M28" s="307"/>
      <c r="N28" s="307"/>
      <c r="O28" s="307"/>
      <c r="AM28" s="272"/>
      <c r="AP28" s="273"/>
      <c r="BB28" s="52"/>
      <c r="BD28" s="272"/>
      <c r="BS28" s="272"/>
    </row>
    <row r="29" spans="1:71" s="3" customFormat="1" ht="17.25" customHeight="1">
      <c r="A29" s="300">
        <f>'ورقة العمل'!A14</f>
        <v>13</v>
      </c>
      <c r="B29" s="289"/>
      <c r="C29" s="290" t="str">
        <f>'ورقة العمل'!B14</f>
        <v>بيسلبيليبسلصثقثصقثصقصث</v>
      </c>
      <c r="D29" s="290" t="str">
        <f>'ورقة العمل'!C14</f>
        <v>رئيس مكتب (مفتش رئيسي)</v>
      </c>
      <c r="E29" s="945">
        <f>'ورقة العمل'!E14</f>
        <v>5000</v>
      </c>
      <c r="F29" s="946">
        <f t="shared" si="0"/>
        <v>1</v>
      </c>
      <c r="G29" s="158" t="str">
        <f>'ورقة العمل'!D14</f>
        <v>الخزينة الولائية</v>
      </c>
      <c r="H29" s="291"/>
      <c r="I29" s="307"/>
      <c r="J29" s="307"/>
      <c r="K29" s="307"/>
      <c r="L29" s="308"/>
      <c r="M29" s="307"/>
      <c r="N29" s="307"/>
      <c r="O29" s="307"/>
      <c r="AM29" s="272"/>
      <c r="AP29" s="273"/>
      <c r="BB29" s="52"/>
      <c r="BD29" s="272"/>
      <c r="BS29" s="272"/>
    </row>
    <row r="30" spans="1:71" s="3" customFormat="1" ht="17.25" customHeight="1">
      <c r="A30" s="300">
        <f>'ورقة العمل'!A15</f>
        <v>14</v>
      </c>
      <c r="B30" s="289"/>
      <c r="C30" s="290" t="str">
        <f>'ورقة العمل'!B15</f>
        <v>لللللللللللللللللللللل</v>
      </c>
      <c r="D30" s="290" t="str">
        <f>'ورقة العمل'!C15</f>
        <v>رئيس مكتب (مفتش رئيسي)</v>
      </c>
      <c r="E30" s="945">
        <f>'ورقة العمل'!E15</f>
        <v>0</v>
      </c>
      <c r="F30" s="946">
        <f t="shared" si="0"/>
        <v>0</v>
      </c>
      <c r="G30" s="158" t="str">
        <f>'ورقة العمل'!D15</f>
        <v>الحساب الجاري البريدي</v>
      </c>
      <c r="H30" s="291"/>
      <c r="I30" s="307"/>
      <c r="J30" s="307"/>
      <c r="K30" s="307"/>
      <c r="L30" s="308"/>
      <c r="M30" s="307"/>
      <c r="N30" s="307"/>
      <c r="O30" s="307"/>
      <c r="AM30" s="272"/>
      <c r="AP30" s="273"/>
      <c r="BB30" s="52"/>
      <c r="BD30" s="272"/>
      <c r="BS30" s="272"/>
    </row>
    <row r="31" spans="1:71" s="3" customFormat="1" ht="17.25" customHeight="1">
      <c r="A31" s="300">
        <f>'ورقة العمل'!A16</f>
        <v>15</v>
      </c>
      <c r="B31" s="289"/>
      <c r="C31" s="290" t="str">
        <f>'ورقة العمل'!B16</f>
        <v>فففففففففففففففففففف</v>
      </c>
      <c r="D31" s="290" t="str">
        <f>'ورقة العمل'!C16</f>
        <v>رئيس مكتب (مفتش رئيسي)</v>
      </c>
      <c r="E31" s="945">
        <f>'ورقة العمل'!E16</f>
        <v>0</v>
      </c>
      <c r="F31" s="946">
        <f t="shared" si="0"/>
        <v>0</v>
      </c>
      <c r="G31" s="158" t="str">
        <f>'ورقة العمل'!D16</f>
        <v>الحساب الجاري البريدي</v>
      </c>
      <c r="H31" s="291"/>
      <c r="I31" s="307"/>
      <c r="J31" s="307"/>
      <c r="K31" s="307"/>
      <c r="L31" s="308"/>
      <c r="M31" s="307"/>
      <c r="N31" s="307"/>
      <c r="O31" s="307"/>
      <c r="AM31" s="272"/>
      <c r="AP31" s="273"/>
      <c r="BB31" s="52"/>
      <c r="BD31" s="272"/>
      <c r="BS31" s="272"/>
    </row>
    <row r="32" spans="1:71" s="3" customFormat="1" ht="17.25" customHeight="1">
      <c r="A32" s="300">
        <f>'ورقة العمل'!A17</f>
        <v>16</v>
      </c>
      <c r="B32" s="289"/>
      <c r="C32" s="290" t="str">
        <f>'ورقة العمل'!B17</f>
        <v>يسلللللللسيييييييي</v>
      </c>
      <c r="D32" s="290" t="str">
        <f>'ورقة العمل'!C17</f>
        <v>رئيس مكتب (مفتش)</v>
      </c>
      <c r="E32" s="945">
        <f>'ورقة العمل'!E17</f>
        <v>5000</v>
      </c>
      <c r="F32" s="946">
        <f t="shared" si="0"/>
        <v>1</v>
      </c>
      <c r="G32" s="158" t="str">
        <f>'ورقة العمل'!D17</f>
        <v>الحساب الجاري البريدي</v>
      </c>
      <c r="H32" s="291"/>
      <c r="I32" s="307"/>
      <c r="J32" s="307"/>
      <c r="K32" s="307"/>
      <c r="L32" s="308"/>
      <c r="M32" s="307"/>
      <c r="N32" s="307"/>
      <c r="O32" s="307"/>
      <c r="AM32" s="272"/>
      <c r="AP32" s="273"/>
      <c r="BB32" s="52"/>
      <c r="BD32" s="272"/>
      <c r="BS32" s="272"/>
    </row>
    <row r="33" spans="1:71" s="3" customFormat="1" ht="17.25" customHeight="1">
      <c r="A33" s="300">
        <f>'ورقة العمل'!A18</f>
        <v>17</v>
      </c>
      <c r="B33" s="289"/>
      <c r="C33" s="290" t="str">
        <f>'ورقة العمل'!B18</f>
        <v>ررءرءؤرؤءرليسليسليسل</v>
      </c>
      <c r="D33" s="290" t="str">
        <f>'ورقة العمل'!C18</f>
        <v xml:space="preserve"> مفتش</v>
      </c>
      <c r="E33" s="945">
        <f>'ورقة العمل'!E18</f>
        <v>5000</v>
      </c>
      <c r="F33" s="946">
        <f t="shared" si="0"/>
        <v>1</v>
      </c>
      <c r="G33" s="158" t="str">
        <f>'ورقة العمل'!D18</f>
        <v>الخزينة الولائية</v>
      </c>
      <c r="H33" s="291"/>
      <c r="I33" s="307"/>
      <c r="J33" s="307"/>
      <c r="K33" s="307"/>
      <c r="L33" s="308"/>
      <c r="M33" s="307"/>
      <c r="N33" s="307"/>
      <c r="O33" s="307"/>
      <c r="AM33" s="272"/>
      <c r="AP33" s="273"/>
      <c r="BB33" s="52"/>
      <c r="BD33" s="272"/>
      <c r="BS33" s="272"/>
    </row>
    <row r="34" spans="1:71" s="3" customFormat="1" ht="17.25" customHeight="1">
      <c r="A34" s="300">
        <f>'ورقة العمل'!A19</f>
        <v>18</v>
      </c>
      <c r="B34" s="289"/>
      <c r="C34" s="290" t="str">
        <f>'ورقة العمل'!B19</f>
        <v>صثقصقثصقضشللبيسلبيشل</v>
      </c>
      <c r="D34" s="290" t="str">
        <f>'ورقة العمل'!C19</f>
        <v>رئيس مكتب (متصرف رئيسي)</v>
      </c>
      <c r="E34" s="945">
        <f>'ورقة العمل'!E19</f>
        <v>5000</v>
      </c>
      <c r="F34" s="946">
        <f t="shared" si="0"/>
        <v>1</v>
      </c>
      <c r="G34" s="158" t="str">
        <f>'ورقة العمل'!D19</f>
        <v>الحساب الجاري البريدي</v>
      </c>
      <c r="H34" s="291"/>
      <c r="I34" s="307"/>
      <c r="J34" s="307"/>
      <c r="K34" s="307"/>
      <c r="L34" s="308"/>
      <c r="M34" s="307"/>
      <c r="N34" s="307"/>
      <c r="O34" s="307"/>
      <c r="AM34" s="272"/>
      <c r="AP34" s="273"/>
      <c r="BB34" s="52"/>
      <c r="BD34" s="272"/>
      <c r="BS34" s="272"/>
    </row>
    <row r="35" spans="1:71" s="3" customFormat="1" ht="17.25" customHeight="1">
      <c r="A35" s="300">
        <f>'ورقة العمل'!A20</f>
        <v>19</v>
      </c>
      <c r="B35" s="289"/>
      <c r="C35" s="290" t="str">
        <f>'ورقة العمل'!B20</f>
        <v>صثقثصقثصقصثرسيبرشبيسب</v>
      </c>
      <c r="D35" s="290" t="str">
        <f>'ورقة العمل'!C20</f>
        <v>رئيس قسم (مفتش)</v>
      </c>
      <c r="E35" s="945">
        <f>'ورقة العمل'!E20</f>
        <v>5000</v>
      </c>
      <c r="F35" s="946">
        <f t="shared" si="0"/>
        <v>1</v>
      </c>
      <c r="G35" s="158" t="str">
        <f>'ورقة العمل'!D20</f>
        <v>الخزينة الولائية</v>
      </c>
      <c r="H35" s="291"/>
      <c r="I35" s="307"/>
      <c r="J35" s="307"/>
      <c r="K35" s="307"/>
      <c r="L35" s="308"/>
      <c r="M35" s="307"/>
      <c r="N35" s="307"/>
      <c r="O35" s="307"/>
      <c r="AM35" s="272"/>
      <c r="AP35" s="273"/>
      <c r="BB35" s="52"/>
      <c r="BD35" s="272"/>
      <c r="BS35" s="272"/>
    </row>
    <row r="36" spans="1:71" s="3" customFormat="1" ht="17.25" customHeight="1">
      <c r="A36" s="300">
        <f>'ورقة العمل'!A21</f>
        <v>20</v>
      </c>
      <c r="B36" s="289"/>
      <c r="C36" s="290" t="str">
        <f>'ورقة العمل'!B21</f>
        <v>للللللللبيسلبيليبسل</v>
      </c>
      <c r="D36" s="290" t="str">
        <f>'ورقة العمل'!C21</f>
        <v>رئيس قسم (مفتش)</v>
      </c>
      <c r="E36" s="945">
        <f>'ورقة العمل'!E21</f>
        <v>5000</v>
      </c>
      <c r="F36" s="946">
        <f t="shared" si="0"/>
        <v>1</v>
      </c>
      <c r="G36" s="158" t="str">
        <f>'ورقة العمل'!D21</f>
        <v>الخزينة الولائية</v>
      </c>
      <c r="H36" s="291"/>
      <c r="I36" s="307"/>
      <c r="J36" s="307"/>
      <c r="K36" s="307"/>
      <c r="L36" s="308"/>
      <c r="M36" s="307"/>
      <c r="N36" s="307"/>
      <c r="O36" s="307"/>
      <c r="AM36" s="272"/>
      <c r="AP36" s="273"/>
      <c r="BB36" s="52"/>
      <c r="BD36" s="272"/>
      <c r="BS36" s="272"/>
    </row>
    <row r="37" spans="1:71" s="3" customFormat="1" ht="17.25" customHeight="1">
      <c r="A37" s="300">
        <f>'ورقة العمل'!A22</f>
        <v>21</v>
      </c>
      <c r="B37" s="289"/>
      <c r="C37" s="290" t="str">
        <f>'ورقة العمل'!B22</f>
        <v>ففففففففلللللللللللللل</v>
      </c>
      <c r="D37" s="290" t="str">
        <f>'ورقة العمل'!C22</f>
        <v>رئيس قسم (مفتش)</v>
      </c>
      <c r="E37" s="945">
        <f>'ورقة العمل'!E22</f>
        <v>0</v>
      </c>
      <c r="F37" s="946">
        <f t="shared" si="0"/>
        <v>0</v>
      </c>
      <c r="G37" s="158" t="str">
        <f>'ورقة العمل'!D22</f>
        <v>الحساب الجاري البريدي</v>
      </c>
      <c r="H37" s="291"/>
      <c r="I37" s="309"/>
      <c r="J37" s="309"/>
      <c r="K37" s="309"/>
      <c r="L37" s="310"/>
      <c r="M37" s="307"/>
      <c r="N37" s="307"/>
      <c r="O37" s="307"/>
      <c r="AM37" s="272"/>
      <c r="AP37" s="273"/>
      <c r="BB37" s="52"/>
      <c r="BD37" s="272"/>
      <c r="BS37" s="272"/>
    </row>
    <row r="38" spans="1:71" s="3" customFormat="1" ht="17.25" customHeight="1">
      <c r="A38" s="300">
        <f>'ورقة العمل'!A23</f>
        <v>22</v>
      </c>
      <c r="B38" s="289"/>
      <c r="C38" s="290" t="str">
        <f>'ورقة العمل'!B23</f>
        <v>سييييييييفففففففففففف</v>
      </c>
      <c r="D38" s="290" t="str">
        <f>'ورقة العمل'!C23</f>
        <v>رئيس قسم (مفتش)</v>
      </c>
      <c r="E38" s="945">
        <f>'ورقة العمل'!E23</f>
        <v>5000</v>
      </c>
      <c r="F38" s="946">
        <f t="shared" si="0"/>
        <v>1</v>
      </c>
      <c r="G38" s="158" t="str">
        <f>'ورقة العمل'!D23</f>
        <v>الحساب الجاري البريدي</v>
      </c>
      <c r="H38" s="291"/>
      <c r="I38" s="317"/>
      <c r="J38" s="309"/>
      <c r="K38" s="309"/>
      <c r="L38" s="310"/>
      <c r="M38" s="307"/>
      <c r="N38" s="307"/>
      <c r="O38" s="307"/>
      <c r="AM38" s="272"/>
      <c r="AP38" s="273"/>
      <c r="BB38" s="52"/>
      <c r="BD38" s="272"/>
      <c r="BS38" s="272"/>
    </row>
    <row r="39" spans="1:71" s="3" customFormat="1" ht="17.25" customHeight="1">
      <c r="A39" s="300">
        <f>'ورقة العمل'!A24</f>
        <v>23</v>
      </c>
      <c r="B39" s="289"/>
      <c r="C39" s="290" t="str">
        <f>'ورقة العمل'!B24</f>
        <v>ليسليسليسليسللللللل</v>
      </c>
      <c r="D39" s="290" t="str">
        <f>'ورقة العمل'!C24</f>
        <v>رئيس قسم (مفتش)</v>
      </c>
      <c r="E39" s="945">
        <f>'ورقة العمل'!E24</f>
        <v>0</v>
      </c>
      <c r="F39" s="946">
        <f t="shared" si="0"/>
        <v>0</v>
      </c>
      <c r="G39" s="158" t="str">
        <f>'ورقة العمل'!D24</f>
        <v>الحساب الجاري البريدي</v>
      </c>
      <c r="H39" s="291"/>
      <c r="I39" s="307"/>
      <c r="J39" s="307"/>
      <c r="K39" s="307"/>
      <c r="L39" s="308"/>
      <c r="M39" s="307"/>
      <c r="N39" s="307"/>
      <c r="O39" s="307"/>
      <c r="AM39" s="272"/>
      <c r="AP39" s="273"/>
      <c r="BB39" s="52"/>
      <c r="BD39" s="272"/>
      <c r="BS39" s="272"/>
    </row>
    <row r="40" spans="1:71" s="3" customFormat="1" ht="17.25" customHeight="1">
      <c r="A40" s="300">
        <f>'ورقة العمل'!A25</f>
        <v>24</v>
      </c>
      <c r="B40" s="289"/>
      <c r="C40" s="290" t="str">
        <f>'ورقة العمل'!B25</f>
        <v>شللبيسلبيشلررءرءؤرؤءر</v>
      </c>
      <c r="D40" s="290" t="str">
        <f>'ورقة العمل'!C25</f>
        <v>رئيس قسم (مراقب)</v>
      </c>
      <c r="E40" s="945">
        <f>'ورقة العمل'!E25</f>
        <v>0</v>
      </c>
      <c r="F40" s="946">
        <f t="shared" si="0"/>
        <v>0</v>
      </c>
      <c r="G40" s="158" t="str">
        <f>'ورقة العمل'!D25</f>
        <v>الخزينة الولائية</v>
      </c>
      <c r="H40" s="291"/>
      <c r="I40" s="307"/>
      <c r="J40" s="307"/>
      <c r="K40" s="307"/>
      <c r="L40" s="308"/>
      <c r="M40" s="307"/>
      <c r="N40" s="307"/>
      <c r="O40" s="307"/>
      <c r="AM40" s="272"/>
      <c r="AP40" s="273"/>
      <c r="BB40" s="52"/>
      <c r="BD40" s="272"/>
      <c r="BS40" s="272"/>
    </row>
    <row r="41" spans="1:71" s="3" customFormat="1" ht="17.25" customHeight="1">
      <c r="A41" s="300">
        <f>'ورقة العمل'!A26</f>
        <v>25</v>
      </c>
      <c r="B41" s="289"/>
      <c r="C41" s="290" t="str">
        <f>'ورقة العمل'!B26</f>
        <v>رسيبرشبيسبصثقصقثصقض</v>
      </c>
      <c r="D41" s="290" t="str">
        <f>'ورقة العمل'!C26</f>
        <v>رئيس قسم (مراقب)</v>
      </c>
      <c r="E41" s="945">
        <f>'ورقة العمل'!E26</f>
        <v>5000</v>
      </c>
      <c r="F41" s="946">
        <f t="shared" si="0"/>
        <v>1</v>
      </c>
      <c r="G41" s="158" t="str">
        <f>'ورقة العمل'!D26</f>
        <v>الحساب الجاري البريدي</v>
      </c>
      <c r="H41" s="291"/>
      <c r="I41" s="307"/>
      <c r="J41" s="307"/>
      <c r="K41" s="307"/>
      <c r="L41" s="308"/>
      <c r="M41" s="307"/>
      <c r="N41" s="307"/>
      <c r="O41" s="307"/>
      <c r="AM41" s="272"/>
      <c r="AP41" s="273"/>
      <c r="BB41" s="52"/>
      <c r="BD41" s="272"/>
      <c r="BS41" s="272"/>
    </row>
    <row r="42" spans="1:71" s="3" customFormat="1" ht="17.25" customHeight="1">
      <c r="A42" s="300">
        <f>'ورقة العمل'!A27</f>
        <v>26</v>
      </c>
      <c r="B42" s="289"/>
      <c r="C42" s="290" t="str">
        <f>'ورقة العمل'!B27</f>
        <v>بيسلبيليبسلصثقثصقثصقصث</v>
      </c>
      <c r="D42" s="290" t="str">
        <f>'ورقة العمل'!C27</f>
        <v>أمين صندوق (مفتش)</v>
      </c>
      <c r="E42" s="945">
        <f>'ورقة العمل'!E27</f>
        <v>5000</v>
      </c>
      <c r="F42" s="946">
        <f t="shared" si="0"/>
        <v>1</v>
      </c>
      <c r="G42" s="158" t="str">
        <f>'ورقة العمل'!D27</f>
        <v>بنك الفلاحة و التنمية الريفية</v>
      </c>
      <c r="H42" s="291"/>
      <c r="I42" s="307"/>
      <c r="J42" s="307"/>
      <c r="K42" s="307"/>
      <c r="L42" s="308"/>
      <c r="M42" s="307"/>
      <c r="N42" s="307"/>
      <c r="O42" s="307"/>
      <c r="AM42" s="272"/>
      <c r="AP42" s="273"/>
      <c r="BB42" s="52"/>
      <c r="BD42" s="272"/>
      <c r="BS42" s="272"/>
    </row>
    <row r="43" spans="1:71" s="3" customFormat="1" ht="17.25" customHeight="1">
      <c r="A43" s="300">
        <f>'ورقة العمل'!A28</f>
        <v>27</v>
      </c>
      <c r="B43" s="289"/>
      <c r="C43" s="290" t="str">
        <f>'ورقة العمل'!B28</f>
        <v>لللللللللللللللللللللل</v>
      </c>
      <c r="D43" s="290" t="str">
        <f>'ورقة العمل'!C28</f>
        <v xml:space="preserve"> مراقب</v>
      </c>
      <c r="E43" s="945">
        <f>'ورقة العمل'!E28</f>
        <v>5000</v>
      </c>
      <c r="F43" s="946">
        <f t="shared" si="0"/>
        <v>1</v>
      </c>
      <c r="G43" s="158" t="str">
        <f>'ورقة العمل'!D28</f>
        <v>بنك التنمية المحلية</v>
      </c>
      <c r="H43" s="291"/>
      <c r="I43" s="307"/>
      <c r="J43" s="307"/>
      <c r="K43" s="307"/>
      <c r="L43" s="308"/>
      <c r="M43" s="307"/>
      <c r="N43" s="307"/>
      <c r="O43" s="307"/>
      <c r="AM43" s="272"/>
      <c r="AP43" s="273"/>
      <c r="BB43" s="52"/>
      <c r="BD43" s="272"/>
      <c r="BS43" s="272"/>
    </row>
    <row r="44" spans="1:71" s="3" customFormat="1" ht="17.25" customHeight="1">
      <c r="A44" s="300">
        <f>'ورقة العمل'!A29</f>
        <v>28</v>
      </c>
      <c r="B44" s="289"/>
      <c r="C44" s="290" t="str">
        <f>'ورقة العمل'!B29</f>
        <v>فففففففففففففففففففف</v>
      </c>
      <c r="D44" s="290" t="str">
        <f>'ورقة العمل'!C29</f>
        <v xml:space="preserve"> متصرف رئيسي</v>
      </c>
      <c r="E44" s="945">
        <f>'ورقة العمل'!E29</f>
        <v>5000</v>
      </c>
      <c r="F44" s="946">
        <f t="shared" si="0"/>
        <v>1</v>
      </c>
      <c r="G44" s="158" t="str">
        <f>'ورقة العمل'!D29</f>
        <v>بنك التنمية المحلية</v>
      </c>
      <c r="H44" s="291"/>
      <c r="I44" s="307"/>
      <c r="J44" s="307"/>
      <c r="K44" s="307"/>
      <c r="L44" s="308"/>
      <c r="M44" s="307"/>
      <c r="N44" s="307"/>
      <c r="O44" s="307"/>
      <c r="AM44" s="272"/>
      <c r="AP44" s="273"/>
      <c r="BB44" s="52"/>
      <c r="BD44" s="272"/>
      <c r="BS44" s="272"/>
    </row>
    <row r="45" spans="1:71" s="3" customFormat="1" ht="17.25" customHeight="1">
      <c r="A45" s="300">
        <f>'ورقة العمل'!A30</f>
        <v>29</v>
      </c>
      <c r="B45" s="289"/>
      <c r="C45" s="290" t="str">
        <f>'ورقة العمل'!B30</f>
        <v>يسلللللللسيييييييي</v>
      </c>
      <c r="D45" s="290" t="str">
        <f>'ورقة العمل'!C30</f>
        <v xml:space="preserve"> مهندس رئيسي في إ الآلي</v>
      </c>
      <c r="E45" s="945">
        <f>'ورقة العمل'!E30</f>
        <v>0</v>
      </c>
      <c r="F45" s="946">
        <f t="shared" si="0"/>
        <v>0</v>
      </c>
      <c r="G45" s="158" t="str">
        <f>'ورقة العمل'!D30</f>
        <v>الخزينة الولائية</v>
      </c>
      <c r="H45" s="291"/>
      <c r="I45" s="307"/>
      <c r="J45" s="307"/>
      <c r="K45" s="307"/>
      <c r="L45" s="308"/>
      <c r="M45" s="307"/>
      <c r="N45" s="307"/>
      <c r="O45" s="307"/>
      <c r="AM45" s="272"/>
      <c r="AP45" s="273"/>
      <c r="BB45" s="52"/>
      <c r="BD45" s="272"/>
      <c r="BS45" s="272"/>
    </row>
    <row r="46" spans="1:71" s="3" customFormat="1" ht="17.25" customHeight="1">
      <c r="A46" s="300">
        <f>'ورقة العمل'!A31</f>
        <v>30</v>
      </c>
      <c r="B46" s="289"/>
      <c r="C46" s="290" t="str">
        <f>'ورقة العمل'!B31</f>
        <v>ررءرءؤرؤءرليسليسليسل</v>
      </c>
      <c r="D46" s="290" t="str">
        <f>'ورقة العمل'!C31</f>
        <v xml:space="preserve"> متصرف محلل</v>
      </c>
      <c r="E46" s="945">
        <f>'ورقة العمل'!E31</f>
        <v>0</v>
      </c>
      <c r="F46" s="946">
        <f t="shared" si="0"/>
        <v>0</v>
      </c>
      <c r="G46" s="158" t="str">
        <f>'ورقة العمل'!D31</f>
        <v>الحساب الجاري البريدي</v>
      </c>
      <c r="H46" s="291"/>
      <c r="I46" s="307"/>
      <c r="J46" s="307"/>
      <c r="K46" s="307"/>
      <c r="L46" s="308"/>
      <c r="M46" s="307"/>
      <c r="N46" s="307"/>
      <c r="O46" s="307"/>
      <c r="AM46" s="272"/>
      <c r="AP46" s="273"/>
      <c r="BB46" s="52"/>
      <c r="BD46" s="272"/>
      <c r="BS46" s="272"/>
    </row>
    <row r="47" spans="1:71" s="3" customFormat="1" ht="17.25" customHeight="1">
      <c r="A47" s="300">
        <f>'ورقة العمل'!A32</f>
        <v>31</v>
      </c>
      <c r="B47" s="289"/>
      <c r="C47" s="290" t="str">
        <f>'ورقة العمل'!B32</f>
        <v>صثقصقثصقضشللبيسلبيشل</v>
      </c>
      <c r="D47" s="290" t="str">
        <f>'ورقة العمل'!C32</f>
        <v xml:space="preserve"> مفتش رئيسي</v>
      </c>
      <c r="E47" s="945">
        <f>'ورقة العمل'!E32</f>
        <v>0</v>
      </c>
      <c r="F47" s="946">
        <f t="shared" si="0"/>
        <v>0</v>
      </c>
      <c r="G47" s="158" t="str">
        <f>'ورقة العمل'!D32</f>
        <v>الحساب الجاري البريدي</v>
      </c>
      <c r="H47" s="291"/>
      <c r="I47" s="307"/>
      <c r="J47" s="307"/>
      <c r="K47" s="307"/>
      <c r="L47" s="308"/>
      <c r="M47" s="307"/>
      <c r="N47" s="307"/>
      <c r="O47" s="307"/>
      <c r="AM47" s="272"/>
      <c r="AP47" s="273"/>
      <c r="BB47" s="52"/>
      <c r="BD47" s="272"/>
      <c r="BS47" s="272"/>
    </row>
    <row r="48" spans="1:71" s="3" customFormat="1" ht="17.25" customHeight="1">
      <c r="A48" s="300">
        <f>'ورقة العمل'!A33</f>
        <v>32</v>
      </c>
      <c r="B48" s="289"/>
      <c r="C48" s="290" t="str">
        <f>'ورقة العمل'!B33</f>
        <v>صثقثصقثصقصثرسيبرشبيسب</v>
      </c>
      <c r="D48" s="290" t="str">
        <f>'ورقة العمل'!C33</f>
        <v xml:space="preserve"> مفتش رئيسي</v>
      </c>
      <c r="E48" s="945">
        <f>'ورقة العمل'!E33</f>
        <v>5000</v>
      </c>
      <c r="F48" s="946">
        <f t="shared" si="0"/>
        <v>1</v>
      </c>
      <c r="G48" s="158" t="str">
        <f>'ورقة العمل'!D33</f>
        <v>الحساب الجاري البريدي</v>
      </c>
      <c r="H48" s="291"/>
      <c r="I48" s="307"/>
      <c r="J48" s="307"/>
      <c r="K48" s="307"/>
      <c r="L48" s="308"/>
      <c r="M48" s="307"/>
      <c r="N48" s="307"/>
      <c r="O48" s="307"/>
      <c r="AM48" s="272"/>
      <c r="AP48" s="273"/>
      <c r="BB48" s="52"/>
      <c r="BD48" s="272"/>
      <c r="BS48" s="272"/>
    </row>
    <row r="49" spans="1:71" s="3" customFormat="1" ht="17.25" customHeight="1">
      <c r="A49" s="300">
        <f>'ورقة العمل'!A34</f>
        <v>33</v>
      </c>
      <c r="B49" s="289"/>
      <c r="C49" s="290" t="str">
        <f>'ورقة العمل'!B34</f>
        <v>للللللللبيسلبيليبسل</v>
      </c>
      <c r="D49" s="290" t="str">
        <f>'ورقة العمل'!C34</f>
        <v>رئيس مكتب (متصرف)</v>
      </c>
      <c r="E49" s="945">
        <f>'ورقة العمل'!E34</f>
        <v>0</v>
      </c>
      <c r="F49" s="946">
        <f t="shared" si="0"/>
        <v>0</v>
      </c>
      <c r="G49" s="158" t="str">
        <f>'ورقة العمل'!D34</f>
        <v>الحساب الجاري البريدي</v>
      </c>
      <c r="H49" s="291"/>
      <c r="I49" s="311"/>
      <c r="J49" s="311"/>
      <c r="K49" s="311"/>
      <c r="L49" s="312"/>
      <c r="M49" s="311"/>
      <c r="N49" s="311"/>
      <c r="O49" s="311"/>
      <c r="AM49" s="272"/>
      <c r="AP49" s="273"/>
      <c r="BB49" s="52"/>
      <c r="BD49" s="272"/>
      <c r="BS49" s="272"/>
    </row>
    <row r="50" spans="1:71" s="3" customFormat="1" ht="17.25" customHeight="1">
      <c r="A50" s="300">
        <f>'ورقة العمل'!A35</f>
        <v>34</v>
      </c>
      <c r="B50" s="289"/>
      <c r="C50" s="290" t="str">
        <f>'ورقة العمل'!B35</f>
        <v>ففففففففلللللللللللللل</v>
      </c>
      <c r="D50" s="290" t="str">
        <f>'ورقة العمل'!C35</f>
        <v xml:space="preserve"> متصرف</v>
      </c>
      <c r="E50" s="945">
        <f>'ورقة العمل'!E35</f>
        <v>5000</v>
      </c>
      <c r="F50" s="946">
        <f t="shared" si="0"/>
        <v>1</v>
      </c>
      <c r="G50" s="158" t="str">
        <f>'ورقة العمل'!D35</f>
        <v>الحساب الجاري البريدي</v>
      </c>
      <c r="H50" s="291"/>
      <c r="I50" s="311"/>
      <c r="J50" s="311"/>
      <c r="K50" s="311"/>
      <c r="L50" s="312"/>
      <c r="M50" s="311"/>
      <c r="N50" s="311"/>
      <c r="O50" s="311"/>
      <c r="AM50" s="272"/>
      <c r="AP50" s="273"/>
      <c r="BB50" s="52"/>
      <c r="BD50" s="272"/>
      <c r="BS50" s="272"/>
    </row>
    <row r="51" spans="1:71" s="3" customFormat="1" ht="17.25" customHeight="1">
      <c r="A51" s="300">
        <f>'ورقة العمل'!A36</f>
        <v>35</v>
      </c>
      <c r="B51" s="289"/>
      <c r="C51" s="290" t="str">
        <f>'ورقة العمل'!B36</f>
        <v>سييييييييفففففففففففف</v>
      </c>
      <c r="D51" s="290" t="str">
        <f>'ورقة العمل'!C36</f>
        <v xml:space="preserve"> متصرف</v>
      </c>
      <c r="E51" s="945">
        <f>'ورقة العمل'!E36</f>
        <v>0</v>
      </c>
      <c r="F51" s="946">
        <f t="shared" si="0"/>
        <v>0</v>
      </c>
      <c r="G51" s="158" t="str">
        <f>'ورقة العمل'!D36</f>
        <v>الحساب الجاري البريدي</v>
      </c>
      <c r="H51" s="291"/>
      <c r="I51" s="311"/>
      <c r="J51" s="311"/>
      <c r="K51" s="311"/>
      <c r="L51" s="312"/>
      <c r="M51" s="311"/>
      <c r="N51" s="311"/>
      <c r="O51" s="311"/>
      <c r="AM51" s="272"/>
      <c r="AP51" s="273"/>
      <c r="BB51" s="52"/>
      <c r="BD51" s="272"/>
      <c r="BS51" s="272"/>
    </row>
    <row r="52" spans="1:71" s="3" customFormat="1" ht="17.25" customHeight="1">
      <c r="A52" s="300">
        <f>'ورقة العمل'!A37</f>
        <v>36</v>
      </c>
      <c r="B52" s="289"/>
      <c r="C52" s="290" t="str">
        <f>'ورقة العمل'!B37</f>
        <v>ليسليسليسليسللللللل</v>
      </c>
      <c r="D52" s="290" t="str">
        <f>'ورقة العمل'!C37</f>
        <v xml:space="preserve"> متصرف</v>
      </c>
      <c r="E52" s="945">
        <f>'ورقة العمل'!E37</f>
        <v>0</v>
      </c>
      <c r="F52" s="946">
        <f t="shared" si="0"/>
        <v>0</v>
      </c>
      <c r="G52" s="158" t="str">
        <f>'ورقة العمل'!D37</f>
        <v>الحساب الجاري البريدي</v>
      </c>
      <c r="H52" s="291"/>
      <c r="I52" s="311"/>
      <c r="J52" s="311"/>
      <c r="K52" s="311"/>
      <c r="L52" s="312"/>
      <c r="M52" s="311"/>
      <c r="N52" s="311"/>
      <c r="O52" s="311"/>
      <c r="AM52" s="272"/>
      <c r="AP52" s="273"/>
      <c r="BB52" s="52"/>
      <c r="BD52" s="272"/>
      <c r="BS52" s="272"/>
    </row>
    <row r="53" spans="1:71" s="3" customFormat="1" ht="17.25" customHeight="1">
      <c r="A53" s="300">
        <f>'ورقة العمل'!A38</f>
        <v>37</v>
      </c>
      <c r="B53" s="289"/>
      <c r="C53" s="290" t="str">
        <f>'ورقة العمل'!B38</f>
        <v>شللبيسلبيشلررءرءؤرؤءر</v>
      </c>
      <c r="D53" s="290" t="str">
        <f>'ورقة العمل'!C38</f>
        <v xml:space="preserve"> وثائقي أمين محفوظات رئيسي</v>
      </c>
      <c r="E53" s="945">
        <f>'ورقة العمل'!E38</f>
        <v>5000</v>
      </c>
      <c r="F53" s="946">
        <f t="shared" si="0"/>
        <v>1</v>
      </c>
      <c r="G53" s="158" t="str">
        <f>'ورقة العمل'!D38</f>
        <v>الخزينة الولائية</v>
      </c>
      <c r="H53" s="291"/>
      <c r="I53" s="311"/>
      <c r="J53" s="311"/>
      <c r="K53" s="311"/>
      <c r="L53" s="312"/>
      <c r="M53" s="311"/>
      <c r="N53" s="311"/>
      <c r="O53" s="311"/>
      <c r="AM53" s="272"/>
      <c r="AP53" s="273"/>
      <c r="BB53" s="52"/>
      <c r="BD53" s="272"/>
      <c r="BS53" s="272"/>
    </row>
    <row r="54" spans="1:71" s="3" customFormat="1" ht="17.25" customHeight="1">
      <c r="A54" s="300">
        <f>'ورقة العمل'!A39</f>
        <v>38</v>
      </c>
      <c r="B54" s="289"/>
      <c r="C54" s="290" t="str">
        <f>'ورقة العمل'!B39</f>
        <v>رسيبرشبيسبصثقصقثصقض</v>
      </c>
      <c r="D54" s="290" t="str">
        <f>'ورقة العمل'!C39</f>
        <v xml:space="preserve"> مساعد مهندس مستوى 1 في إ الآلي</v>
      </c>
      <c r="E54" s="945">
        <f>'ورقة العمل'!E39</f>
        <v>0</v>
      </c>
      <c r="F54" s="946">
        <f t="shared" si="0"/>
        <v>0</v>
      </c>
      <c r="G54" s="158" t="str">
        <f>'ورقة العمل'!D39</f>
        <v>الخزينة الولائية</v>
      </c>
      <c r="H54" s="291"/>
      <c r="I54" s="311"/>
      <c r="J54" s="311"/>
      <c r="K54" s="311"/>
      <c r="L54" s="312"/>
      <c r="M54" s="311"/>
      <c r="N54" s="311"/>
      <c r="O54" s="311"/>
      <c r="AM54" s="272"/>
      <c r="AP54" s="273"/>
      <c r="BB54" s="52"/>
      <c r="BD54" s="272"/>
      <c r="BS54" s="272"/>
    </row>
    <row r="55" spans="1:71" s="3" customFormat="1" ht="17.25" customHeight="1">
      <c r="A55" s="300">
        <f>'ورقة العمل'!A40</f>
        <v>39</v>
      </c>
      <c r="B55" s="289"/>
      <c r="C55" s="290" t="str">
        <f>'ورقة العمل'!B40</f>
        <v>بيسلبيليبسلصثقثصقثصقصث</v>
      </c>
      <c r="D55" s="290" t="str">
        <f>'ورقة العمل'!C40</f>
        <v xml:space="preserve"> مساعد مهندس مستوى 1 في إ الآلي</v>
      </c>
      <c r="E55" s="945">
        <f>'ورقة العمل'!E40</f>
        <v>5000</v>
      </c>
      <c r="F55" s="946">
        <f t="shared" si="0"/>
        <v>1</v>
      </c>
      <c r="G55" s="158" t="str">
        <f>'ورقة العمل'!D40</f>
        <v>الحساب الجاري البريدي</v>
      </c>
      <c r="H55" s="291"/>
      <c r="I55" s="311"/>
      <c r="J55" s="311"/>
      <c r="K55" s="311"/>
      <c r="L55" s="312"/>
      <c r="M55" s="311"/>
      <c r="N55" s="311"/>
      <c r="O55" s="311"/>
      <c r="AM55" s="272"/>
      <c r="AP55" s="273"/>
      <c r="BB55" s="52"/>
      <c r="BD55" s="272"/>
      <c r="BS55" s="272"/>
    </row>
    <row r="56" spans="1:71" s="3" customFormat="1" ht="17.25" customHeight="1">
      <c r="A56" s="300">
        <f>'ورقة العمل'!A41</f>
        <v>40</v>
      </c>
      <c r="B56" s="289"/>
      <c r="C56" s="290" t="str">
        <f>'ورقة العمل'!B41</f>
        <v>لللللللللللللللللللللل</v>
      </c>
      <c r="D56" s="290" t="str">
        <f>'ورقة العمل'!C41</f>
        <v xml:space="preserve"> تقني سامي في إ الآلي</v>
      </c>
      <c r="E56" s="945">
        <f>'ورقة العمل'!E41</f>
        <v>5000</v>
      </c>
      <c r="F56" s="946">
        <f t="shared" si="0"/>
        <v>1</v>
      </c>
      <c r="G56" s="158" t="str">
        <f>'ورقة العمل'!D41</f>
        <v>الحساب الجاري البريدي</v>
      </c>
      <c r="H56" s="291"/>
      <c r="I56" s="311"/>
      <c r="J56" s="311"/>
      <c r="K56" s="311"/>
      <c r="L56" s="312"/>
      <c r="M56" s="311"/>
      <c r="N56" s="311"/>
      <c r="O56" s="311"/>
      <c r="AM56" s="272"/>
      <c r="AP56" s="273"/>
      <c r="BB56" s="52"/>
      <c r="BD56" s="272"/>
      <c r="BS56" s="272"/>
    </row>
    <row r="57" spans="1:71" s="3" customFormat="1" ht="17.25" customHeight="1">
      <c r="A57" s="300">
        <f>'ورقة العمل'!A42</f>
        <v>41</v>
      </c>
      <c r="B57" s="289"/>
      <c r="C57" s="290" t="str">
        <f>'ورقة العمل'!B42</f>
        <v>فففففففففففففففففففف</v>
      </c>
      <c r="D57" s="290" t="str">
        <f>'ورقة العمل'!C42</f>
        <v xml:space="preserve"> تقني سامي في إ الآلي</v>
      </c>
      <c r="E57" s="945">
        <f>'ورقة العمل'!E42</f>
        <v>5000</v>
      </c>
      <c r="F57" s="946">
        <f t="shared" si="0"/>
        <v>1</v>
      </c>
      <c r="G57" s="158" t="str">
        <f>'ورقة العمل'!D42</f>
        <v>الحساب الجاري البريدي</v>
      </c>
      <c r="H57" s="291"/>
      <c r="I57" s="311"/>
      <c r="J57" s="311"/>
      <c r="K57" s="311"/>
      <c r="L57" s="312"/>
      <c r="M57" s="311"/>
      <c r="N57" s="311"/>
      <c r="O57" s="311"/>
      <c r="AM57" s="272"/>
      <c r="AP57" s="273"/>
      <c r="BB57" s="52"/>
      <c r="BD57" s="272"/>
      <c r="BS57" s="272"/>
    </row>
    <row r="58" spans="1:71" s="3" customFormat="1" ht="17.25" customHeight="1">
      <c r="A58" s="300">
        <f>'ورقة العمل'!A43</f>
        <v>42</v>
      </c>
      <c r="B58" s="289"/>
      <c r="C58" s="290" t="str">
        <f>'ورقة العمل'!B43</f>
        <v>يسلللللللسيييييييي</v>
      </c>
      <c r="D58" s="290" t="str">
        <f>'ورقة العمل'!C43</f>
        <v xml:space="preserve"> تقني سامي في إ الآلي</v>
      </c>
      <c r="E58" s="945">
        <f>'ورقة العمل'!E43</f>
        <v>0</v>
      </c>
      <c r="F58" s="946">
        <f t="shared" si="0"/>
        <v>0</v>
      </c>
      <c r="G58" s="158" t="str">
        <f>'ورقة العمل'!D43</f>
        <v>الحساب الجاري البريدي</v>
      </c>
      <c r="H58" s="291"/>
      <c r="I58" s="311"/>
      <c r="J58" s="311"/>
      <c r="K58" s="311"/>
      <c r="L58" s="312"/>
      <c r="M58" s="311"/>
      <c r="N58" s="311"/>
      <c r="O58" s="311"/>
      <c r="AM58" s="272"/>
      <c r="AP58" s="273"/>
      <c r="BB58" s="52"/>
      <c r="BD58" s="272"/>
      <c r="BS58" s="272"/>
    </row>
    <row r="59" spans="1:71" s="3" customFormat="1" ht="17.25" customHeight="1">
      <c r="A59" s="300">
        <f>'ورقة العمل'!A44</f>
        <v>43</v>
      </c>
      <c r="B59" s="289"/>
      <c r="C59" s="290" t="str">
        <f>'ورقة العمل'!B44</f>
        <v>ررءرءؤرؤءرلللللللللللللل</v>
      </c>
      <c r="D59" s="290" t="str">
        <f>'ورقة العمل'!C44</f>
        <v xml:space="preserve"> ملحق رئيسي للإدارة</v>
      </c>
      <c r="E59" s="945">
        <f>'ورقة العمل'!E44</f>
        <v>5000</v>
      </c>
      <c r="F59" s="946">
        <f t="shared" si="0"/>
        <v>1</v>
      </c>
      <c r="G59" s="158" t="str">
        <f>'ورقة العمل'!D44</f>
        <v>بنك التنمية المحلية</v>
      </c>
      <c r="H59" s="291"/>
      <c r="I59" s="311"/>
      <c r="J59" s="311"/>
      <c r="K59" s="311"/>
      <c r="L59" s="312"/>
      <c r="M59" s="311"/>
      <c r="N59" s="311"/>
      <c r="O59" s="311"/>
      <c r="AM59" s="272"/>
      <c r="AP59" s="273"/>
      <c r="BB59" s="52"/>
      <c r="BD59" s="272"/>
      <c r="BS59" s="272"/>
    </row>
    <row r="60" spans="1:71" s="3" customFormat="1" ht="17.25" customHeight="1">
      <c r="A60" s="300">
        <f>'ورقة العمل'!A45</f>
        <v>44</v>
      </c>
      <c r="B60" s="289"/>
      <c r="C60" s="290" t="str">
        <f>'ورقة العمل'!B45</f>
        <v>صثقصقثصقضفففففففففففف</v>
      </c>
      <c r="D60" s="290" t="str">
        <f>'ورقة العمل'!C45</f>
        <v xml:space="preserve"> مفتش</v>
      </c>
      <c r="E60" s="945">
        <f>'ورقة العمل'!E45</f>
        <v>0</v>
      </c>
      <c r="F60" s="946">
        <f t="shared" si="0"/>
        <v>0</v>
      </c>
      <c r="G60" s="158" t="str">
        <f>'ورقة العمل'!D45</f>
        <v>الحساب الجاري البريدي</v>
      </c>
      <c r="H60" s="291"/>
      <c r="I60" s="311"/>
      <c r="J60" s="311"/>
      <c r="K60" s="311"/>
      <c r="L60" s="312"/>
      <c r="M60" s="311"/>
      <c r="N60" s="311"/>
      <c r="O60" s="311"/>
      <c r="AM60" s="272"/>
      <c r="AP60" s="273"/>
      <c r="BB60" s="52"/>
      <c r="BD60" s="272"/>
      <c r="BS60" s="272"/>
    </row>
    <row r="61" spans="1:71" s="3" customFormat="1" ht="17.25" customHeight="1">
      <c r="A61" s="300">
        <f>'ورقة العمل'!A46</f>
        <v>45</v>
      </c>
      <c r="B61" s="289"/>
      <c r="C61" s="290" t="str">
        <f>'ورقة العمل'!B46</f>
        <v>صثقثصقثصقصثيسللللللل</v>
      </c>
      <c r="D61" s="290" t="str">
        <f>'ورقة العمل'!C46</f>
        <v xml:space="preserve"> مفتش</v>
      </c>
      <c r="E61" s="945">
        <f>'ورقة العمل'!E46</f>
        <v>0</v>
      </c>
      <c r="F61" s="946">
        <f t="shared" si="0"/>
        <v>0</v>
      </c>
      <c r="G61" s="158" t="str">
        <f>'ورقة العمل'!D46</f>
        <v>الحساب الجاري البريدي</v>
      </c>
      <c r="H61" s="291"/>
      <c r="I61" s="311"/>
      <c r="J61" s="311"/>
      <c r="K61" s="311"/>
      <c r="L61" s="312"/>
      <c r="M61" s="311"/>
      <c r="N61" s="311"/>
      <c r="O61" s="311"/>
      <c r="AM61" s="272"/>
      <c r="AP61" s="273"/>
      <c r="BB61" s="52"/>
      <c r="BD61" s="272"/>
      <c r="BS61" s="272"/>
    </row>
    <row r="62" spans="1:71" s="3" customFormat="1" ht="17.25" customHeight="1">
      <c r="A62" s="300">
        <f>'ورقة العمل'!A47</f>
        <v>46</v>
      </c>
      <c r="B62" s="289"/>
      <c r="C62" s="290" t="str">
        <f>'ورقة العمل'!B47</f>
        <v>للللللللررءرءؤرؤءر</v>
      </c>
      <c r="D62" s="290" t="str">
        <f>'ورقة العمل'!C47</f>
        <v xml:space="preserve"> مفتش</v>
      </c>
      <c r="E62" s="945">
        <f>'ورقة العمل'!E47</f>
        <v>0</v>
      </c>
      <c r="F62" s="946">
        <f t="shared" si="0"/>
        <v>0</v>
      </c>
      <c r="G62" s="158" t="str">
        <f>'ورقة العمل'!D47</f>
        <v>الحساب الجاري البريدي</v>
      </c>
      <c r="H62" s="291"/>
      <c r="I62" s="311"/>
      <c r="J62" s="311"/>
      <c r="K62" s="311"/>
      <c r="L62" s="312"/>
      <c r="M62" s="311"/>
      <c r="N62" s="311"/>
      <c r="O62" s="311"/>
      <c r="AM62" s="272"/>
      <c r="AP62" s="273"/>
      <c r="BB62" s="52"/>
      <c r="BD62" s="272"/>
      <c r="BS62" s="272"/>
    </row>
    <row r="63" spans="1:71" s="3" customFormat="1" ht="17.25" customHeight="1">
      <c r="A63" s="300">
        <f>'ورقة العمل'!A48</f>
        <v>47</v>
      </c>
      <c r="B63" s="289"/>
      <c r="C63" s="290" t="str">
        <f>'ورقة العمل'!B48</f>
        <v>ففففففففصثقصقثصقض</v>
      </c>
      <c r="D63" s="290" t="str">
        <f>'ورقة العمل'!C48</f>
        <v xml:space="preserve"> ملحق رئيسي للإدارة</v>
      </c>
      <c r="E63" s="945">
        <f>'ورقة العمل'!E48</f>
        <v>5000</v>
      </c>
      <c r="F63" s="946">
        <f t="shared" si="0"/>
        <v>1</v>
      </c>
      <c r="G63" s="158" t="str">
        <f>'ورقة العمل'!D48</f>
        <v>الحساب الجاري البريدي</v>
      </c>
      <c r="H63" s="291"/>
      <c r="I63" s="311"/>
      <c r="J63" s="311"/>
      <c r="K63" s="311"/>
      <c r="L63" s="312"/>
      <c r="M63" s="311"/>
      <c r="N63" s="311"/>
      <c r="O63" s="311"/>
      <c r="AM63" s="272"/>
      <c r="AP63" s="273"/>
      <c r="BB63" s="52"/>
      <c r="BD63" s="272"/>
      <c r="BS63" s="272"/>
    </row>
    <row r="64" spans="1:71" s="3" customFormat="1" ht="17.25" customHeight="1">
      <c r="A64" s="300">
        <f>'ورقة العمل'!A49</f>
        <v>48</v>
      </c>
      <c r="B64" s="289"/>
      <c r="C64" s="290" t="str">
        <f>'ورقة العمل'!B49</f>
        <v>سييييييييصثقثصقثصقصث</v>
      </c>
      <c r="D64" s="290" t="str">
        <f>'ورقة العمل'!C49</f>
        <v xml:space="preserve"> ملحق رئيسي للإدارة</v>
      </c>
      <c r="E64" s="945">
        <f>'ورقة العمل'!E49</f>
        <v>5000</v>
      </c>
      <c r="F64" s="946">
        <f t="shared" si="0"/>
        <v>1</v>
      </c>
      <c r="G64" s="158" t="str">
        <f>'ورقة العمل'!D49</f>
        <v>الحساب الجاري البريدي</v>
      </c>
      <c r="H64" s="291"/>
      <c r="I64" s="311"/>
      <c r="J64" s="311"/>
      <c r="K64" s="311"/>
      <c r="L64" s="312"/>
      <c r="M64" s="311"/>
      <c r="N64" s="311"/>
      <c r="O64" s="311"/>
      <c r="AM64" s="272"/>
      <c r="AP64" s="273"/>
      <c r="BB64" s="52"/>
      <c r="BD64" s="272"/>
      <c r="BS64" s="272"/>
    </row>
    <row r="65" spans="1:71" s="3" customFormat="1" ht="17.25" customHeight="1">
      <c r="A65" s="300">
        <f>'ورقة العمل'!A50</f>
        <v>49</v>
      </c>
      <c r="B65" s="289"/>
      <c r="C65" s="290" t="str">
        <f>'ورقة العمل'!B50</f>
        <v>ليسليسليسللللللللل</v>
      </c>
      <c r="D65" s="290" t="str">
        <f>'ورقة العمل'!C50</f>
        <v>رئيس حضيرة (سائق سيارة من الصنف الأول)</v>
      </c>
      <c r="E65" s="945">
        <f>'ورقة العمل'!E50</f>
        <v>5000</v>
      </c>
      <c r="F65" s="946">
        <f t="shared" si="0"/>
        <v>1</v>
      </c>
      <c r="G65" s="158" t="str">
        <f>'ورقة العمل'!D50</f>
        <v>الحساب الجاري البريدي</v>
      </c>
      <c r="H65" s="291"/>
      <c r="I65" s="311"/>
      <c r="J65" s="311"/>
      <c r="K65" s="311"/>
      <c r="L65" s="312"/>
      <c r="M65" s="311"/>
      <c r="N65" s="311"/>
      <c r="O65" s="311"/>
      <c r="AM65" s="272"/>
      <c r="AP65" s="273"/>
      <c r="BB65" s="52"/>
      <c r="BD65" s="272"/>
      <c r="BS65" s="272"/>
    </row>
    <row r="66" spans="1:71" s="3" customFormat="1" ht="17.25" customHeight="1">
      <c r="A66" s="300">
        <f>'ورقة العمل'!A51</f>
        <v>50</v>
      </c>
      <c r="B66" s="289"/>
      <c r="C66" s="290" t="str">
        <f>'ورقة العمل'!B51</f>
        <v/>
      </c>
      <c r="D66" s="290" t="e">
        <f>'ورقة العمل'!C51</f>
        <v>#N/A</v>
      </c>
      <c r="E66" s="945">
        <f>'ورقة العمل'!E51</f>
        <v>0</v>
      </c>
      <c r="F66" s="946">
        <f t="shared" si="0"/>
        <v>0</v>
      </c>
      <c r="G66" s="158">
        <f>'ورقة العمل'!D51</f>
        <v>0</v>
      </c>
      <c r="H66" s="291"/>
      <c r="I66" s="311"/>
      <c r="J66" s="311"/>
      <c r="K66" s="311"/>
      <c r="L66" s="312"/>
      <c r="M66" s="311"/>
      <c r="N66" s="311"/>
      <c r="O66" s="311"/>
      <c r="AM66" s="272"/>
      <c r="AP66" s="273"/>
      <c r="BB66" s="52"/>
      <c r="BD66" s="272"/>
      <c r="BS66" s="272"/>
    </row>
    <row r="67" spans="1:71" s="3" customFormat="1" ht="17.25" customHeight="1">
      <c r="A67" s="300">
        <f>'ورقة العمل'!A52</f>
        <v>51</v>
      </c>
      <c r="B67" s="289"/>
      <c r="C67" s="290" t="str">
        <f>'ورقة العمل'!B52</f>
        <v/>
      </c>
      <c r="D67" s="290" t="e">
        <f>'ورقة العمل'!C52</f>
        <v>#N/A</v>
      </c>
      <c r="E67" s="945">
        <f>'ورقة العمل'!E52</f>
        <v>0</v>
      </c>
      <c r="F67" s="946">
        <f t="shared" si="0"/>
        <v>0</v>
      </c>
      <c r="G67" s="158">
        <f>'ورقة العمل'!D52</f>
        <v>0</v>
      </c>
      <c r="H67" s="291"/>
      <c r="I67" s="311"/>
      <c r="J67" s="311"/>
      <c r="K67" s="311"/>
      <c r="L67" s="312"/>
      <c r="M67" s="311"/>
      <c r="N67" s="311"/>
      <c r="O67" s="311"/>
      <c r="AM67" s="272"/>
      <c r="AP67" s="273"/>
      <c r="BB67" s="52"/>
      <c r="BD67" s="272"/>
      <c r="BS67" s="272"/>
    </row>
    <row r="68" spans="1:71" s="3" customFormat="1" ht="17.25" customHeight="1">
      <c r="A68" s="300">
        <f>'ورقة العمل'!A53</f>
        <v>52</v>
      </c>
      <c r="B68" s="289"/>
      <c r="C68" s="290" t="str">
        <f>'ورقة العمل'!B53</f>
        <v/>
      </c>
      <c r="D68" s="290" t="e">
        <f>'ورقة العمل'!C53</f>
        <v>#N/A</v>
      </c>
      <c r="E68" s="945">
        <f>'ورقة العمل'!E53</f>
        <v>0</v>
      </c>
      <c r="F68" s="946">
        <f t="shared" si="0"/>
        <v>0</v>
      </c>
      <c r="G68" s="158">
        <f>'ورقة العمل'!D53</f>
        <v>0</v>
      </c>
      <c r="H68" s="291"/>
      <c r="I68" s="311"/>
      <c r="J68" s="311"/>
      <c r="K68" s="311"/>
      <c r="L68" s="312"/>
      <c r="M68" s="311"/>
      <c r="N68" s="311"/>
      <c r="O68" s="311"/>
      <c r="AM68" s="272"/>
      <c r="AP68" s="273"/>
      <c r="BB68" s="52"/>
      <c r="BD68" s="272"/>
      <c r="BS68" s="272"/>
    </row>
    <row r="69" spans="1:71" s="3" customFormat="1" ht="17.25" customHeight="1">
      <c r="A69" s="300">
        <f>'ورقة العمل'!A54</f>
        <v>53</v>
      </c>
      <c r="B69" s="289"/>
      <c r="C69" s="290" t="str">
        <f>'ورقة العمل'!B54</f>
        <v/>
      </c>
      <c r="D69" s="290" t="e">
        <f>'ورقة العمل'!C54</f>
        <v>#N/A</v>
      </c>
      <c r="E69" s="945">
        <f>'ورقة العمل'!E54</f>
        <v>0</v>
      </c>
      <c r="F69" s="946">
        <f t="shared" si="0"/>
        <v>0</v>
      </c>
      <c r="G69" s="158">
        <f>'ورقة العمل'!D54</f>
        <v>0</v>
      </c>
      <c r="H69" s="291"/>
      <c r="I69" s="311"/>
      <c r="J69" s="311"/>
      <c r="K69" s="311"/>
      <c r="L69" s="312"/>
      <c r="M69" s="311"/>
      <c r="N69" s="311"/>
      <c r="O69" s="311"/>
      <c r="AM69" s="272"/>
      <c r="AP69" s="273"/>
      <c r="BB69" s="52"/>
      <c r="BD69" s="272"/>
      <c r="BS69" s="272"/>
    </row>
    <row r="70" spans="1:71" s="3" customFormat="1" ht="17.25" customHeight="1">
      <c r="A70" s="300">
        <f>'ورقة العمل'!A55</f>
        <v>54</v>
      </c>
      <c r="B70" s="289"/>
      <c r="C70" s="290" t="str">
        <f>'ورقة العمل'!B55</f>
        <v/>
      </c>
      <c r="D70" s="290" t="e">
        <f>'ورقة العمل'!C55</f>
        <v>#N/A</v>
      </c>
      <c r="E70" s="945">
        <f>'ورقة العمل'!E55</f>
        <v>0</v>
      </c>
      <c r="F70" s="946">
        <f t="shared" si="0"/>
        <v>0</v>
      </c>
      <c r="G70" s="158">
        <f>'ورقة العمل'!D55</f>
        <v>0</v>
      </c>
      <c r="H70" s="291"/>
      <c r="I70" s="311"/>
      <c r="J70" s="311"/>
      <c r="K70" s="311"/>
      <c r="L70" s="312"/>
      <c r="M70" s="311"/>
      <c r="N70" s="311"/>
      <c r="O70" s="311"/>
      <c r="AM70" s="272"/>
      <c r="AP70" s="273"/>
      <c r="BB70" s="52"/>
      <c r="BD70" s="272"/>
      <c r="BS70" s="272"/>
    </row>
    <row r="71" spans="1:71" s="3" customFormat="1" ht="17.25" customHeight="1">
      <c r="A71" s="300">
        <f>'ورقة العمل'!A56</f>
        <v>55</v>
      </c>
      <c r="B71" s="289"/>
      <c r="C71" s="290" t="str">
        <f>'ورقة العمل'!B56</f>
        <v/>
      </c>
      <c r="D71" s="290" t="e">
        <f>'ورقة العمل'!C56</f>
        <v>#N/A</v>
      </c>
      <c r="E71" s="945">
        <f>'ورقة العمل'!E56</f>
        <v>0</v>
      </c>
      <c r="F71" s="946">
        <f t="shared" si="0"/>
        <v>0</v>
      </c>
      <c r="G71" s="158">
        <f>'ورقة العمل'!D56</f>
        <v>0</v>
      </c>
      <c r="H71" s="291"/>
      <c r="I71" s="311"/>
      <c r="J71" s="311"/>
      <c r="K71" s="311"/>
      <c r="L71" s="312"/>
      <c r="M71" s="311"/>
      <c r="N71" s="311"/>
      <c r="O71" s="311"/>
      <c r="AM71" s="272"/>
      <c r="AP71" s="273"/>
      <c r="BB71" s="52"/>
      <c r="BD71" s="272"/>
      <c r="BS71" s="272"/>
    </row>
    <row r="72" spans="1:71" s="3" customFormat="1" ht="17.25" customHeight="1">
      <c r="A72" s="300">
        <f>'ورقة العمل'!A57</f>
        <v>56</v>
      </c>
      <c r="B72" s="289"/>
      <c r="C72" s="290" t="str">
        <f>'ورقة العمل'!B57</f>
        <v/>
      </c>
      <c r="D72" s="290" t="e">
        <f>'ورقة العمل'!C57</f>
        <v>#N/A</v>
      </c>
      <c r="E72" s="945">
        <f>'ورقة العمل'!E57</f>
        <v>0</v>
      </c>
      <c r="F72" s="946">
        <f t="shared" si="0"/>
        <v>0</v>
      </c>
      <c r="G72" s="158">
        <f>'ورقة العمل'!D57</f>
        <v>0</v>
      </c>
      <c r="H72" s="291"/>
      <c r="I72" s="311"/>
      <c r="J72" s="311"/>
      <c r="K72" s="311"/>
      <c r="L72" s="312"/>
      <c r="M72" s="311"/>
      <c r="N72" s="311"/>
      <c r="O72" s="311"/>
      <c r="AM72" s="272"/>
      <c r="AP72" s="273"/>
      <c r="BB72" s="52"/>
      <c r="BD72" s="272"/>
      <c r="BS72" s="272"/>
    </row>
    <row r="73" spans="1:71" s="3" customFormat="1" ht="17.25" customHeight="1">
      <c r="A73" s="300">
        <f>'ورقة العمل'!A58</f>
        <v>57</v>
      </c>
      <c r="B73" s="289"/>
      <c r="C73" s="290" t="str">
        <f>'ورقة العمل'!B58</f>
        <v/>
      </c>
      <c r="D73" s="290" t="e">
        <f>'ورقة العمل'!C58</f>
        <v>#N/A</v>
      </c>
      <c r="E73" s="945">
        <f>'ورقة العمل'!E58</f>
        <v>0</v>
      </c>
      <c r="F73" s="946">
        <f t="shared" si="0"/>
        <v>0</v>
      </c>
      <c r="G73" s="158">
        <f>'ورقة العمل'!D58</f>
        <v>0</v>
      </c>
      <c r="H73" s="291"/>
      <c r="I73" s="311"/>
      <c r="J73" s="311"/>
      <c r="K73" s="311"/>
      <c r="L73" s="312"/>
      <c r="M73" s="311"/>
      <c r="N73" s="311"/>
      <c r="O73" s="311"/>
      <c r="AM73" s="272"/>
      <c r="AP73" s="273"/>
      <c r="BB73" s="52"/>
      <c r="BD73" s="272"/>
      <c r="BS73" s="272"/>
    </row>
    <row r="74" spans="1:71" s="3" customFormat="1" ht="17.25" customHeight="1">
      <c r="A74" s="300">
        <f>'ورقة العمل'!A59</f>
        <v>58</v>
      </c>
      <c r="B74" s="289"/>
      <c r="C74" s="290" t="str">
        <f>'ورقة العمل'!B59</f>
        <v/>
      </c>
      <c r="D74" s="290" t="e">
        <f>'ورقة العمل'!C59</f>
        <v>#N/A</v>
      </c>
      <c r="E74" s="945">
        <f>'ورقة العمل'!E59</f>
        <v>0</v>
      </c>
      <c r="F74" s="946">
        <f t="shared" si="0"/>
        <v>0</v>
      </c>
      <c r="G74" s="158">
        <f>'ورقة العمل'!D59</f>
        <v>0</v>
      </c>
      <c r="H74" s="291"/>
      <c r="I74" s="311"/>
      <c r="J74" s="311"/>
      <c r="K74" s="311"/>
      <c r="L74" s="312"/>
      <c r="M74" s="311"/>
      <c r="N74" s="311"/>
      <c r="O74" s="311"/>
      <c r="AM74" s="272"/>
      <c r="AP74" s="273"/>
      <c r="BB74" s="52"/>
      <c r="BD74" s="272"/>
      <c r="BS74" s="272"/>
    </row>
    <row r="75" spans="1:71" s="3" customFormat="1" ht="17.25" customHeight="1">
      <c r="A75" s="300">
        <f>'ورقة العمل'!A60</f>
        <v>59</v>
      </c>
      <c r="B75" s="289"/>
      <c r="C75" s="290" t="str">
        <f>'ورقة العمل'!B60</f>
        <v/>
      </c>
      <c r="D75" s="290" t="e">
        <f>'ورقة العمل'!C60</f>
        <v>#N/A</v>
      </c>
      <c r="E75" s="945">
        <f>'ورقة العمل'!E60</f>
        <v>0</v>
      </c>
      <c r="F75" s="946">
        <f t="shared" si="0"/>
        <v>0</v>
      </c>
      <c r="G75" s="158">
        <f>'ورقة العمل'!D60</f>
        <v>0</v>
      </c>
      <c r="H75" s="291"/>
      <c r="I75" s="311"/>
      <c r="J75" s="311"/>
      <c r="K75" s="311"/>
      <c r="L75" s="312"/>
      <c r="M75" s="311"/>
      <c r="N75" s="311"/>
      <c r="O75" s="311"/>
      <c r="AM75" s="272"/>
      <c r="AP75" s="273"/>
      <c r="BB75" s="52"/>
      <c r="BD75" s="272"/>
      <c r="BS75" s="272"/>
    </row>
    <row r="76" spans="1:71" s="3" customFormat="1" ht="17.25" customHeight="1">
      <c r="A76" s="300">
        <f>'ورقة العمل'!A61</f>
        <v>60</v>
      </c>
      <c r="B76" s="289"/>
      <c r="C76" s="290" t="str">
        <f>'ورقة العمل'!B61</f>
        <v/>
      </c>
      <c r="D76" s="290" t="e">
        <f>'ورقة العمل'!C61</f>
        <v>#N/A</v>
      </c>
      <c r="E76" s="945">
        <f>'ورقة العمل'!E61</f>
        <v>0</v>
      </c>
      <c r="F76" s="946">
        <f t="shared" si="0"/>
        <v>0</v>
      </c>
      <c r="G76" s="158">
        <f>'ورقة العمل'!D61</f>
        <v>0</v>
      </c>
      <c r="H76" s="291"/>
      <c r="I76" s="311"/>
      <c r="J76" s="311"/>
      <c r="K76" s="311"/>
      <c r="L76" s="312"/>
      <c r="M76" s="311"/>
      <c r="N76" s="311"/>
      <c r="O76" s="311"/>
      <c r="AM76" s="272"/>
      <c r="AP76" s="273"/>
      <c r="BB76" s="52"/>
      <c r="BD76" s="272"/>
      <c r="BS76" s="272"/>
    </row>
    <row r="77" spans="1:71" s="3" customFormat="1" ht="17.25" customHeight="1">
      <c r="A77" s="300">
        <f>'ورقة العمل'!A62</f>
        <v>61</v>
      </c>
      <c r="B77" s="289"/>
      <c r="C77" s="290" t="str">
        <f>'ورقة العمل'!B62</f>
        <v/>
      </c>
      <c r="D77" s="290" t="e">
        <f>'ورقة العمل'!C62</f>
        <v>#N/A</v>
      </c>
      <c r="E77" s="945">
        <f>'ورقة العمل'!E62</f>
        <v>0</v>
      </c>
      <c r="F77" s="946">
        <f t="shared" si="0"/>
        <v>0</v>
      </c>
      <c r="G77" s="158">
        <f>'ورقة العمل'!D62</f>
        <v>0</v>
      </c>
      <c r="H77" s="291"/>
      <c r="I77" s="311"/>
      <c r="J77" s="311"/>
      <c r="K77" s="311"/>
      <c r="L77" s="312"/>
      <c r="M77" s="311"/>
      <c r="N77" s="311"/>
      <c r="O77" s="311"/>
      <c r="AM77" s="272"/>
      <c r="AP77" s="273"/>
      <c r="BB77" s="52"/>
      <c r="BD77" s="272"/>
      <c r="BS77" s="272"/>
    </row>
    <row r="78" spans="1:71" s="3" customFormat="1" ht="17.25" customHeight="1">
      <c r="A78" s="300">
        <f>'ورقة العمل'!A63</f>
        <v>62</v>
      </c>
      <c r="B78" s="289"/>
      <c r="C78" s="290" t="str">
        <f>'ورقة العمل'!B63</f>
        <v/>
      </c>
      <c r="D78" s="290" t="e">
        <f>'ورقة العمل'!C63</f>
        <v>#N/A</v>
      </c>
      <c r="E78" s="945">
        <f>'ورقة العمل'!E63</f>
        <v>0</v>
      </c>
      <c r="F78" s="946">
        <f t="shared" si="0"/>
        <v>0</v>
      </c>
      <c r="G78" s="158">
        <f>'ورقة العمل'!D63</f>
        <v>0</v>
      </c>
      <c r="H78" s="291"/>
      <c r="I78" s="311"/>
      <c r="J78" s="311"/>
      <c r="K78" s="311"/>
      <c r="L78" s="312"/>
      <c r="M78" s="311"/>
      <c r="N78" s="311"/>
      <c r="O78" s="311"/>
      <c r="AM78" s="272"/>
      <c r="AP78" s="273"/>
      <c r="BB78" s="52"/>
      <c r="BD78" s="272"/>
      <c r="BS78" s="272"/>
    </row>
    <row r="79" spans="1:71" s="3" customFormat="1" ht="17.25" customHeight="1">
      <c r="A79" s="300">
        <f>'ورقة العمل'!A64</f>
        <v>63</v>
      </c>
      <c r="B79" s="289"/>
      <c r="C79" s="290" t="str">
        <f>'ورقة العمل'!B64</f>
        <v/>
      </c>
      <c r="D79" s="290" t="e">
        <f>'ورقة العمل'!C64</f>
        <v>#N/A</v>
      </c>
      <c r="E79" s="945">
        <f>'ورقة العمل'!E64</f>
        <v>0</v>
      </c>
      <c r="F79" s="946">
        <f t="shared" si="0"/>
        <v>0</v>
      </c>
      <c r="G79" s="158">
        <f>'ورقة العمل'!D64</f>
        <v>0</v>
      </c>
      <c r="H79" s="291"/>
      <c r="I79" s="311"/>
      <c r="J79" s="311"/>
      <c r="K79" s="311"/>
      <c r="L79" s="312"/>
      <c r="M79" s="311"/>
      <c r="N79" s="311"/>
      <c r="O79" s="311"/>
      <c r="AM79" s="272"/>
      <c r="AP79" s="273"/>
      <c r="BB79" s="52"/>
      <c r="BD79" s="272"/>
      <c r="BS79" s="272"/>
    </row>
    <row r="80" spans="1:71" s="3" customFormat="1" ht="17.25" customHeight="1">
      <c r="A80" s="300">
        <f>'ورقة العمل'!A65</f>
        <v>64</v>
      </c>
      <c r="B80" s="289"/>
      <c r="C80" s="290" t="str">
        <f>'ورقة العمل'!B65</f>
        <v/>
      </c>
      <c r="D80" s="290" t="e">
        <f>'ورقة العمل'!C65</f>
        <v>#N/A</v>
      </c>
      <c r="E80" s="945">
        <f>'ورقة العمل'!E65</f>
        <v>0</v>
      </c>
      <c r="F80" s="946">
        <f t="shared" si="0"/>
        <v>0</v>
      </c>
      <c r="G80" s="158">
        <f>'ورقة العمل'!D65</f>
        <v>0</v>
      </c>
      <c r="H80" s="291"/>
      <c r="I80" s="311"/>
      <c r="J80" s="311"/>
      <c r="K80" s="311"/>
      <c r="L80" s="312"/>
      <c r="M80" s="311"/>
      <c r="N80" s="311"/>
      <c r="O80" s="311"/>
      <c r="AM80" s="272"/>
      <c r="AP80" s="273"/>
      <c r="BB80" s="52"/>
      <c r="BD80" s="272"/>
      <c r="BS80" s="272"/>
    </row>
    <row r="81" spans="1:71" s="3" customFormat="1" ht="17.25" customHeight="1">
      <c r="A81" s="300">
        <f>'ورقة العمل'!A66</f>
        <v>65</v>
      </c>
      <c r="B81" s="289"/>
      <c r="C81" s="290" t="str">
        <f>'ورقة العمل'!B66</f>
        <v/>
      </c>
      <c r="D81" s="290" t="e">
        <f>'ورقة العمل'!C66</f>
        <v>#N/A</v>
      </c>
      <c r="E81" s="945">
        <f>'ورقة العمل'!E66</f>
        <v>0</v>
      </c>
      <c r="F81" s="946">
        <f t="shared" si="0"/>
        <v>0</v>
      </c>
      <c r="G81" s="158">
        <f>'ورقة العمل'!D66</f>
        <v>0</v>
      </c>
      <c r="H81" s="291"/>
      <c r="I81" s="311"/>
      <c r="J81" s="311"/>
      <c r="K81" s="311"/>
      <c r="L81" s="312"/>
      <c r="M81" s="311"/>
      <c r="N81" s="311"/>
      <c r="O81" s="311"/>
      <c r="AM81" s="272"/>
      <c r="AP81" s="273"/>
      <c r="BB81" s="52"/>
      <c r="BD81" s="272"/>
      <c r="BS81" s="272"/>
    </row>
    <row r="82" spans="1:71" s="3" customFormat="1" ht="17.25" customHeight="1">
      <c r="A82" s="300">
        <f>'ورقة العمل'!A67</f>
        <v>66</v>
      </c>
      <c r="B82" s="289"/>
      <c r="C82" s="290" t="str">
        <f>'ورقة العمل'!B67</f>
        <v/>
      </c>
      <c r="D82" s="290" t="e">
        <f>'ورقة العمل'!C67</f>
        <v>#N/A</v>
      </c>
      <c r="E82" s="945">
        <f>'ورقة العمل'!E67</f>
        <v>0</v>
      </c>
      <c r="F82" s="946">
        <f t="shared" ref="F82:F95" si="1">IF(E82&gt;0,1,0)</f>
        <v>0</v>
      </c>
      <c r="G82" s="158">
        <f>'ورقة العمل'!D67</f>
        <v>0</v>
      </c>
      <c r="H82" s="291"/>
      <c r="I82" s="311"/>
      <c r="J82" s="311"/>
      <c r="K82" s="311"/>
      <c r="L82" s="312"/>
      <c r="M82" s="311"/>
      <c r="N82" s="311"/>
      <c r="O82" s="311"/>
      <c r="AM82" s="272"/>
      <c r="AP82" s="273"/>
      <c r="BB82" s="52"/>
      <c r="BD82" s="272"/>
      <c r="BS82" s="272"/>
    </row>
    <row r="83" spans="1:71" s="3" customFormat="1" ht="17.25" customHeight="1">
      <c r="A83" s="300">
        <f>'ورقة العمل'!A68</f>
        <v>67</v>
      </c>
      <c r="B83" s="289"/>
      <c r="C83" s="290" t="str">
        <f>'ورقة العمل'!B68</f>
        <v/>
      </c>
      <c r="D83" s="290" t="e">
        <f>'ورقة العمل'!C68</f>
        <v>#N/A</v>
      </c>
      <c r="E83" s="945">
        <f>'ورقة العمل'!E68</f>
        <v>0</v>
      </c>
      <c r="F83" s="946">
        <f t="shared" si="1"/>
        <v>0</v>
      </c>
      <c r="G83" s="158">
        <f>'ورقة العمل'!D68</f>
        <v>0</v>
      </c>
      <c r="H83" s="291"/>
      <c r="I83" s="311"/>
      <c r="J83" s="311"/>
      <c r="K83" s="311"/>
      <c r="L83" s="312"/>
      <c r="M83" s="311"/>
      <c r="N83" s="311"/>
      <c r="O83" s="311"/>
      <c r="AM83" s="272"/>
      <c r="AP83" s="273"/>
      <c r="BB83" s="52"/>
      <c r="BD83" s="272"/>
      <c r="BS83" s="272"/>
    </row>
    <row r="84" spans="1:71" s="3" customFormat="1" ht="17.25" customHeight="1">
      <c r="A84" s="300">
        <f>'ورقة العمل'!A69</f>
        <v>68</v>
      </c>
      <c r="B84" s="289"/>
      <c r="C84" s="290" t="str">
        <f>'ورقة العمل'!B69</f>
        <v/>
      </c>
      <c r="D84" s="290" t="e">
        <f>'ورقة العمل'!C69</f>
        <v>#N/A</v>
      </c>
      <c r="E84" s="945">
        <f>'ورقة العمل'!E69</f>
        <v>0</v>
      </c>
      <c r="F84" s="946">
        <f t="shared" si="1"/>
        <v>0</v>
      </c>
      <c r="G84" s="158">
        <f>'ورقة العمل'!D69</f>
        <v>0</v>
      </c>
      <c r="H84" s="291"/>
      <c r="I84" s="311"/>
      <c r="J84" s="311"/>
      <c r="K84" s="311"/>
      <c r="L84" s="312"/>
      <c r="M84" s="311"/>
      <c r="N84" s="311"/>
      <c r="O84" s="311"/>
      <c r="AM84" s="272"/>
      <c r="AP84" s="273"/>
      <c r="BB84" s="52"/>
      <c r="BD84" s="272"/>
      <c r="BS84" s="272"/>
    </row>
    <row r="85" spans="1:71" s="3" customFormat="1" ht="17.25" customHeight="1">
      <c r="A85" s="300">
        <f>'ورقة العمل'!A70</f>
        <v>69</v>
      </c>
      <c r="B85" s="289"/>
      <c r="C85" s="290" t="str">
        <f>'ورقة العمل'!B70</f>
        <v/>
      </c>
      <c r="D85" s="290" t="e">
        <f>'ورقة العمل'!C70</f>
        <v>#N/A</v>
      </c>
      <c r="E85" s="945">
        <f>'ورقة العمل'!E70</f>
        <v>0</v>
      </c>
      <c r="F85" s="946">
        <f t="shared" si="1"/>
        <v>0</v>
      </c>
      <c r="G85" s="158">
        <f>'ورقة العمل'!D70</f>
        <v>0</v>
      </c>
      <c r="H85" s="291"/>
      <c r="I85" s="311"/>
      <c r="J85" s="311"/>
      <c r="K85" s="311"/>
      <c r="L85" s="312"/>
      <c r="M85" s="311"/>
      <c r="N85" s="311"/>
      <c r="O85" s="311"/>
      <c r="AM85" s="272"/>
      <c r="AP85" s="273"/>
      <c r="BB85" s="52"/>
      <c r="BD85" s="272"/>
      <c r="BS85" s="272"/>
    </row>
    <row r="86" spans="1:71" s="3" customFormat="1" ht="17.25" customHeight="1">
      <c r="A86" s="300">
        <f>'ورقة العمل'!A71</f>
        <v>70</v>
      </c>
      <c r="B86" s="289"/>
      <c r="C86" s="290" t="str">
        <f>'ورقة العمل'!B71</f>
        <v/>
      </c>
      <c r="D86" s="290" t="e">
        <f>'ورقة العمل'!C71</f>
        <v>#N/A</v>
      </c>
      <c r="E86" s="945">
        <f>'ورقة العمل'!E71</f>
        <v>0</v>
      </c>
      <c r="F86" s="946">
        <f t="shared" si="1"/>
        <v>0</v>
      </c>
      <c r="G86" s="158">
        <f>'ورقة العمل'!D71</f>
        <v>0</v>
      </c>
      <c r="H86" s="291"/>
      <c r="I86" s="311"/>
      <c r="J86" s="311"/>
      <c r="K86" s="311"/>
      <c r="L86" s="312"/>
      <c r="M86" s="311"/>
      <c r="N86" s="311"/>
      <c r="O86" s="311"/>
      <c r="AM86" s="272"/>
      <c r="AP86" s="273"/>
      <c r="BB86" s="52"/>
      <c r="BD86" s="272"/>
      <c r="BS86" s="272"/>
    </row>
    <row r="87" spans="1:71" s="3" customFormat="1" ht="17.25" customHeight="1">
      <c r="A87" s="300">
        <f>'ورقة العمل'!A72</f>
        <v>71</v>
      </c>
      <c r="B87" s="289"/>
      <c r="C87" s="290" t="str">
        <f>'ورقة العمل'!B72</f>
        <v/>
      </c>
      <c r="D87" s="290" t="e">
        <f>'ورقة العمل'!C72</f>
        <v>#N/A</v>
      </c>
      <c r="E87" s="945">
        <f>'ورقة العمل'!E72</f>
        <v>0</v>
      </c>
      <c r="F87" s="946">
        <f t="shared" si="1"/>
        <v>0</v>
      </c>
      <c r="G87" s="158">
        <f>'ورقة العمل'!D72</f>
        <v>0</v>
      </c>
      <c r="H87" s="291"/>
      <c r="I87" s="311"/>
      <c r="J87" s="311"/>
      <c r="K87" s="311"/>
      <c r="L87" s="312"/>
      <c r="M87" s="311"/>
      <c r="N87" s="311"/>
      <c r="O87" s="311"/>
      <c r="AM87" s="272"/>
      <c r="AP87" s="273"/>
      <c r="BB87" s="52"/>
      <c r="BD87" s="272"/>
      <c r="BS87" s="272"/>
    </row>
    <row r="88" spans="1:71" s="3" customFormat="1" ht="17.25" customHeight="1">
      <c r="A88" s="300">
        <f>'ورقة العمل'!A73</f>
        <v>72</v>
      </c>
      <c r="B88" s="289"/>
      <c r="C88" s="290" t="str">
        <f>'ورقة العمل'!B73</f>
        <v/>
      </c>
      <c r="D88" s="290" t="e">
        <f>'ورقة العمل'!C73</f>
        <v>#N/A</v>
      </c>
      <c r="E88" s="945">
        <f>'ورقة العمل'!E73</f>
        <v>0</v>
      </c>
      <c r="F88" s="946">
        <f t="shared" si="1"/>
        <v>0</v>
      </c>
      <c r="G88" s="158">
        <f>'ورقة العمل'!D73</f>
        <v>0</v>
      </c>
      <c r="H88" s="291"/>
      <c r="I88" s="311"/>
      <c r="J88" s="311"/>
      <c r="K88" s="311"/>
      <c r="L88" s="312"/>
      <c r="M88" s="311"/>
      <c r="N88" s="311"/>
      <c r="O88" s="311"/>
      <c r="AM88" s="272"/>
      <c r="AP88" s="273"/>
      <c r="BB88" s="52"/>
      <c r="BD88" s="272"/>
      <c r="BS88" s="272"/>
    </row>
    <row r="89" spans="1:71" s="3" customFormat="1" ht="17.25" customHeight="1">
      <c r="A89" s="300">
        <f>'ورقة العمل'!A74</f>
        <v>73</v>
      </c>
      <c r="B89" s="289"/>
      <c r="C89" s="290" t="str">
        <f>'ورقة العمل'!B74</f>
        <v/>
      </c>
      <c r="D89" s="290" t="e">
        <f>'ورقة العمل'!C74</f>
        <v>#N/A</v>
      </c>
      <c r="E89" s="945">
        <f>'ورقة العمل'!E74</f>
        <v>0</v>
      </c>
      <c r="F89" s="946">
        <f t="shared" si="1"/>
        <v>0</v>
      </c>
      <c r="G89" s="158">
        <f>'ورقة العمل'!D74</f>
        <v>0</v>
      </c>
      <c r="H89" s="291"/>
      <c r="I89" s="311"/>
      <c r="J89" s="311"/>
      <c r="K89" s="311"/>
      <c r="L89" s="312"/>
      <c r="M89" s="311"/>
      <c r="N89" s="311"/>
      <c r="O89" s="311"/>
      <c r="AM89" s="272"/>
      <c r="AP89" s="273"/>
      <c r="BB89" s="52"/>
      <c r="BD89" s="272"/>
      <c r="BS89" s="272"/>
    </row>
    <row r="90" spans="1:71" s="3" customFormat="1" ht="17.25" customHeight="1">
      <c r="A90" s="300">
        <f>'ورقة العمل'!A75</f>
        <v>74</v>
      </c>
      <c r="B90" s="289"/>
      <c r="C90" s="290" t="str">
        <f>'ورقة العمل'!B75</f>
        <v/>
      </c>
      <c r="D90" s="290" t="e">
        <f>'ورقة العمل'!C75</f>
        <v>#N/A</v>
      </c>
      <c r="E90" s="945">
        <f>'ورقة العمل'!E75</f>
        <v>0</v>
      </c>
      <c r="F90" s="946">
        <f t="shared" si="1"/>
        <v>0</v>
      </c>
      <c r="G90" s="158">
        <f>'ورقة العمل'!D75</f>
        <v>0</v>
      </c>
      <c r="H90" s="291"/>
      <c r="I90" s="311"/>
      <c r="J90" s="311"/>
      <c r="K90" s="311"/>
      <c r="L90" s="312"/>
      <c r="M90" s="311"/>
      <c r="N90" s="311"/>
      <c r="O90" s="311"/>
      <c r="AM90" s="272"/>
      <c r="AP90" s="273"/>
      <c r="BB90" s="52"/>
      <c r="BD90" s="272"/>
      <c r="BS90" s="272"/>
    </row>
    <row r="91" spans="1:71" s="3" customFormat="1" ht="17.25" customHeight="1">
      <c r="A91" s="300">
        <f>'ورقة العمل'!A76</f>
        <v>75</v>
      </c>
      <c r="B91" s="289"/>
      <c r="C91" s="290" t="str">
        <f>'ورقة العمل'!B76</f>
        <v/>
      </c>
      <c r="D91" s="290" t="e">
        <f>'ورقة العمل'!C76</f>
        <v>#N/A</v>
      </c>
      <c r="E91" s="945">
        <f>'ورقة العمل'!E76</f>
        <v>0</v>
      </c>
      <c r="F91" s="946">
        <f t="shared" si="1"/>
        <v>0</v>
      </c>
      <c r="G91" s="158">
        <f>'ورقة العمل'!D76</f>
        <v>0</v>
      </c>
      <c r="H91" s="291"/>
      <c r="I91" s="311"/>
      <c r="J91" s="311"/>
      <c r="K91" s="311"/>
      <c r="L91" s="312"/>
      <c r="M91" s="311"/>
      <c r="N91" s="311"/>
      <c r="O91" s="311"/>
      <c r="AM91" s="272"/>
      <c r="AP91" s="273"/>
      <c r="BB91" s="52"/>
      <c r="BD91" s="272"/>
      <c r="BS91" s="272"/>
    </row>
    <row r="92" spans="1:71" s="3" customFormat="1" ht="17.25" customHeight="1">
      <c r="A92" s="300">
        <f>'ورقة العمل'!A77</f>
        <v>76</v>
      </c>
      <c r="B92" s="289"/>
      <c r="C92" s="290" t="str">
        <f>'ورقة العمل'!B77</f>
        <v/>
      </c>
      <c r="D92" s="290" t="e">
        <f>'ورقة العمل'!C77</f>
        <v>#N/A</v>
      </c>
      <c r="E92" s="945">
        <f>'ورقة العمل'!E77</f>
        <v>0</v>
      </c>
      <c r="F92" s="946">
        <f t="shared" si="1"/>
        <v>0</v>
      </c>
      <c r="G92" s="158">
        <f>'ورقة العمل'!D77</f>
        <v>0</v>
      </c>
      <c r="H92" s="291"/>
      <c r="I92" s="311"/>
      <c r="J92" s="311"/>
      <c r="K92" s="311"/>
      <c r="L92" s="312"/>
      <c r="M92" s="311"/>
      <c r="N92" s="311"/>
      <c r="O92" s="311"/>
      <c r="AM92" s="272"/>
      <c r="AP92" s="273"/>
      <c r="BB92" s="52"/>
      <c r="BD92" s="272"/>
      <c r="BS92" s="272"/>
    </row>
    <row r="93" spans="1:71" s="3" customFormat="1" ht="17.25" customHeight="1">
      <c r="A93" s="300">
        <f>'ورقة العمل'!A78</f>
        <v>77</v>
      </c>
      <c r="B93" s="289"/>
      <c r="C93" s="290" t="str">
        <f>'ورقة العمل'!B78</f>
        <v/>
      </c>
      <c r="D93" s="290" t="e">
        <f>'ورقة العمل'!C78</f>
        <v>#N/A</v>
      </c>
      <c r="E93" s="945">
        <f>'ورقة العمل'!E78</f>
        <v>0</v>
      </c>
      <c r="F93" s="946">
        <f t="shared" si="1"/>
        <v>0</v>
      </c>
      <c r="G93" s="158">
        <f>'ورقة العمل'!D78</f>
        <v>0</v>
      </c>
      <c r="H93" s="291"/>
      <c r="I93" s="311"/>
      <c r="J93" s="311"/>
      <c r="K93" s="311"/>
      <c r="L93" s="312"/>
      <c r="M93" s="311"/>
      <c r="N93" s="311"/>
      <c r="O93" s="311"/>
      <c r="AM93" s="272"/>
      <c r="AP93" s="273"/>
      <c r="BB93" s="52"/>
      <c r="BD93" s="272"/>
      <c r="BS93" s="272"/>
    </row>
    <row r="94" spans="1:71" s="3" customFormat="1" ht="17.25" customHeight="1">
      <c r="A94" s="300">
        <f>'ورقة العمل'!A79</f>
        <v>78</v>
      </c>
      <c r="B94" s="289"/>
      <c r="C94" s="290" t="str">
        <f>'ورقة العمل'!B79</f>
        <v/>
      </c>
      <c r="D94" s="290" t="e">
        <f>'ورقة العمل'!C79</f>
        <v>#N/A</v>
      </c>
      <c r="E94" s="945">
        <f>'ورقة العمل'!E79</f>
        <v>0</v>
      </c>
      <c r="F94" s="946">
        <f t="shared" si="1"/>
        <v>0</v>
      </c>
      <c r="G94" s="158">
        <f>'ورقة العمل'!D79</f>
        <v>0</v>
      </c>
      <c r="H94" s="291"/>
      <c r="I94" s="311"/>
      <c r="J94" s="311"/>
      <c r="K94" s="311"/>
      <c r="L94" s="312"/>
      <c r="M94" s="311"/>
      <c r="N94" s="311"/>
      <c r="O94" s="311"/>
      <c r="AM94" s="272"/>
      <c r="AP94" s="273"/>
      <c r="BB94" s="52"/>
      <c r="BD94" s="272"/>
      <c r="BS94" s="272"/>
    </row>
    <row r="95" spans="1:71" s="3" customFormat="1" ht="17.25" customHeight="1" thickBot="1">
      <c r="A95" s="300"/>
      <c r="B95" s="289"/>
      <c r="C95" s="290"/>
      <c r="D95" s="290"/>
      <c r="E95" s="945"/>
      <c r="F95" s="946">
        <f t="shared" si="1"/>
        <v>0</v>
      </c>
      <c r="G95" s="158"/>
      <c r="H95" s="291"/>
      <c r="I95" s="311"/>
      <c r="J95" s="311"/>
      <c r="K95" s="311"/>
      <c r="L95" s="312"/>
      <c r="M95" s="311"/>
      <c r="N95" s="311"/>
      <c r="O95" s="311"/>
      <c r="AM95" s="272"/>
      <c r="AP95" s="273"/>
      <c r="BB95" s="52"/>
      <c r="BD95" s="272"/>
      <c r="BS95" s="272"/>
    </row>
    <row r="96" spans="1:71" s="295" customFormat="1" ht="30" customHeight="1" thickBot="1">
      <c r="A96" s="301"/>
      <c r="B96" s="1459" t="s">
        <v>134</v>
      </c>
      <c r="C96" s="1459"/>
      <c r="D96" s="1459"/>
      <c r="E96" s="1306">
        <f>SUMIF(G17:G95,G96,E17:E95)</f>
        <v>35000</v>
      </c>
      <c r="F96" s="1307">
        <v>1</v>
      </c>
      <c r="G96" s="1305" t="s">
        <v>550</v>
      </c>
      <c r="H96" s="1302">
        <f>VLOOKUP(C6,TABMAND,S2+12,FALSE)</f>
        <v>70000</v>
      </c>
      <c r="I96" s="311"/>
      <c r="J96" s="311"/>
      <c r="K96" s="311"/>
      <c r="L96" s="312"/>
      <c r="M96" s="311"/>
      <c r="N96" s="311"/>
      <c r="O96" s="531"/>
      <c r="AM96" s="296"/>
      <c r="AP96" s="297"/>
      <c r="BB96" s="298"/>
      <c r="BD96" s="296"/>
      <c r="BS96" s="296"/>
    </row>
    <row r="97" spans="1:71" s="295" customFormat="1" ht="30" customHeight="1" thickBot="1">
      <c r="A97" s="301"/>
      <c r="B97" s="318" t="s">
        <v>135</v>
      </c>
      <c r="C97" s="299" t="str">
        <f>[1]!Arreta(E96)</f>
        <v xml:space="preserve">خمسة وثلاثون ألف دينار جزائري </v>
      </c>
      <c r="E97" s="1335">
        <f>الرئيسية!N10</f>
        <v>43617</v>
      </c>
      <c r="F97" s="1307">
        <v>1</v>
      </c>
      <c r="G97" s="1305" t="s">
        <v>550</v>
      </c>
      <c r="H97" s="1302">
        <f>E96-H96</f>
        <v>-35000</v>
      </c>
      <c r="I97" s="311"/>
      <c r="J97" s="311"/>
      <c r="K97" s="311"/>
      <c r="L97" s="312"/>
      <c r="M97" s="311"/>
      <c r="N97" s="311"/>
      <c r="O97" s="531"/>
      <c r="AM97" s="296"/>
      <c r="AP97" s="297"/>
      <c r="BB97" s="298"/>
      <c r="BD97" s="296"/>
      <c r="BS97" s="296"/>
    </row>
    <row r="98" spans="1:71" s="295" customFormat="1" ht="30" customHeight="1" thickBot="1">
      <c r="A98" s="301"/>
      <c r="B98" s="1459" t="s">
        <v>134</v>
      </c>
      <c r="C98" s="1459"/>
      <c r="D98" s="1459"/>
      <c r="E98" s="1306">
        <f>SUMIF(G17:G95,G98,E17:E95)</f>
        <v>10000</v>
      </c>
      <c r="F98" s="1307">
        <v>1</v>
      </c>
      <c r="G98" s="1305" t="s">
        <v>549</v>
      </c>
      <c r="H98" s="1302">
        <f>VLOOKUP(C6,TABMAND,S2+12,FALSE)</f>
        <v>70000</v>
      </c>
      <c r="I98" s="311"/>
      <c r="J98" s="311"/>
      <c r="K98" s="311"/>
      <c r="L98" s="312"/>
      <c r="M98" s="311"/>
      <c r="N98" s="311"/>
      <c r="O98" s="311"/>
      <c r="AM98" s="296"/>
      <c r="AP98" s="297"/>
      <c r="BB98" s="298"/>
      <c r="BD98" s="296"/>
      <c r="BS98" s="296"/>
    </row>
    <row r="99" spans="1:71" s="295" customFormat="1" ht="30" customHeight="1" thickBot="1">
      <c r="A99" s="301"/>
      <c r="B99" s="318" t="s">
        <v>135</v>
      </c>
      <c r="C99" s="299" t="str">
        <f>[1]!Arreta(E98)</f>
        <v xml:space="preserve">عشر آلاف دينار جزائري </v>
      </c>
      <c r="E99" s="1335">
        <f>E97</f>
        <v>43617</v>
      </c>
      <c r="F99" s="1307">
        <v>1</v>
      </c>
      <c r="G99" s="1305" t="s">
        <v>549</v>
      </c>
      <c r="H99" s="1302">
        <f>E98-H98</f>
        <v>-60000</v>
      </c>
      <c r="I99" s="311"/>
      <c r="J99" s="311"/>
      <c r="K99" s="311"/>
      <c r="L99" s="312"/>
      <c r="M99" s="311"/>
      <c r="N99" s="311"/>
      <c r="O99" s="311"/>
      <c r="AM99" s="296"/>
      <c r="AP99" s="297"/>
      <c r="BB99" s="298"/>
      <c r="BD99" s="296"/>
      <c r="BS99" s="296"/>
    </row>
    <row r="100" spans="1:71" s="295" customFormat="1" ht="30" customHeight="1" thickBot="1">
      <c r="A100" s="301"/>
      <c r="B100" s="1459" t="s">
        <v>134</v>
      </c>
      <c r="C100" s="1459"/>
      <c r="D100" s="1459"/>
      <c r="E100" s="1306">
        <f>SUMIF(G17:G95,G100,E17:E95)</f>
        <v>5000</v>
      </c>
      <c r="F100" s="1307">
        <v>1</v>
      </c>
      <c r="G100" s="1305" t="s">
        <v>548</v>
      </c>
      <c r="H100" s="1302">
        <f>VLOOKUP(C6,TABMAND,S2+12,FALSE)</f>
        <v>70000</v>
      </c>
      <c r="I100" s="311"/>
      <c r="J100" s="311"/>
      <c r="K100" s="311"/>
      <c r="L100" s="312"/>
      <c r="M100" s="311"/>
      <c r="N100" s="311"/>
      <c r="O100" s="311"/>
      <c r="AM100" s="296"/>
      <c r="AP100" s="297"/>
      <c r="BB100" s="298"/>
      <c r="BD100" s="296"/>
      <c r="BS100" s="296"/>
    </row>
    <row r="101" spans="1:71" s="295" customFormat="1" ht="30" customHeight="1" thickBot="1">
      <c r="A101" s="301"/>
      <c r="B101" s="318" t="s">
        <v>135</v>
      </c>
      <c r="C101" s="299" t="str">
        <f>[1]!Arreta(E100)</f>
        <v xml:space="preserve">خمسة آلاف دينار جزائري </v>
      </c>
      <c r="E101" s="1335">
        <f>E99</f>
        <v>43617</v>
      </c>
      <c r="F101" s="1307">
        <v>1</v>
      </c>
      <c r="G101" s="1305" t="s">
        <v>548</v>
      </c>
      <c r="H101" s="1302">
        <f>E100-H100</f>
        <v>-65000</v>
      </c>
      <c r="I101" s="311"/>
      <c r="J101" s="311"/>
      <c r="K101" s="311"/>
      <c r="L101" s="312"/>
      <c r="M101" s="311"/>
      <c r="N101" s="311"/>
      <c r="O101" s="311"/>
      <c r="AM101" s="296"/>
      <c r="AP101" s="297"/>
      <c r="BB101" s="298"/>
      <c r="BD101" s="296"/>
      <c r="BS101" s="296"/>
    </row>
    <row r="102" spans="1:71" s="295" customFormat="1" ht="30" customHeight="1" thickBot="1">
      <c r="A102" s="301"/>
      <c r="B102" s="1459" t="s">
        <v>134</v>
      </c>
      <c r="C102" s="1459"/>
      <c r="D102" s="1459"/>
      <c r="E102" s="1306">
        <f>SUMIF(G17:G95,G102,E17:E95)</f>
        <v>20000</v>
      </c>
      <c r="F102" s="1307">
        <v>1</v>
      </c>
      <c r="G102" s="1305" t="s">
        <v>561</v>
      </c>
      <c r="H102" s="1302">
        <f>VLOOKUP(C6,TABMAND,S2+12,FALSE)</f>
        <v>70000</v>
      </c>
      <c r="I102" s="311"/>
      <c r="J102" s="311"/>
      <c r="K102" s="311"/>
      <c r="L102" s="312"/>
      <c r="M102" s="311"/>
      <c r="N102" s="311"/>
      <c r="O102" s="311"/>
      <c r="AM102" s="296"/>
      <c r="AP102" s="297"/>
      <c r="BB102" s="298"/>
      <c r="BD102" s="296"/>
      <c r="BS102" s="296"/>
    </row>
    <row r="103" spans="1:71" s="295" customFormat="1" ht="30" customHeight="1" thickBot="1">
      <c r="A103" s="301"/>
      <c r="B103" s="318" t="s">
        <v>135</v>
      </c>
      <c r="C103" s="299" t="str">
        <f>[1]!Arreta(E102)</f>
        <v xml:space="preserve">عشرون ألف دينار جزائري </v>
      </c>
      <c r="E103" s="1335">
        <f>E101</f>
        <v>43617</v>
      </c>
      <c r="F103" s="1307">
        <v>1</v>
      </c>
      <c r="G103" s="1305" t="s">
        <v>561</v>
      </c>
      <c r="H103" s="1302">
        <f>E102-H102</f>
        <v>-50000</v>
      </c>
      <c r="I103" s="311"/>
      <c r="J103" s="311"/>
      <c r="K103" s="311"/>
      <c r="L103" s="312"/>
      <c r="M103" s="311"/>
      <c r="N103" s="311"/>
      <c r="O103" s="311"/>
      <c r="AM103" s="296"/>
      <c r="AP103" s="297"/>
      <c r="BB103" s="298"/>
      <c r="BD103" s="296"/>
      <c r="BS103" s="296"/>
    </row>
    <row r="104" spans="1:71" s="295" customFormat="1" ht="30" customHeight="1" thickBot="1">
      <c r="A104" s="301"/>
      <c r="B104" s="1459" t="s">
        <v>134</v>
      </c>
      <c r="C104" s="1459"/>
      <c r="D104" s="1459"/>
      <c r="E104" s="1306">
        <f>SUMIF(G17:G95,G102,E17:E95)</f>
        <v>20000</v>
      </c>
      <c r="F104" s="1307">
        <v>1</v>
      </c>
      <c r="G104" s="1305" t="s">
        <v>562</v>
      </c>
      <c r="H104" s="1302">
        <f>VLOOKUP(C6,TABMAND,S2+12,FALSE)</f>
        <v>70000</v>
      </c>
      <c r="I104" s="311"/>
      <c r="J104" s="311"/>
      <c r="K104" s="311"/>
      <c r="L104" s="312"/>
      <c r="M104" s="311"/>
      <c r="N104" s="311"/>
      <c r="O104" s="311"/>
      <c r="AM104" s="296"/>
      <c r="AP104" s="297"/>
      <c r="BB104" s="298"/>
      <c r="BD104" s="296"/>
      <c r="BS104" s="296"/>
    </row>
    <row r="105" spans="1:71" s="295" customFormat="1" ht="30" customHeight="1" thickBot="1">
      <c r="A105" s="301"/>
      <c r="B105" s="318" t="s">
        <v>135</v>
      </c>
      <c r="C105" s="299" t="str">
        <f>[1]!Arreta(E104)</f>
        <v xml:space="preserve">عشرون ألف دينار جزائري </v>
      </c>
      <c r="E105" s="1335">
        <f>E103</f>
        <v>43617</v>
      </c>
      <c r="F105" s="1307">
        <v>1</v>
      </c>
      <c r="G105" s="1305" t="s">
        <v>562</v>
      </c>
      <c r="H105" s="1302">
        <f>E104-H104</f>
        <v>-50000</v>
      </c>
      <c r="I105" s="311"/>
      <c r="J105" s="311"/>
      <c r="K105" s="311"/>
      <c r="L105" s="312"/>
      <c r="M105" s="311"/>
      <c r="N105" s="311"/>
      <c r="O105" s="311"/>
      <c r="AM105" s="296"/>
      <c r="AP105" s="297"/>
      <c r="BB105" s="298"/>
      <c r="BD105" s="296"/>
      <c r="BS105" s="296"/>
    </row>
  </sheetData>
  <autoFilter ref="F16:G105">
    <filterColumn colId="0"/>
    <filterColumn colId="1"/>
  </autoFilter>
  <mergeCells count="10">
    <mergeCell ref="B1:E1"/>
    <mergeCell ref="BX11:BX12"/>
    <mergeCell ref="BZ12:CB12"/>
    <mergeCell ref="BX13:CC13"/>
    <mergeCell ref="B104:D104"/>
    <mergeCell ref="BX15:CC15"/>
    <mergeCell ref="B102:D102"/>
    <mergeCell ref="B100:D100"/>
    <mergeCell ref="B98:D98"/>
    <mergeCell ref="B96:D96"/>
  </mergeCells>
  <phoneticPr fontId="2" type="noConversion"/>
  <dataValidations count="1">
    <dataValidation type="list" allowBlank="1" showInputMessage="1" showErrorMessage="1" sqref="C6">
      <formula1>'ورقة العمل'!Y2:Y6</formula1>
    </dataValidation>
  </dataValidations>
  <printOptions horizontalCentered="1"/>
  <pageMargins left="0.19685039370078741" right="0.19685039370078741" top="0.39370078740157483" bottom="0.39370078740157483" header="0" footer="0"/>
  <pageSetup paperSize="134" scale="95" orientation="portrait" horizontalDpi="180" verticalDpi="18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37</vt:i4>
      </vt:variant>
    </vt:vector>
  </HeadingPairs>
  <TitlesOfParts>
    <vt:vector size="75" baseType="lpstr">
      <vt:lpstr>الرئيسية</vt:lpstr>
      <vt:lpstr>الفرعية1</vt:lpstr>
      <vt:lpstr>الفرعية2</vt:lpstr>
      <vt:lpstr>ETAT-PAY-PERM</vt:lpstr>
      <vt:lpstr>MAND-PAY-PERM</vt:lpstr>
      <vt:lpstr>MAND-SEC-SOC</vt:lpstr>
      <vt:lpstr>ETAT-SECSOC</vt:lpstr>
      <vt:lpstr>SEC-SOCIAL-PERM</vt:lpstr>
      <vt:lpstr>OEUVR-SOC-PER</vt:lpstr>
      <vt:lpstr>métuel</vt:lpstr>
      <vt:lpstr>IRG</vt:lpstr>
      <vt:lpstr>tab retr</vt:lpstr>
      <vt:lpstr>BRD bancaire</vt:lpstr>
      <vt:lpstr>BRD CCP</vt:lpstr>
      <vt:lpstr>avi vir PERM</vt:lpstr>
      <vt:lpstr>Titre-PRS-PERM</vt:lpstr>
      <vt:lpstr>BRD-Titr-PRS-PERM</vt:lpstr>
      <vt:lpstr>Base-D</vt:lpstr>
      <vt:lpstr>ETAT-PAY-VACT</vt:lpstr>
      <vt:lpstr>MAND-PAY-VCTCMP</vt:lpstr>
      <vt:lpstr>BRD bancaireVTC</vt:lpstr>
      <vt:lpstr>OEUVR-SOC-VACT</vt:lpstr>
      <vt:lpstr>SEC-SOCIAL-VACT</vt:lpstr>
      <vt:lpstr>métuel VAC</vt:lpstr>
      <vt:lpstr>BRD CCPVATC</vt:lpstr>
      <vt:lpstr>ETAT-PAY-VACT (2)</vt:lpstr>
      <vt:lpstr>MAND-PAY-VCTHEUR</vt:lpstr>
      <vt:lpstr>OEUVR-SOC-VACHEUR</vt:lpstr>
      <vt:lpstr>BRD bancaireVACHEUR</vt:lpstr>
      <vt:lpstr>BRD CCPVAHEUR</vt:lpstr>
      <vt:lpstr>métuel VAC-HEUR</vt:lpstr>
      <vt:lpstr>avi vir VAC</vt:lpstr>
      <vt:lpstr>Titre-PRS-VAC</vt:lpstr>
      <vt:lpstr>BRD-Titr-PRS-VAC</vt:lpstr>
      <vt:lpstr>ورقة العمل</vt:lpstr>
      <vt:lpstr>BRD Global</vt:lpstr>
      <vt:lpstr>f-travail</vt:lpstr>
      <vt:lpstr>VAC-TCMP</vt:lpstr>
      <vt:lpstr>BDVACT</vt:lpstr>
      <vt:lpstr>tabheur</vt:lpstr>
      <vt:lpstr>TABMAND</vt:lpstr>
      <vt:lpstr>TABTITRPRS</vt:lpstr>
      <vt:lpstr>Tabtitrvac</vt:lpstr>
      <vt:lpstr>TABVACT</vt:lpstr>
      <vt:lpstr>'BRD bancaire'!Zone_d_impression</vt:lpstr>
      <vt:lpstr>'BRD bancaireVACHEUR'!Zone_d_impression</vt:lpstr>
      <vt:lpstr>'BRD bancaireVTC'!Zone_d_impression</vt:lpstr>
      <vt:lpstr>'BRD CCP'!Zone_d_impression</vt:lpstr>
      <vt:lpstr>'BRD CCPVAHEUR'!Zone_d_impression</vt:lpstr>
      <vt:lpstr>'BRD CCPVATC'!Zone_d_impression</vt:lpstr>
      <vt:lpstr>'BRD Global'!Zone_d_impression</vt:lpstr>
      <vt:lpstr>'BRD-Titr-PRS-PERM'!Zone_d_impression</vt:lpstr>
      <vt:lpstr>'BRD-Titr-PRS-VAC'!Zone_d_impression</vt:lpstr>
      <vt:lpstr>'ETAT-PAY-PERM'!Zone_d_impression</vt:lpstr>
      <vt:lpstr>'ETAT-PAY-VACT'!Zone_d_impression</vt:lpstr>
      <vt:lpstr>'ETAT-PAY-VACT (2)'!Zone_d_impression</vt:lpstr>
      <vt:lpstr>'ETAT-SECSOC'!Zone_d_impression</vt:lpstr>
      <vt:lpstr>IRG!Zone_d_impression</vt:lpstr>
      <vt:lpstr>'MAND-PAY-PERM'!Zone_d_impression</vt:lpstr>
      <vt:lpstr>'MAND-PAY-VCTCMP'!Zone_d_impression</vt:lpstr>
      <vt:lpstr>'MAND-PAY-VCTHEUR'!Zone_d_impression</vt:lpstr>
      <vt:lpstr>'MAND-SEC-SOC'!Zone_d_impression</vt:lpstr>
      <vt:lpstr>métuel!Zone_d_impression</vt:lpstr>
      <vt:lpstr>'métuel VAC'!Zone_d_impression</vt:lpstr>
      <vt:lpstr>'métuel VAC-HEUR'!Zone_d_impression</vt:lpstr>
      <vt:lpstr>'OEUVR-SOC-PER'!Zone_d_impression</vt:lpstr>
      <vt:lpstr>'OEUVR-SOC-VACHEUR'!Zone_d_impression</vt:lpstr>
      <vt:lpstr>'OEUVR-SOC-VACT'!Zone_d_impression</vt:lpstr>
      <vt:lpstr>'SEC-SOCIAL-PERM'!Zone_d_impression</vt:lpstr>
      <vt:lpstr>'SEC-SOCIAL-VACT'!Zone_d_impression</vt:lpstr>
      <vt:lpstr>'tab retr'!Zone_d_impression</vt:lpstr>
      <vt:lpstr>'VAC-TCMP'!Zone_d_impression</vt:lpstr>
      <vt:lpstr>جدرجات</vt:lpstr>
      <vt:lpstr>جدروظعليا</vt:lpstr>
      <vt:lpstr>جرقمإستدلالي</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domaine</dc:creator>
  <cp:lastModifiedBy>LOTFI@</cp:lastModifiedBy>
  <cp:lastPrinted>2019-05-09T10:46:12Z</cp:lastPrinted>
  <dcterms:created xsi:type="dcterms:W3CDTF">2018-10-22T10:05:15Z</dcterms:created>
  <dcterms:modified xsi:type="dcterms:W3CDTF">2019-05-13T09:07:53Z</dcterms:modified>
</cp:coreProperties>
</file>