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3135" yWindow="630" windowWidth="16605" windowHeight="9435" tabRatio="273"/>
  </bookViews>
  <sheets>
    <sheet name="Sheet1" sheetId="1" r:id="rId1"/>
    <sheet name="Feuil1" sheetId="2" r:id="rId2"/>
  </sheets>
  <definedNames>
    <definedName name="_xlnm.Print_Titles" localSheetId="0">Sheet1!$5:$5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1"/>
  <c r="AK27"/>
  <c r="AK11"/>
  <c r="AJ10" s="1"/>
  <c r="AH17"/>
  <c r="AI17"/>
  <c r="AJ17"/>
  <c r="AH16"/>
  <c r="AI16"/>
  <c r="AJ16"/>
  <c r="L21"/>
  <c r="AL23"/>
  <c r="D8" l="1"/>
  <c r="D6"/>
  <c r="AF28"/>
  <c r="AF29" s="1"/>
  <c r="AF30" s="1"/>
  <c r="AF31" s="1"/>
  <c r="AF32" s="1"/>
  <c r="AF33" s="1"/>
  <c r="AF34" s="1"/>
  <c r="AF35" s="1"/>
  <c r="AF36" s="1"/>
  <c r="AG28"/>
  <c r="AG29" s="1"/>
  <c r="AG30" s="1"/>
  <c r="AG31" s="1"/>
  <c r="AG32" s="1"/>
  <c r="AG33" s="1"/>
  <c r="AG34" s="1"/>
  <c r="AG35" s="1"/>
  <c r="AG36" s="1"/>
  <c r="AL7"/>
  <c r="AL6"/>
  <c r="AH10"/>
  <c r="U28"/>
  <c r="U29" s="1"/>
  <c r="U30" s="1"/>
  <c r="U31" s="1"/>
  <c r="U32" s="1"/>
  <c r="U33" s="1"/>
  <c r="U34" s="1"/>
  <c r="U35" s="1"/>
  <c r="U36" s="1"/>
  <c r="T28"/>
  <c r="T29" s="1"/>
  <c r="T30" s="1"/>
  <c r="T31" s="1"/>
  <c r="T32" s="1"/>
  <c r="T33" s="1"/>
  <c r="T34" s="1"/>
  <c r="T35" s="1"/>
  <c r="T36" s="1"/>
  <c r="AA28"/>
  <c r="AA29" s="1"/>
  <c r="AA30" s="1"/>
  <c r="AA31" s="1"/>
  <c r="AA32" s="1"/>
  <c r="AA33" s="1"/>
  <c r="AA34" s="1"/>
  <c r="AA35" s="1"/>
  <c r="AA36" s="1"/>
  <c r="Z28"/>
  <c r="Z29" s="1"/>
  <c r="Z30" s="1"/>
  <c r="Z31" s="1"/>
  <c r="Z32" s="1"/>
  <c r="Z33" s="1"/>
  <c r="Z34" s="1"/>
  <c r="Z35" s="1"/>
  <c r="Z36" s="1"/>
  <c r="AL27"/>
  <c r="AL10"/>
  <c r="AL22"/>
  <c r="AJ15"/>
  <c r="AI15"/>
  <c r="AH15"/>
  <c r="AM4"/>
  <c r="AI9" l="1"/>
  <c r="AH9"/>
  <c r="AJ9"/>
  <c r="A10"/>
  <c r="L20"/>
  <c r="AH21"/>
  <c r="D4"/>
  <c r="A4"/>
  <c r="AJ11"/>
  <c r="J22"/>
  <c r="AI10"/>
  <c r="AI11" s="1"/>
  <c r="AJ13" s="1"/>
  <c r="AH11"/>
  <c r="AI13" s="1"/>
  <c r="D2" l="1"/>
  <c r="AJ12"/>
  <c r="L23"/>
  <c r="AH13"/>
  <c r="AJ19" l="1"/>
  <c r="AH12"/>
  <c r="AI12"/>
  <c r="AI19" s="1"/>
  <c r="D10" l="1"/>
  <c r="AH19"/>
  <c r="AJ20"/>
  <c r="AJ21"/>
  <c r="AI21" s="1"/>
  <c r="AH20" l="1"/>
  <c r="AI20"/>
  <c r="AI22" l="1"/>
  <c r="A14" s="1"/>
  <c r="D12"/>
  <c r="AJ24" l="1"/>
  <c r="AJ26" s="1"/>
  <c r="AI25" s="1"/>
  <c r="X25"/>
  <c r="AD25"/>
  <c r="X24"/>
  <c r="X26" s="1"/>
  <c r="AD24"/>
  <c r="AD26" s="1"/>
  <c r="AJ25"/>
  <c r="AM27" l="1"/>
  <c r="AL29" s="1"/>
  <c r="A16"/>
  <c r="G19"/>
  <c r="AL31" l="1"/>
  <c r="AL36"/>
  <c r="AL28"/>
  <c r="AK28" s="1"/>
  <c r="AK29" s="1"/>
  <c r="AL34"/>
  <c r="AL30"/>
  <c r="AL32"/>
  <c r="AL33"/>
  <c r="AL35"/>
  <c r="AD27"/>
  <c r="X27"/>
  <c r="V27" s="1"/>
  <c r="AJ27"/>
  <c r="AH27" s="1"/>
  <c r="AK30" l="1"/>
  <c r="G22" s="1"/>
  <c r="AK31"/>
  <c r="AD31" s="1"/>
  <c r="AB31" s="1"/>
  <c r="AJ28"/>
  <c r="AJ29" s="1"/>
  <c r="AH29" s="1"/>
  <c r="F19"/>
  <c r="G20"/>
  <c r="AD28"/>
  <c r="AB28" s="1"/>
  <c r="AI27"/>
  <c r="X28"/>
  <c r="V28" s="1"/>
  <c r="AB27"/>
  <c r="D19" s="1"/>
  <c r="AC27"/>
  <c r="W27"/>
  <c r="G21"/>
  <c r="AD29" l="1"/>
  <c r="AB29" s="1"/>
  <c r="AJ30"/>
  <c r="AH30" s="1"/>
  <c r="W28"/>
  <c r="AK32"/>
  <c r="AK33" s="1"/>
  <c r="AK34" s="1"/>
  <c r="AK35" s="1"/>
  <c r="G34" s="1"/>
  <c r="AD30"/>
  <c r="G23"/>
  <c r="F20"/>
  <c r="AC28"/>
  <c r="AH28"/>
  <c r="D20" s="1"/>
  <c r="AI28"/>
  <c r="A20" s="1"/>
  <c r="A19"/>
  <c r="X29"/>
  <c r="V29" s="1"/>
  <c r="AC29"/>
  <c r="AJ31"/>
  <c r="AH31" s="1"/>
  <c r="AI29"/>
  <c r="AC31"/>
  <c r="D21" l="1"/>
  <c r="AI30"/>
  <c r="AD32"/>
  <c r="AB32" s="1"/>
  <c r="G33"/>
  <c r="AD35"/>
  <c r="AB35" s="1"/>
  <c r="AJ32"/>
  <c r="AH32" s="1"/>
  <c r="AK36"/>
  <c r="AD36" s="1"/>
  <c r="AB36" s="1"/>
  <c r="AD34"/>
  <c r="AB34" s="1"/>
  <c r="AD33"/>
  <c r="AB33" s="1"/>
  <c r="AB30"/>
  <c r="AC30"/>
  <c r="W29"/>
  <c r="A21" s="1"/>
  <c r="X30"/>
  <c r="V30" s="1"/>
  <c r="F21"/>
  <c r="AI31"/>
  <c r="AJ33"/>
  <c r="F22" l="1"/>
  <c r="AI32"/>
  <c r="G35"/>
  <c r="AC32"/>
  <c r="D22"/>
  <c r="W30"/>
  <c r="A22" s="1"/>
  <c r="X31"/>
  <c r="AI33"/>
  <c r="AH33"/>
  <c r="AJ34"/>
  <c r="AC33"/>
  <c r="V31" l="1"/>
  <c r="D23" s="1"/>
  <c r="F23"/>
  <c r="X32"/>
  <c r="W31"/>
  <c r="A23" s="1"/>
  <c r="AH34"/>
  <c r="AJ35"/>
  <c r="AI34"/>
  <c r="AC34"/>
  <c r="X33" l="1"/>
  <c r="V33" s="1"/>
  <c r="V32"/>
  <c r="W32"/>
  <c r="AH35"/>
  <c r="AJ36"/>
  <c r="AH36" s="1"/>
  <c r="AI35"/>
  <c r="X34" l="1"/>
  <c r="W34" s="1"/>
  <c r="W33"/>
  <c r="X35" l="1"/>
  <c r="V34"/>
  <c r="V35" l="1"/>
  <c r="X36"/>
  <c r="W35"/>
  <c r="V36" l="1"/>
  <c r="W36"/>
</calcChain>
</file>

<file path=xl/sharedStrings.xml><?xml version="1.0" encoding="utf-8"?>
<sst xmlns="http://schemas.openxmlformats.org/spreadsheetml/2006/main" count="62" uniqueCount="52">
  <si>
    <t>IF(DATEDIF(A2,B2,"y"),
DATEDIF(A2,B2,"y")&amp;" سنه","")&amp;IF(DATEDIF(A2,B2,"ym"),DATEDIF(A2,B2,"ym")&amp;" شهر","")&amp;IF(DATEDIF(A2,B2,"md"),DATEDIF(A2,B2,"md")&amp;" يوم","")</t>
  </si>
  <si>
    <t>الفرق بالسنين</t>
  </si>
  <si>
    <t>الفرق بالشهور</t>
  </si>
  <si>
    <t>الفرق بالايام</t>
  </si>
  <si>
    <t>الفرق</t>
  </si>
  <si>
    <t>تاريخ سريان آخر ترقية في الدرجة</t>
  </si>
  <si>
    <t>باقي الأقديمية المحتفظة من الدرجة السابقة</t>
  </si>
  <si>
    <t>يوم</t>
  </si>
  <si>
    <t xml:space="preserve">شهر </t>
  </si>
  <si>
    <t>سنة</t>
  </si>
  <si>
    <t>أقدمية الجنوب الكبير</t>
  </si>
  <si>
    <t>إلى غاية :</t>
  </si>
  <si>
    <t>باقي الأقديمية المعتمدة لفترات عمل سابقة</t>
  </si>
  <si>
    <t>مجمل الأقدمية الموضوعة للترقية 1+2+3+4</t>
  </si>
  <si>
    <t>الدنيا</t>
  </si>
  <si>
    <t>المتوسطة</t>
  </si>
  <si>
    <t>القصوى</t>
  </si>
  <si>
    <t>عدد الدرجات</t>
  </si>
  <si>
    <t>باقي الأشهر</t>
  </si>
  <si>
    <t>مدة الترقية في الدرجة :</t>
  </si>
  <si>
    <t>تاريخ توقيف جدول التأهيل للترقية في الدرجة</t>
  </si>
  <si>
    <t>الشهر</t>
  </si>
  <si>
    <t>السنة</t>
  </si>
  <si>
    <t>المجموع الكلي للسنوات التي ستحسب على أساسها الدرجات</t>
  </si>
  <si>
    <t xml:space="preserve">قرار اللجنة المتساوية الأعضاء حول مدة مرور الموظف في الدرجة </t>
  </si>
  <si>
    <t>اليوم</t>
  </si>
  <si>
    <t>الدرجة</t>
  </si>
  <si>
    <t>تاريخ السريان</t>
  </si>
  <si>
    <t xml:space="preserve">الملاحظة </t>
  </si>
  <si>
    <t>باقي الأقدمية المحتفظة للترقية اللاحقة</t>
  </si>
  <si>
    <t xml:space="preserve">مدة الإنقطاع عن العمل </t>
  </si>
  <si>
    <t>مدة الإنقطاع عن العمل ( إستيداع)</t>
  </si>
  <si>
    <t>حساب إمتياز أقدمية الجنوب</t>
  </si>
  <si>
    <t>وضعية الموظف من إمتياز الجنوب الكبير هل هي مستنفذة أم مازالت محتسبة؟</t>
  </si>
  <si>
    <t>هل الموظف إنقطع عن العمل (إستيداع) ؟</t>
  </si>
  <si>
    <t>آخر درجة :</t>
  </si>
  <si>
    <t>باقي المدة المعتمدة</t>
  </si>
  <si>
    <t>باقي الأقديمية المحتفظ بها :</t>
  </si>
  <si>
    <t>تاريخ إنعقاد جلسة اللجنة المتساوية الأعضاء :</t>
  </si>
  <si>
    <t>تاريخ توقيف جدول التأهيل للترقية في الدرجة :</t>
  </si>
  <si>
    <t>هل يحتفظ بباقي أقدمية من مقرر إعتماد لسنوات عمل خارج المؤسسة؟</t>
  </si>
  <si>
    <t xml:space="preserve">    بناءا على قرار اللجنة حول مدة المرور وبناءا على مجموع السنوات الكلي فإن الموظف يستفيد من الترقية كما هي مفصلة في الجدول أدناه</t>
  </si>
  <si>
    <t>درجة</t>
  </si>
  <si>
    <t>نعتذر بناءا على قرار اللجنة حول مدة المرور فإن الموظف لا يمتلك الرصيد الكافي من السنوات للمرور في هذه المدة المخصصة للترقية لذلك يؤجل للمرة القادمة</t>
  </si>
  <si>
    <t xml:space="preserve">الفارق بين تاريخ سريان آخر ترقية وتاريخ توقيف جدول التأهيل للترقية في الدرجة </t>
  </si>
  <si>
    <t>مدة باقي الأقدمية المعتمدة والمحتفظ بها للترقية اللاحقة</t>
  </si>
  <si>
    <t>+</t>
  </si>
  <si>
    <t>ــ</t>
  </si>
  <si>
    <t>مستنفذة</t>
  </si>
  <si>
    <t>لا</t>
  </si>
  <si>
    <t>لطفي بوشوك</t>
  </si>
  <si>
    <t>نعم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</si>
</sst>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 val="double"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theme="9" tint="0.3999755851924192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2"/>
      <color rgb="FF7030A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20"/>
      <color rgb="FFFF0000"/>
      <name val="Estrangelo Edessa"/>
      <family val="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DotDot">
        <color auto="1"/>
      </right>
      <top style="dashDotDot">
        <color auto="1"/>
      </top>
      <bottom/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/>
      <bottom style="mediumDashDotDot">
        <color indexed="64"/>
      </bottom>
      <diagonal/>
    </border>
    <border>
      <left/>
      <right style="mediumDashDotDot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14" fontId="1" fillId="0" borderId="0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/>
    </xf>
    <xf numFmtId="0" fontId="1" fillId="0" borderId="0" xfId="0" applyFont="1" applyProtection="1"/>
    <xf numFmtId="0" fontId="8" fillId="0" borderId="0" xfId="0" applyFont="1" applyAlignment="1" applyProtection="1">
      <alignment vertical="center" wrapText="1" readingOrder="2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1" fillId="2" borderId="0" xfId="0" applyFont="1" applyFill="1" applyProtection="1"/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1" fillId="0" borderId="0" xfId="0" applyNumberFormat="1" applyFont="1" applyProtection="1"/>
    <xf numFmtId="14" fontId="1" fillId="0" borderId="0" xfId="0" applyNumberFormat="1" applyFont="1" applyProtection="1"/>
    <xf numFmtId="0" fontId="1" fillId="0" borderId="1" xfId="0" applyFont="1" applyBorder="1" applyProtection="1"/>
    <xf numFmtId="0" fontId="1" fillId="0" borderId="0" xfId="0" applyFont="1" applyBorder="1" applyProtection="1"/>
    <xf numFmtId="0" fontId="1" fillId="0" borderId="0" xfId="0" applyNumberFormat="1" applyFont="1" applyBorder="1" applyProtection="1"/>
    <xf numFmtId="0" fontId="1" fillId="2" borderId="0" xfId="0" applyFont="1" applyFill="1" applyBorder="1" applyProtection="1"/>
    <xf numFmtId="14" fontId="1" fillId="0" borderId="0" xfId="0" applyNumberFormat="1" applyFont="1" applyBorder="1" applyProtection="1"/>
    <xf numFmtId="0" fontId="1" fillId="7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6" borderId="0" xfId="0" applyFont="1" applyFill="1" applyAlignment="1" applyProtection="1">
      <alignment vertical="center"/>
    </xf>
    <xf numFmtId="0" fontId="1" fillId="6" borderId="10" xfId="0" applyFont="1" applyFill="1" applyBorder="1" applyAlignment="1" applyProtection="1">
      <alignment vertical="center"/>
    </xf>
    <xf numFmtId="0" fontId="1" fillId="6" borderId="0" xfId="0" applyFont="1" applyFill="1" applyProtection="1"/>
    <xf numFmtId="0" fontId="1" fillId="6" borderId="0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right" vertical="center"/>
    </xf>
    <xf numFmtId="0" fontId="1" fillId="6" borderId="11" xfId="0" applyFont="1" applyFill="1" applyBorder="1" applyProtection="1"/>
    <xf numFmtId="0" fontId="4" fillId="0" borderId="9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6" borderId="17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1" fillId="3" borderId="0" xfId="0" applyFont="1" applyFill="1" applyProtection="1"/>
    <xf numFmtId="0" fontId="4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1" fillId="4" borderId="0" xfId="0" applyFont="1" applyFill="1" applyAlignment="1" applyProtection="1">
      <alignment vertical="center"/>
    </xf>
    <xf numFmtId="0" fontId="1" fillId="4" borderId="11" xfId="0" applyFont="1" applyFill="1" applyBorder="1" applyAlignment="1" applyProtection="1">
      <alignment vertical="center"/>
    </xf>
    <xf numFmtId="0" fontId="1" fillId="4" borderId="0" xfId="0" applyFont="1" applyFill="1" applyProtection="1"/>
    <xf numFmtId="0" fontId="4" fillId="4" borderId="0" xfId="0" applyFont="1" applyFill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1" fillId="7" borderId="0" xfId="0" applyFont="1" applyFill="1" applyProtection="1"/>
    <xf numFmtId="0" fontId="20" fillId="7" borderId="0" xfId="0" applyFont="1" applyFill="1" applyAlignment="1" applyProtection="1">
      <alignment vertical="center"/>
    </xf>
    <xf numFmtId="0" fontId="20" fillId="7" borderId="0" xfId="0" applyFont="1" applyFill="1" applyBorder="1" applyAlignment="1" applyProtection="1">
      <alignment vertical="center"/>
    </xf>
    <xf numFmtId="0" fontId="20" fillId="7" borderId="0" xfId="0" applyFont="1" applyFill="1" applyProtection="1"/>
    <xf numFmtId="0" fontId="4" fillId="2" borderId="0" xfId="0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 readingOrder="2"/>
    </xf>
    <xf numFmtId="14" fontId="5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 readingOrder="2"/>
    </xf>
    <xf numFmtId="14" fontId="5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0" borderId="0" xfId="0" quotePrefix="1" applyNumberFormat="1" applyFont="1" applyBorder="1" applyProtection="1">
      <protection locked="0"/>
    </xf>
    <xf numFmtId="0" fontId="1" fillId="0" borderId="0" xfId="0" applyFont="1" applyAlignment="1" applyProtection="1">
      <alignment readingOrder="2"/>
      <protection locked="0"/>
    </xf>
    <xf numFmtId="0" fontId="3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14" fontId="1" fillId="0" borderId="1" xfId="0" quotePrefix="1" applyNumberFormat="1" applyFont="1" applyBorder="1" applyProtection="1">
      <protection locked="0"/>
    </xf>
    <xf numFmtId="14" fontId="1" fillId="0" borderId="0" xfId="0" quotePrefix="1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2" borderId="0" xfId="0" applyNumberFormat="1" applyFont="1" applyFill="1" applyProtection="1"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0" xfId="0" applyNumberFormat="1" applyFont="1" applyFill="1" applyProtection="1"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readingOrder="2"/>
      <protection locked="0"/>
    </xf>
    <xf numFmtId="14" fontId="1" fillId="0" borderId="3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6" xfId="0" applyFont="1" applyBorder="1" applyProtection="1">
      <protection locked="0"/>
    </xf>
    <xf numFmtId="14" fontId="1" fillId="0" borderId="8" xfId="0" applyNumberFormat="1" applyFont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0" fillId="9" borderId="0" xfId="0" applyFill="1"/>
    <xf numFmtId="0" fontId="4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25" fillId="0" borderId="2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right" vertical="center" readingOrder="2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 readingOrder="2"/>
    </xf>
    <xf numFmtId="0" fontId="16" fillId="0" borderId="0" xfId="0" applyFont="1" applyFill="1" applyBorder="1" applyAlignment="1" applyProtection="1">
      <alignment horizontal="right" vertical="center" readingOrder="2"/>
    </xf>
    <xf numFmtId="0" fontId="17" fillId="0" borderId="0" xfId="0" applyFont="1" applyFill="1" applyBorder="1" applyAlignment="1" applyProtection="1">
      <alignment horizontal="right" vertical="center" readingOrder="2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horizontal="center" vertical="center" readingOrder="2"/>
    </xf>
    <xf numFmtId="0" fontId="23" fillId="0" borderId="1" xfId="0" applyFont="1" applyBorder="1" applyAlignment="1" applyProtection="1">
      <alignment horizontal="right" vertical="center" wrapText="1"/>
    </xf>
    <xf numFmtId="0" fontId="7" fillId="7" borderId="0" xfId="0" applyFont="1" applyFill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 vertical="center" readingOrder="2"/>
    </xf>
    <xf numFmtId="0" fontId="10" fillId="5" borderId="12" xfId="0" applyFont="1" applyFill="1" applyBorder="1" applyAlignment="1" applyProtection="1">
      <alignment horizontal="center" vertical="center"/>
    </xf>
    <xf numFmtId="0" fontId="10" fillId="5" borderId="9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10" fillId="7" borderId="11" xfId="0" applyFont="1" applyFill="1" applyBorder="1" applyAlignment="1" applyProtection="1">
      <alignment horizontal="right" vertical="center"/>
    </xf>
    <xf numFmtId="0" fontId="10" fillId="7" borderId="0" xfId="0" applyFont="1" applyFill="1" applyBorder="1" applyAlignment="1" applyProtection="1">
      <alignment horizontal="right" vertical="center"/>
    </xf>
    <xf numFmtId="0" fontId="7" fillId="0" borderId="0" xfId="0" quotePrefix="1" applyFont="1" applyAlignment="1" applyProtection="1">
      <alignment horizontal="center" vertical="center"/>
    </xf>
    <xf numFmtId="0" fontId="19" fillId="0" borderId="0" xfId="0" applyFont="1" applyAlignment="1" applyProtection="1">
      <alignment horizontal="right" vertical="center" wrapText="1" readingOrder="2"/>
    </xf>
    <xf numFmtId="0" fontId="18" fillId="8" borderId="0" xfId="0" applyFont="1" applyFill="1" applyBorder="1" applyAlignment="1" applyProtection="1">
      <alignment horizontal="center" vertical="center" wrapText="1"/>
    </xf>
    <xf numFmtId="0" fontId="18" fillId="8" borderId="16" xfId="0" applyFont="1" applyFill="1" applyBorder="1" applyAlignment="1" applyProtection="1">
      <alignment horizontal="center" vertical="center" wrapText="1"/>
    </xf>
    <xf numFmtId="0" fontId="14" fillId="8" borderId="0" xfId="0" applyFont="1" applyFill="1" applyAlignment="1" applyProtection="1">
      <alignment horizontal="right" vertical="center" readingOrder="2"/>
    </xf>
    <xf numFmtId="0" fontId="23" fillId="0" borderId="1" xfId="0" applyFont="1" applyBorder="1" applyAlignment="1" applyProtection="1">
      <alignment horizontal="right" vertical="center"/>
    </xf>
    <xf numFmtId="0" fontId="5" fillId="4" borderId="1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20" xfId="0" applyFont="1" applyBorder="1" applyAlignment="1" applyProtection="1">
      <alignment horizontal="center" vertical="center"/>
    </xf>
    <xf numFmtId="0" fontId="24" fillId="0" borderId="21" xfId="0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26" fillId="9" borderId="0" xfId="0" applyFont="1" applyFill="1" applyAlignment="1">
      <alignment horizontal="center" vertical="center"/>
    </xf>
  </cellXfs>
  <cellStyles count="1">
    <cellStyle name="Normal" xfId="0" builtinId="0"/>
  </cellStyles>
  <dxfs count="25">
    <dxf>
      <font>
        <color theme="4" tint="0.39994506668294322"/>
      </font>
      <fill>
        <patternFill>
          <bgColor theme="4" tint="0.39994506668294322"/>
        </patternFill>
      </fill>
      <border>
        <left/>
        <right/>
        <top/>
        <bottom/>
        <vertical/>
        <horizontal/>
      </border>
    </dxf>
    <dxf>
      <font>
        <color rgb="FF002060"/>
      </font>
      <fill>
        <patternFill patternType="solid">
          <bgColor theme="9" tint="0.59996337778862885"/>
        </patternFill>
      </fill>
      <border>
        <left style="dashDotDot">
          <color auto="1"/>
        </left>
        <right style="dashDotDot">
          <color auto="1"/>
        </right>
        <top style="dashDotDot">
          <color auto="1"/>
        </top>
        <bottom style="dashDotDot">
          <color auto="1"/>
        </bottom>
        <vertical/>
        <horizontal/>
      </border>
    </dxf>
    <dxf>
      <font>
        <color theme="0"/>
      </font>
      <fill>
        <patternFill patternType="gray0625">
          <bgColor rgb="FFFF0000"/>
        </patternFill>
      </fill>
      <border>
        <left style="dashDot">
          <color auto="1"/>
        </left>
        <right style="dashDot">
          <color auto="1"/>
        </right>
        <top style="dashDot">
          <color auto="1"/>
        </top>
        <bottom style="dashDot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top style="thin">
          <color auto="1"/>
        </top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0"/>
        </patternFill>
      </fill>
      <border>
        <left/>
        <right style="dashDotDot">
          <color auto="1"/>
        </right>
        <top style="dashDotDot">
          <color auto="1"/>
        </top>
        <bottom/>
        <vertical/>
        <horizontal/>
      </border>
    </dxf>
    <dxf>
      <font>
        <color theme="9" tint="0.39994506668294322"/>
      </font>
      <fill>
        <patternFill>
          <bgColor theme="9" tint="0.39994506668294322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192246</xdr:colOff>
      <xdr:row>0</xdr:row>
      <xdr:rowOff>105314</xdr:rowOff>
    </xdr:from>
    <xdr:ext cx="9966639" cy="3326552"/>
    <xdr:sp macro="" textlink="">
      <xdr:nvSpPr>
        <xdr:cNvPr id="2" name="Rectangle 1"/>
        <xdr:cNvSpPr/>
      </xdr:nvSpPr>
      <xdr:spPr>
        <a:xfrm>
          <a:off x="192246" y="105314"/>
          <a:ext cx="9966639" cy="33265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ar-DZ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هذا</a:t>
          </a:r>
          <a:r>
            <a:rPr lang="ar-DZ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العمل صدقة على روح أمي وأبي</a:t>
          </a:r>
        </a:p>
        <a:p>
          <a:pPr algn="ctr"/>
          <a:r>
            <a:rPr lang="ar-DZ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رحمهما الله وأسكنهما فسيح جنانه</a:t>
          </a:r>
        </a:p>
        <a:p>
          <a:pPr algn="ctr"/>
          <a:r>
            <a:rPr lang="ar-DZ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وحشرنا وإياهم مع النبيين والصدقين</a:t>
          </a:r>
        </a:p>
        <a:p>
          <a:pPr algn="ctr"/>
          <a:r>
            <a:rPr lang="ar-DZ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فلا تبخلو عليهما بالدعاء جزاكم الله كل الخير</a:t>
          </a:r>
          <a:endParaRPr lang="fr-F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11</xdr:col>
      <xdr:colOff>657225</xdr:colOff>
      <xdr:row>3</xdr:row>
      <xdr:rowOff>104775</xdr:rowOff>
    </xdr:from>
    <xdr:to>
      <xdr:col>13</xdr:col>
      <xdr:colOff>676275</xdr:colOff>
      <xdr:row>9</xdr:row>
      <xdr:rowOff>180974</xdr:rowOff>
    </xdr:to>
    <xdr:sp macro="" textlink="">
      <xdr:nvSpPr>
        <xdr:cNvPr id="3" name="Flèche droite 2">
          <a:hlinkClick xmlns:r="http://schemas.openxmlformats.org/officeDocument/2006/relationships" r:id="rId1" tooltip="برنامج الترقية في الدرجات"/>
        </xdr:cNvPr>
        <xdr:cNvSpPr/>
      </xdr:nvSpPr>
      <xdr:spPr>
        <a:xfrm>
          <a:off x="9039225" y="676275"/>
          <a:ext cx="1543050" cy="1219199"/>
        </a:xfrm>
        <a:prstGeom prst="right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ar-DZ" sz="1600" b="1">
              <a:solidFill>
                <a:srgbClr val="002060"/>
              </a:solidFill>
            </a:rPr>
            <a:t>أنقر هنا للإنتقال للبرنامج</a:t>
          </a:r>
          <a:endParaRPr lang="fr-FR" sz="16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1"/>
  <dimension ref="A1:AQ48"/>
  <sheetViews>
    <sheetView showGridLines="0" tabSelected="1" zoomScale="70" zoomScaleNormal="70" workbookViewId="0">
      <selection activeCell="J10" sqref="J10"/>
    </sheetView>
  </sheetViews>
  <sheetFormatPr baseColWidth="10" defaultColWidth="0" defaultRowHeight="21" zeroHeight="1"/>
  <cols>
    <col min="1" max="2" width="19.42578125" style="12" customWidth="1"/>
    <col min="3" max="4" width="19.42578125" style="9" customWidth="1"/>
    <col min="5" max="5" width="21" style="9" customWidth="1"/>
    <col min="6" max="6" width="22.42578125" style="9" customWidth="1"/>
    <col min="7" max="7" width="12.28515625" style="9" customWidth="1"/>
    <col min="8" max="8" width="6.5703125" style="9" customWidth="1"/>
    <col min="9" max="9" width="4" style="9" customWidth="1"/>
    <col min="10" max="10" width="20.42578125" style="9" customWidth="1"/>
    <col min="11" max="11" width="4" style="9" customWidth="1"/>
    <col min="12" max="12" width="19.5703125" style="9" customWidth="1"/>
    <col min="13" max="13" width="4" style="9" customWidth="1"/>
    <col min="14" max="14" width="19.140625" style="9" customWidth="1"/>
    <col min="15" max="15" width="4" style="9" customWidth="1"/>
    <col min="16" max="16" width="30.85546875" style="9" customWidth="1"/>
    <col min="17" max="17" width="2.42578125" style="12" customWidth="1"/>
    <col min="18" max="18" width="23.85546875" style="18" hidden="1" customWidth="1"/>
    <col min="19" max="21" width="23.85546875" style="21" hidden="1" customWidth="1"/>
    <col min="22" max="22" width="26.5703125" style="12" hidden="1" customWidth="1"/>
    <col min="23" max="27" width="23.85546875" style="12" hidden="1" customWidth="1"/>
    <col min="28" max="28" width="29.7109375" style="12" hidden="1" customWidth="1"/>
    <col min="29" max="34" width="23.85546875" style="12" hidden="1" customWidth="1"/>
    <col min="35" max="35" width="23.85546875" style="22" hidden="1" customWidth="1"/>
    <col min="36" max="36" width="23.85546875" style="12" hidden="1" customWidth="1"/>
    <col min="37" max="37" width="16.7109375" style="12" hidden="1" customWidth="1"/>
    <col min="38" max="38" width="21.140625" style="12" hidden="1" customWidth="1"/>
    <col min="39" max="39" width="27" style="12" hidden="1" customWidth="1"/>
    <col min="40" max="40" width="11.42578125" style="12" hidden="1" customWidth="1"/>
    <col min="41" max="43" width="23.85546875" style="12" hidden="1" customWidth="1"/>
    <col min="44" max="16384" width="11.42578125" style="12" hidden="1"/>
  </cols>
  <sheetData>
    <row r="1" spans="1:40" ht="11.25" customHeight="1" thickBot="1">
      <c r="C1" s="30"/>
      <c r="D1" s="30"/>
      <c r="E1" s="30"/>
      <c r="F1" s="30"/>
      <c r="G1" s="116"/>
      <c r="H1" s="144">
        <v>1</v>
      </c>
      <c r="I1" s="31"/>
      <c r="J1" s="31"/>
      <c r="K1" s="31"/>
      <c r="L1" s="31"/>
      <c r="M1" s="31"/>
      <c r="N1" s="32"/>
      <c r="O1" s="31"/>
      <c r="P1" s="31"/>
      <c r="Q1" s="33"/>
      <c r="AH1" s="1"/>
      <c r="AI1" s="4"/>
      <c r="AJ1" s="1"/>
      <c r="AK1" s="1"/>
      <c r="AL1" s="1"/>
      <c r="AM1" s="1"/>
      <c r="AN1" s="1"/>
    </row>
    <row r="2" spans="1:40" ht="28.5" customHeight="1">
      <c r="A2" s="114" t="s">
        <v>44</v>
      </c>
      <c r="B2" s="114"/>
      <c r="C2" s="114"/>
      <c r="D2" s="117" t="str">
        <f>$AH$9&amp;"   سنة   "&amp;$AI$9&amp;"   شهر   "&amp;$AJ$9&amp;"   يوم   "</f>
        <v xml:space="preserve">0   سنة   0   شهر   0   يوم   </v>
      </c>
      <c r="E2" s="117"/>
      <c r="G2" s="116"/>
      <c r="H2" s="145"/>
      <c r="I2" s="31"/>
      <c r="J2" s="31"/>
      <c r="K2" s="31"/>
      <c r="L2" s="106"/>
      <c r="M2" s="34"/>
      <c r="N2" s="10"/>
      <c r="O2" s="35"/>
      <c r="P2" s="36" t="s">
        <v>39</v>
      </c>
      <c r="Q2" s="37"/>
      <c r="AH2" s="1"/>
      <c r="AI2" s="4"/>
      <c r="AJ2" s="87" t="s">
        <v>41</v>
      </c>
      <c r="AK2" s="1"/>
      <c r="AL2" s="1"/>
      <c r="AM2" s="1"/>
      <c r="AN2" s="1"/>
    </row>
    <row r="3" spans="1:40" ht="21" customHeight="1">
      <c r="A3" s="114"/>
      <c r="B3" s="114"/>
      <c r="C3" s="114"/>
      <c r="D3" s="117"/>
      <c r="E3" s="117"/>
      <c r="G3" s="116"/>
      <c r="H3" s="145"/>
      <c r="I3" s="31"/>
      <c r="J3" s="31"/>
      <c r="K3" s="31"/>
      <c r="L3" s="34"/>
      <c r="M3" s="34"/>
      <c r="N3" s="34"/>
      <c r="O3" s="32"/>
      <c r="P3" s="34"/>
      <c r="Q3" s="33"/>
      <c r="AH3" s="1"/>
      <c r="AI3" s="4"/>
      <c r="AJ3" s="88" t="s">
        <v>42</v>
      </c>
      <c r="AK3" s="1"/>
      <c r="AL3" s="1"/>
      <c r="AM3" s="1" t="s">
        <v>4</v>
      </c>
      <c r="AN3" s="1"/>
    </row>
    <row r="4" spans="1:40" s="21" customFormat="1" ht="28.5" customHeight="1" thickBot="1">
      <c r="A4" s="114" t="str">
        <f>IF(AND($AJ$15=0,$AI$15=0,$AH$15=0),"","الأقدمية المحتفظ بها من آخر ترقية سابقة في الدرجة : ")</f>
        <v/>
      </c>
      <c r="B4" s="114"/>
      <c r="C4" s="114"/>
      <c r="D4" s="117" t="str">
        <f>IF(AND($AJ$15=0,$AI$15=0,$AH$15=0),"",$AH$15&amp;"   سنة   "&amp;$AI$15&amp;"   شهر   "&amp;$AJ$15&amp;"   يوم   ")</f>
        <v/>
      </c>
      <c r="E4" s="117"/>
      <c r="F4" s="118" t="s">
        <v>46</v>
      </c>
      <c r="G4" s="116"/>
      <c r="H4" s="145"/>
      <c r="I4" s="31"/>
      <c r="J4" s="31"/>
      <c r="K4" s="31"/>
      <c r="L4" s="106"/>
      <c r="M4" s="34"/>
      <c r="N4" s="35"/>
      <c r="O4" s="10"/>
      <c r="P4" s="38" t="s">
        <v>38</v>
      </c>
      <c r="Q4" s="37"/>
      <c r="AH4" s="3"/>
      <c r="AI4" s="89"/>
      <c r="AJ4" s="90" t="s">
        <v>43</v>
      </c>
      <c r="AK4" s="3"/>
      <c r="AL4" s="3"/>
      <c r="AM4" s="91" t="str">
        <f>IF(DATEDIF(N6,L2,"y"),DATEDIF(N6,L2,"y")&amp;" سنه ","")&amp;" "&amp;IF(DATEDIF(N6,L2,"ym"),DATEDIF(N6,L2,"ym")&amp;" شهر ","")&amp;" "&amp;IF(DATEDIF(N6,L2,"md"),DATEDIF(N6,L2,"md")&amp;" يوم ","")</f>
        <v xml:space="preserve">  </v>
      </c>
      <c r="AN4" s="3"/>
    </row>
    <row r="5" spans="1:40" ht="21" customHeight="1">
      <c r="A5" s="114"/>
      <c r="B5" s="114"/>
      <c r="C5" s="114"/>
      <c r="D5" s="117"/>
      <c r="E5" s="117"/>
      <c r="F5" s="118"/>
      <c r="G5" s="116"/>
      <c r="H5" s="145"/>
      <c r="I5" s="31"/>
      <c r="J5" s="31"/>
      <c r="K5" s="31"/>
      <c r="L5" s="31"/>
      <c r="M5" s="31"/>
      <c r="N5" s="31"/>
      <c r="O5" s="31"/>
      <c r="P5" s="32"/>
      <c r="Q5" s="33"/>
      <c r="AD5" s="23"/>
      <c r="AE5" s="23"/>
      <c r="AF5" s="23"/>
      <c r="AG5" s="23"/>
      <c r="AH5" s="5"/>
      <c r="AI5" s="4">
        <v>11111</v>
      </c>
      <c r="AJ5" s="1"/>
      <c r="AK5" s="1"/>
      <c r="AL5" s="1"/>
      <c r="AM5" s="1"/>
      <c r="AN5" s="1"/>
    </row>
    <row r="6" spans="1:40" ht="23.25" customHeight="1">
      <c r="A6" s="115" t="s">
        <v>30</v>
      </c>
      <c r="B6" s="115"/>
      <c r="C6" s="115"/>
      <c r="D6" s="120" t="str">
        <f>$AH$16&amp;"   سنة   "&amp;$AI$16&amp;"   شهر   "&amp;$AJ$16&amp;"   يوم   "</f>
        <v xml:space="preserve">0   سنة   6   شهر   0   يوم   </v>
      </c>
      <c r="E6" s="120"/>
      <c r="F6" s="119" t="s">
        <v>47</v>
      </c>
      <c r="G6" s="116"/>
      <c r="H6" s="145"/>
      <c r="I6" s="31"/>
      <c r="J6" s="107"/>
      <c r="K6" s="34"/>
      <c r="L6" s="19" t="s">
        <v>35</v>
      </c>
      <c r="M6" s="34"/>
      <c r="N6" s="106"/>
      <c r="O6" s="34"/>
      <c r="P6" s="39" t="str">
        <f>IF(J6="موظف جديد","تاريخ التوظيف : ","تاريخ سريان آخر درجة  :")</f>
        <v>تاريخ سريان آخر درجة  :</v>
      </c>
      <c r="Q6" s="37"/>
      <c r="AD6" s="23"/>
      <c r="AE6" s="23"/>
      <c r="AF6" s="23"/>
      <c r="AG6" s="23"/>
      <c r="AH6" s="5"/>
      <c r="AI6" s="4"/>
      <c r="AJ6" s="1"/>
      <c r="AK6" s="1"/>
      <c r="AL6" s="92" t="str">
        <f>IF($N$6="","",$N$6)</f>
        <v/>
      </c>
      <c r="AM6" s="1"/>
      <c r="AN6" s="93" t="s">
        <v>5</v>
      </c>
    </row>
    <row r="7" spans="1:40">
      <c r="A7" s="115"/>
      <c r="B7" s="115"/>
      <c r="C7" s="115"/>
      <c r="D7" s="120"/>
      <c r="E7" s="120"/>
      <c r="F7" s="119"/>
      <c r="G7" s="116"/>
      <c r="H7" s="145"/>
      <c r="I7" s="31"/>
      <c r="J7" s="40" t="s">
        <v>25</v>
      </c>
      <c r="K7" s="41"/>
      <c r="L7" s="40" t="s">
        <v>21</v>
      </c>
      <c r="M7" s="41"/>
      <c r="N7" s="40" t="s">
        <v>22</v>
      </c>
      <c r="O7" s="34"/>
      <c r="P7" s="34"/>
      <c r="Q7" s="33"/>
      <c r="AD7" s="23"/>
      <c r="AE7" s="23"/>
      <c r="AF7" s="23"/>
      <c r="AG7" s="23"/>
      <c r="AH7" s="5"/>
      <c r="AI7" s="4"/>
      <c r="AJ7" s="1"/>
      <c r="AK7" s="1"/>
      <c r="AL7" s="92" t="str">
        <f>IF($L$2="","",$L$2)</f>
        <v/>
      </c>
      <c r="AM7" s="1"/>
      <c r="AN7" s="93" t="s">
        <v>20</v>
      </c>
    </row>
    <row r="8" spans="1:40" ht="24.75" customHeight="1">
      <c r="A8" s="115" t="s">
        <v>45</v>
      </c>
      <c r="B8" s="115"/>
      <c r="C8" s="115"/>
      <c r="D8" s="121" t="str">
        <f>$AH$17&amp;"   سنة   "&amp;$AI$17&amp;"   شهر   "&amp;$AJ$17&amp;"   يوم   "</f>
        <v xml:space="preserve">0   سنة   0   شهر   0   يوم   </v>
      </c>
      <c r="E8" s="121"/>
      <c r="F8" s="119" t="s">
        <v>46</v>
      </c>
      <c r="G8" s="116"/>
      <c r="H8" s="145"/>
      <c r="I8" s="31"/>
      <c r="J8" s="108"/>
      <c r="K8" s="41"/>
      <c r="L8" s="108"/>
      <c r="M8" s="41"/>
      <c r="N8" s="108"/>
      <c r="O8" s="34"/>
      <c r="P8" s="42" t="s">
        <v>37</v>
      </c>
      <c r="Q8" s="33"/>
      <c r="AD8" s="23"/>
      <c r="AE8" s="23"/>
      <c r="AF8" s="23"/>
      <c r="AG8" s="23"/>
      <c r="AH8" s="85" t="s">
        <v>1</v>
      </c>
      <c r="AI8" s="83" t="s">
        <v>2</v>
      </c>
      <c r="AJ8" s="83" t="s">
        <v>3</v>
      </c>
      <c r="AK8" s="1"/>
      <c r="AL8" s="1"/>
      <c r="AM8" s="1"/>
      <c r="AN8" s="1"/>
    </row>
    <row r="9" spans="1:40" ht="24.75" customHeight="1" thickBot="1">
      <c r="A9" s="115"/>
      <c r="B9" s="115"/>
      <c r="C9" s="115"/>
      <c r="D9" s="121"/>
      <c r="E9" s="121"/>
      <c r="F9" s="119"/>
      <c r="G9" s="116"/>
      <c r="H9" s="146"/>
      <c r="I9" s="31"/>
      <c r="J9" s="31"/>
      <c r="K9" s="31"/>
      <c r="L9" s="31"/>
      <c r="M9" s="31"/>
      <c r="N9" s="31"/>
      <c r="O9" s="31"/>
      <c r="P9" s="34"/>
      <c r="Q9" s="33"/>
      <c r="AD9" s="23"/>
      <c r="AE9" s="23"/>
      <c r="AF9" s="23"/>
      <c r="AG9" s="23"/>
      <c r="AH9" s="94">
        <f>IF(OR($AL$6="",$AL$7=""),0,DATEDIF($AL$6,$AL$7,"y"))</f>
        <v>0</v>
      </c>
      <c r="AI9" s="95">
        <f>IF(OR($AL$6="",$AL$7=""),0,(DATEDIF($AL$6,$AL$7,"ym")))</f>
        <v>0</v>
      </c>
      <c r="AJ9" s="1">
        <f>IF(OR($AL$6="",$AL$7=""),0,DATEDIF($AL$6,$AL$7,"md"))</f>
        <v>0</v>
      </c>
      <c r="AK9" s="96">
        <v>1</v>
      </c>
      <c r="AL9" s="97"/>
      <c r="AM9" s="98" t="s">
        <v>10</v>
      </c>
      <c r="AN9" s="1"/>
    </row>
    <row r="10" spans="1:40" ht="23.25">
      <c r="A10" s="115" t="str">
        <f>IF($AL$10="محتسبة","مدة الزيادة التي يستفيد منها الموظف من إمتياز الجنوب  ","")</f>
        <v/>
      </c>
      <c r="B10" s="115"/>
      <c r="C10" s="115"/>
      <c r="D10" s="122" t="str">
        <f>IF($AL$10="محتسبة",($AH$12&amp;"   سنة   "&amp;$AI$12&amp;"   شهر   "&amp;$AJ$12&amp;"   يوم   "),IF($AL$10="مستنفذة","",""))</f>
        <v/>
      </c>
      <c r="E10" s="122"/>
      <c r="F10" s="119" t="s">
        <v>46</v>
      </c>
      <c r="G10" s="116"/>
      <c r="H10" s="144">
        <v>2</v>
      </c>
      <c r="I10" s="43"/>
      <c r="J10" s="7" t="s">
        <v>51</v>
      </c>
      <c r="K10" s="44"/>
      <c r="L10" s="45"/>
      <c r="M10" s="43"/>
      <c r="N10" s="133" t="s">
        <v>34</v>
      </c>
      <c r="O10" s="133"/>
      <c r="P10" s="134"/>
      <c r="Q10" s="46"/>
      <c r="AD10" s="23"/>
      <c r="AE10" s="23"/>
      <c r="AF10" s="23"/>
      <c r="AG10" s="23"/>
      <c r="AH10" s="1" t="str">
        <f>IF($AK$11="","",DATEDIF($AK$11,$L$2,"y"))</f>
        <v/>
      </c>
      <c r="AI10" s="1" t="str">
        <f>IF($AK$11="","",DATEDIF($AK$11,$L$2,"ym"))</f>
        <v/>
      </c>
      <c r="AJ10" s="1" t="str">
        <f>IF($AK$11="","",DATEDIF($AK$11,$L$2,"md"))</f>
        <v/>
      </c>
      <c r="AK10" s="1"/>
      <c r="AL10" s="99" t="str">
        <f>J19</f>
        <v>مستنفذة</v>
      </c>
      <c r="AM10" s="100"/>
      <c r="AN10" s="1"/>
    </row>
    <row r="11" spans="1:40" ht="21" customHeight="1">
      <c r="A11" s="115"/>
      <c r="B11" s="115"/>
      <c r="C11" s="115"/>
      <c r="D11" s="122"/>
      <c r="E11" s="122"/>
      <c r="F11" s="119"/>
      <c r="G11" s="116"/>
      <c r="H11" s="145"/>
      <c r="I11" s="43"/>
      <c r="J11" s="47" t="s">
        <v>25</v>
      </c>
      <c r="K11" s="48"/>
      <c r="L11" s="45" t="s">
        <v>21</v>
      </c>
      <c r="M11" s="48"/>
      <c r="N11" s="45" t="s">
        <v>22</v>
      </c>
      <c r="O11" s="46"/>
      <c r="P11" s="43"/>
      <c r="Q11" s="46"/>
      <c r="AD11" s="23"/>
      <c r="AE11" s="23"/>
      <c r="AF11" s="23"/>
      <c r="AG11" s="23"/>
      <c r="AH11" s="101">
        <f>IF(AND(AH10&lt;&gt;"",AL10="محتسبة"),(AH10/2),0)</f>
        <v>0</v>
      </c>
      <c r="AI11" s="101">
        <f>IF(AND(AI10&lt;&gt;"",AL10="محتسبة"),(AI10/2),0)</f>
        <v>0</v>
      </c>
      <c r="AJ11" s="1">
        <f>IF(AND(AJ10&lt;&gt;"",AL10="محتسبة"),INT(AJ10/2),0)</f>
        <v>0</v>
      </c>
      <c r="AK11" s="102" t="str">
        <f>IF($J$21="","",$J$21)</f>
        <v/>
      </c>
      <c r="AL11" s="1" t="s">
        <v>11</v>
      </c>
      <c r="AM11" s="1"/>
      <c r="AN11" s="1"/>
    </row>
    <row r="12" spans="1:40" ht="21" customHeight="1">
      <c r="A12" s="139" t="s">
        <v>23</v>
      </c>
      <c r="B12" s="139"/>
      <c r="C12" s="140"/>
      <c r="D12" s="141" t="str">
        <f>($AH$20&amp;"   سنة   "&amp;$AI$20&amp;"   شهر   "&amp;$AJ$20&amp;"   يوم   ")</f>
        <v xml:space="preserve">-1   سنة   6   شهر   0   يوم   </v>
      </c>
      <c r="E12" s="141"/>
      <c r="G12" s="116"/>
      <c r="H12" s="145"/>
      <c r="I12" s="43"/>
      <c r="J12" s="6"/>
      <c r="K12" s="49"/>
      <c r="L12" s="6">
        <v>6</v>
      </c>
      <c r="M12" s="49"/>
      <c r="N12" s="6"/>
      <c r="O12" s="46"/>
      <c r="P12" s="50" t="s">
        <v>30</v>
      </c>
      <c r="Q12" s="46"/>
      <c r="AD12" s="23"/>
      <c r="AE12" s="23"/>
      <c r="AF12" s="23"/>
      <c r="AG12" s="23"/>
      <c r="AH12" s="83">
        <f>IF(AI13=0.5,(AH11-0.5),AH11)</f>
        <v>0</v>
      </c>
      <c r="AI12" s="83">
        <f>IF(AH13&gt;0,(AI11+6),IF(AND(AJ13=0.5,AH13&lt;=0),(AI11-0.5),IF(AH13=0,(AI11))))</f>
        <v>0</v>
      </c>
      <c r="AJ12" s="83">
        <f>IF(AJ13=0.5,AJ11+15,AJ11)</f>
        <v>0</v>
      </c>
      <c r="AK12" s="1">
        <v>2</v>
      </c>
      <c r="AL12" s="103"/>
      <c r="AM12" s="1"/>
      <c r="AN12" s="1"/>
    </row>
    <row r="13" spans="1:40" ht="21.75" thickBot="1">
      <c r="A13" s="139"/>
      <c r="B13" s="139"/>
      <c r="C13" s="140"/>
      <c r="D13" s="141"/>
      <c r="E13" s="141"/>
      <c r="G13" s="116"/>
      <c r="H13" s="146"/>
      <c r="I13" s="43"/>
      <c r="J13" s="43"/>
      <c r="K13" s="43"/>
      <c r="L13" s="43"/>
      <c r="M13" s="43"/>
      <c r="N13" s="43"/>
      <c r="O13" s="43"/>
      <c r="P13" s="43"/>
      <c r="Q13" s="46"/>
      <c r="AD13" s="23"/>
      <c r="AE13" s="23"/>
      <c r="AF13" s="23"/>
      <c r="AG13" s="23"/>
      <c r="AH13" s="104">
        <f>AI13-AJ13</f>
        <v>0</v>
      </c>
      <c r="AI13" s="104">
        <f>AH11-INT(AH11)</f>
        <v>0</v>
      </c>
      <c r="AJ13" s="105">
        <f>AI11-INT(AI11)</f>
        <v>0</v>
      </c>
      <c r="AK13" s="1"/>
      <c r="AL13" s="1"/>
      <c r="AM13" s="1"/>
      <c r="AN13" s="1"/>
    </row>
    <row r="14" spans="1:40" ht="24" thickBot="1">
      <c r="A14" s="137" t="str">
        <f>IF($AI$22&gt;=30,"يؤهل الموظف ضمن جدول الترقية في الدرجات","الموظف لا يمكنه التأهيل ضمن الجدول لعدم إستيفائه شرط المدة الدنيا 2 سنة و 06 أشهر يؤجل للمرة القادمة")</f>
        <v>الموظف لا يمكنه التأهيل ضمن الجدول لعدم إستيفائه شرط المدة الدنيا 2 سنة و 06 أشهر يؤجل للمرة القادمة</v>
      </c>
      <c r="B14" s="137"/>
      <c r="C14" s="137"/>
      <c r="D14" s="137"/>
      <c r="E14" s="137"/>
      <c r="F14" s="137"/>
      <c r="G14" s="137"/>
      <c r="H14" s="147">
        <v>3</v>
      </c>
      <c r="I14" s="51"/>
      <c r="J14" s="7" t="s">
        <v>49</v>
      </c>
      <c r="K14" s="52"/>
      <c r="L14" s="131" t="s">
        <v>40</v>
      </c>
      <c r="M14" s="131"/>
      <c r="N14" s="131"/>
      <c r="O14" s="131"/>
      <c r="P14" s="132"/>
      <c r="Q14" s="53"/>
      <c r="AD14" s="23"/>
      <c r="AE14" s="23"/>
      <c r="AF14" s="23"/>
      <c r="AG14" s="23"/>
      <c r="AH14" s="80" t="s">
        <v>9</v>
      </c>
      <c r="AI14" s="85" t="s">
        <v>8</v>
      </c>
      <c r="AJ14" s="83" t="s">
        <v>7</v>
      </c>
      <c r="AK14" s="1"/>
      <c r="AL14" s="1"/>
      <c r="AM14" s="1"/>
      <c r="AN14" s="1"/>
    </row>
    <row r="15" spans="1:40" ht="29.25" thickBot="1">
      <c r="A15" s="11">
        <v>5</v>
      </c>
      <c r="C15" s="111" t="s">
        <v>16</v>
      </c>
      <c r="F15" s="10"/>
      <c r="G15" s="112" t="s">
        <v>24</v>
      </c>
      <c r="H15" s="148"/>
      <c r="I15" s="51"/>
      <c r="J15" s="54" t="s">
        <v>25</v>
      </c>
      <c r="K15" s="55"/>
      <c r="L15" s="54" t="s">
        <v>21</v>
      </c>
      <c r="M15" s="55"/>
      <c r="N15" s="54" t="s">
        <v>22</v>
      </c>
      <c r="O15" s="51"/>
      <c r="P15" s="51"/>
      <c r="Q15" s="53"/>
      <c r="AD15" s="23"/>
      <c r="AE15" s="23"/>
      <c r="AF15" s="23"/>
      <c r="AG15" s="23"/>
      <c r="AH15" s="85">
        <f>N8</f>
        <v>0</v>
      </c>
      <c r="AI15" s="83">
        <f>L8</f>
        <v>0</v>
      </c>
      <c r="AJ15" s="83">
        <f>J8</f>
        <v>0</v>
      </c>
      <c r="AK15" s="96">
        <v>3</v>
      </c>
      <c r="AL15" s="97"/>
      <c r="AM15" s="98" t="s">
        <v>6</v>
      </c>
      <c r="AN15" s="1"/>
    </row>
    <row r="16" spans="1:40" ht="23.25" customHeight="1">
      <c r="A16" s="138" t="str">
        <f>IF(AND($AL$22="الدنيا",$AJ$26&lt;&gt;0),$AJ$2,IF(AND($AL$22="المتوسطة",$AD$26&lt;&gt;0),$AJ$2,IF(AND($AL$22="القصوى",$X$26&lt;&gt;0),$AJ$2,$AJ$4)))</f>
        <v xml:space="preserve">    بناءا على قرار اللجنة حول مدة المرور وبناءا على مجموع السنوات الكلي فإن الموظف يستفيد من الترقية كما هي مفصلة في الجدول أدناه</v>
      </c>
      <c r="B16" s="138"/>
      <c r="C16" s="138"/>
      <c r="D16" s="138"/>
      <c r="E16" s="138"/>
      <c r="F16" s="13"/>
      <c r="H16" s="148"/>
      <c r="I16" s="51"/>
      <c r="J16" s="6"/>
      <c r="K16" s="56"/>
      <c r="L16" s="6"/>
      <c r="M16" s="56"/>
      <c r="N16" s="6"/>
      <c r="O16" s="57"/>
      <c r="P16" s="58" t="s">
        <v>36</v>
      </c>
      <c r="Q16" s="53"/>
      <c r="AD16" s="23"/>
      <c r="AE16" s="23"/>
      <c r="AF16" s="23"/>
      <c r="AG16" s="23"/>
      <c r="AH16" s="85">
        <f>IF($J$10="لا",0,$N$12)</f>
        <v>0</v>
      </c>
      <c r="AI16" s="83">
        <f>IF($J$10="لا",0,$L$12)</f>
        <v>6</v>
      </c>
      <c r="AJ16" s="83">
        <f>IF($J$10="لا",0,$J$12)</f>
        <v>0</v>
      </c>
      <c r="AK16" s="96"/>
      <c r="AL16" s="97"/>
      <c r="AM16" s="98" t="s">
        <v>31</v>
      </c>
      <c r="AN16" s="1"/>
    </row>
    <row r="17" spans="1:40" ht="21" customHeight="1" thickBot="1">
      <c r="A17" s="138"/>
      <c r="B17" s="138"/>
      <c r="C17" s="138"/>
      <c r="D17" s="138"/>
      <c r="E17" s="138"/>
      <c r="F17" s="13"/>
      <c r="G17" s="10"/>
      <c r="H17" s="149"/>
      <c r="I17" s="51"/>
      <c r="J17" s="51"/>
      <c r="K17" s="51"/>
      <c r="L17" s="51"/>
      <c r="M17" s="51"/>
      <c r="N17" s="51"/>
      <c r="O17" s="51"/>
      <c r="P17" s="51"/>
      <c r="Q17" s="53"/>
      <c r="AD17" s="23"/>
      <c r="AE17" s="23"/>
      <c r="AF17" s="23"/>
      <c r="AG17" s="23"/>
      <c r="AH17" s="85">
        <f>IF($J$14="لا",0,$N$16)</f>
        <v>0</v>
      </c>
      <c r="AI17" s="85">
        <f>IF($J$14="لا",0,$L$16)</f>
        <v>0</v>
      </c>
      <c r="AJ17" s="83">
        <f>IF($J$14="لا",0,$J$16)</f>
        <v>0</v>
      </c>
      <c r="AK17" s="96">
        <v>4</v>
      </c>
      <c r="AL17" s="97"/>
      <c r="AM17" s="98" t="s">
        <v>12</v>
      </c>
      <c r="AN17" s="1"/>
    </row>
    <row r="18" spans="1:40" ht="23.25">
      <c r="A18" s="143" t="s">
        <v>28</v>
      </c>
      <c r="B18" s="143"/>
      <c r="C18" s="143"/>
      <c r="D18" s="150" t="s">
        <v>29</v>
      </c>
      <c r="E18" s="150"/>
      <c r="F18" s="14" t="s">
        <v>27</v>
      </c>
      <c r="G18" s="15" t="s">
        <v>26</v>
      </c>
      <c r="H18" s="144">
        <v>4</v>
      </c>
      <c r="L18" s="59" t="s">
        <v>32</v>
      </c>
      <c r="M18" s="59"/>
      <c r="N18" s="59"/>
      <c r="O18" s="59"/>
      <c r="AD18" s="23"/>
      <c r="AE18" s="23"/>
      <c r="AF18" s="23"/>
      <c r="AG18" s="23"/>
      <c r="AH18" s="5"/>
      <c r="AI18" s="4"/>
      <c r="AJ18" s="1"/>
      <c r="AK18" s="1"/>
      <c r="AL18" s="1"/>
      <c r="AM18" s="1"/>
      <c r="AN18" s="1"/>
    </row>
    <row r="19" spans="1:40" ht="41.25" customHeight="1">
      <c r="A19" s="142" t="str">
        <f>IF($C$15="الدنيا",AI27,IF($C$15="المتوسطة",AC27,IF($C$15="القصوى",W27,"")))</f>
        <v xml:space="preserve">مع الموافقة ولكن يؤجل تحرير المقرر نظرا لتجاوز تاريخ سريان المفعول مع تاريخ جلسة اللجنة </v>
      </c>
      <c r="B19" s="142"/>
      <c r="C19" s="142"/>
      <c r="D19" s="130" t="str">
        <f>IF($C$15="الدنيا",AH27,IF($C$15="المتوسطة",AB27,IF($C$15="القصوى",V27,"")))</f>
        <v/>
      </c>
      <c r="E19" s="130"/>
      <c r="F19" s="16">
        <f t="shared" ref="F19:F23" si="0">IF($AL$22="الدنيا",AJ27,IF($AL$22="المتوسطة",AD27,IF($AL$22="القصوى",X27,"")))</f>
        <v>1277</v>
      </c>
      <c r="G19" s="17">
        <f t="shared" ref="G19:G23" si="1">AK27</f>
        <v>1</v>
      </c>
      <c r="H19" s="145"/>
      <c r="I19" s="29"/>
      <c r="J19" s="109" t="s">
        <v>48</v>
      </c>
      <c r="K19" s="135" t="s">
        <v>33</v>
      </c>
      <c r="L19" s="136"/>
      <c r="M19" s="136"/>
      <c r="N19" s="136"/>
      <c r="O19" s="136"/>
      <c r="P19" s="136"/>
      <c r="Q19" s="136"/>
      <c r="AD19" s="23"/>
      <c r="AE19" s="23"/>
      <c r="AF19" s="23"/>
      <c r="AG19" s="23"/>
      <c r="AH19" s="83">
        <f>(AH9+AH12+AH15+AH17)-AH16</f>
        <v>0</v>
      </c>
      <c r="AI19" s="83">
        <f>(AI9+AI12+AI15+AI17)-AI16</f>
        <v>-6</v>
      </c>
      <c r="AJ19" s="83">
        <f>(AJ9+AJ12+AJ15+AJ17)-AJ16</f>
        <v>0</v>
      </c>
      <c r="AK19" s="96"/>
      <c r="AL19" s="97"/>
      <c r="AM19" s="98" t="s">
        <v>13</v>
      </c>
      <c r="AN19" s="1"/>
    </row>
    <row r="20" spans="1:40" ht="41.25" customHeight="1">
      <c r="A20" s="128" t="str">
        <f>IF($C$15="الدنيا",AI28,IF($C$15="المتوسطة",AC28,IF($C$15="القصوى",W28,"")))</f>
        <v/>
      </c>
      <c r="B20" s="128"/>
      <c r="C20" s="128"/>
      <c r="D20" s="130" t="str">
        <f>IF($C$15="الدنيا",AH28,IF($C$15="المتوسطة",AB28,IF($C$15="القصوى",V28,"")))</f>
        <v/>
      </c>
      <c r="E20" s="130"/>
      <c r="F20" s="16" t="str">
        <f t="shared" si="0"/>
        <v/>
      </c>
      <c r="G20" s="17" t="str">
        <f t="shared" si="1"/>
        <v/>
      </c>
      <c r="H20" s="145"/>
      <c r="I20" s="29"/>
      <c r="J20" s="60"/>
      <c r="K20" s="29"/>
      <c r="L20" s="125" t="str">
        <f>IF(OR($AL$10="",$AL$10="محتسبة"),"","لا يستفيد الموظف من إمتياز أقدمية الجنوب الكبير")</f>
        <v>لا يستفيد الموظف من إمتياز أقدمية الجنوب الكبير</v>
      </c>
      <c r="M20" s="125"/>
      <c r="N20" s="125"/>
      <c r="O20" s="125"/>
      <c r="P20" s="125"/>
      <c r="Q20" s="61"/>
      <c r="AC20" s="25"/>
      <c r="AD20" s="23"/>
      <c r="AE20" s="23"/>
      <c r="AF20" s="23"/>
      <c r="AG20" s="23"/>
      <c r="AH20" s="83">
        <f>AH19+AI21</f>
        <v>-1</v>
      </c>
      <c r="AI20" s="83">
        <f>MOD((AI19+AJ21),12)</f>
        <v>6</v>
      </c>
      <c r="AJ20" s="83">
        <f>MOD(AJ19,30)</f>
        <v>0</v>
      </c>
      <c r="AK20" s="1"/>
      <c r="AL20" s="1"/>
      <c r="AM20" s="1"/>
      <c r="AN20" s="1"/>
    </row>
    <row r="21" spans="1:40" ht="41.25" customHeight="1">
      <c r="A21" s="128" t="str">
        <f>IF($C$15="الدنيا",AI29,IF($C$15="المتوسطة",AC29,IF($C$15="القصوى",W29,"")))</f>
        <v/>
      </c>
      <c r="B21" s="128"/>
      <c r="C21" s="128"/>
      <c r="D21" s="130" t="str">
        <f>IF($C$15="الدنيا",AH29,IF($C$15="المتوسطة",AB29,IF($C$15="القصوى",V29,"")))</f>
        <v/>
      </c>
      <c r="E21" s="130"/>
      <c r="F21" s="16" t="str">
        <f t="shared" si="0"/>
        <v/>
      </c>
      <c r="G21" s="17" t="str">
        <f t="shared" si="1"/>
        <v/>
      </c>
      <c r="H21" s="145"/>
      <c r="I21" s="29"/>
      <c r="J21" s="110"/>
      <c r="K21" s="29"/>
      <c r="L21" s="20" t="str">
        <f>IF(J19="محتسبة","إلــى غــايــــة :","")</f>
        <v/>
      </c>
      <c r="M21" s="29"/>
      <c r="N21" s="29"/>
      <c r="O21" s="29"/>
      <c r="P21" s="29"/>
      <c r="Q21" s="61"/>
      <c r="AD21" s="23"/>
      <c r="AE21" s="23"/>
      <c r="AF21" s="23"/>
      <c r="AG21" s="23"/>
      <c r="AH21" s="104">
        <f>IF(AL22="الدنيا",1,IF(AL22="المتوسطة",2,IF(AL22="القصوى",3,"")))</f>
        <v>3</v>
      </c>
      <c r="AI21" s="2">
        <f>INT((AI19+AJ21)/12)</f>
        <v>-1</v>
      </c>
      <c r="AJ21" s="2">
        <f>INT(AJ19/30)</f>
        <v>0</v>
      </c>
      <c r="AK21" s="1"/>
      <c r="AL21" s="1"/>
      <c r="AM21" s="1"/>
      <c r="AN21" s="1"/>
    </row>
    <row r="22" spans="1:40" ht="41.25" customHeight="1">
      <c r="A22" s="128" t="str">
        <f>IF($C$15="الدنيا",AI30,IF($C$15="المتوسطة",AC30,IF($C$15="القصوى",W30,"")))</f>
        <v/>
      </c>
      <c r="B22" s="128"/>
      <c r="C22" s="128"/>
      <c r="D22" s="130" t="str">
        <f>IF($C$15="الدنيا",AH30,IF($C$15="المتوسطة",AB30,IF($C$15="القصوى",V30,"")))</f>
        <v/>
      </c>
      <c r="E22" s="130"/>
      <c r="F22" s="16" t="str">
        <f t="shared" si="0"/>
        <v/>
      </c>
      <c r="G22" s="17" t="str">
        <f t="shared" si="1"/>
        <v/>
      </c>
      <c r="H22" s="145"/>
      <c r="I22" s="29"/>
      <c r="J22" s="129" t="str">
        <f>IF($AL$10="محتسبة","مدة الفارق بين تاريخ توقيف جدول التأهيل وتاريخ توقيف إحتساب أقدمية الجنوب الكبير ","")</f>
        <v/>
      </c>
      <c r="K22" s="129"/>
      <c r="L22" s="129"/>
      <c r="M22" s="129"/>
      <c r="N22" s="129"/>
      <c r="O22" s="129"/>
      <c r="P22" s="129"/>
      <c r="Q22" s="61"/>
      <c r="AC22" s="1"/>
      <c r="AD22" s="5"/>
      <c r="AE22" s="23"/>
      <c r="AF22" s="23"/>
      <c r="AG22" s="23"/>
      <c r="AI22" s="1">
        <f>AI20+(AH20*12)</f>
        <v>-6</v>
      </c>
      <c r="AJ22" s="1"/>
      <c r="AK22" s="1"/>
      <c r="AL22" s="1" t="str">
        <f>C15</f>
        <v>القصوى</v>
      </c>
      <c r="AM22" s="1" t="s">
        <v>19</v>
      </c>
    </row>
    <row r="23" spans="1:40" ht="41.25" customHeight="1" thickBot="1">
      <c r="A23" s="128" t="str">
        <f>IF($C$15="الدنيا",AI31,IF($C$15="المتوسطة",AC31,IF($C$15="القصوى",W31,"")))</f>
        <v/>
      </c>
      <c r="B23" s="128"/>
      <c r="C23" s="128"/>
      <c r="D23" s="130" t="str">
        <f>IF($C$15="الدنيا",AH31,IF($C$15="المتوسطة",AB31,IF($C$15="القصوى",V31,"")))</f>
        <v/>
      </c>
      <c r="E23" s="130"/>
      <c r="F23" s="16" t="str">
        <f t="shared" si="0"/>
        <v/>
      </c>
      <c r="G23" s="17" t="str">
        <f t="shared" si="1"/>
        <v/>
      </c>
      <c r="H23" s="146"/>
      <c r="I23" s="62"/>
      <c r="J23" s="62"/>
      <c r="K23" s="62"/>
      <c r="L23" s="127" t="str">
        <f>IF($AL$10="محتسبة",($AH$10&amp;"   سنة   "&amp;$AI$10&amp;"   شهر   "&amp;$AJ$10&amp;"   يوم   "),IF($AL$10="مستنفذة","",""))</f>
        <v/>
      </c>
      <c r="M23" s="127"/>
      <c r="N23" s="127"/>
      <c r="O23" s="127"/>
      <c r="P23" s="63"/>
      <c r="Q23" s="64"/>
      <c r="W23" s="1"/>
      <c r="X23" s="83" t="s">
        <v>16</v>
      </c>
      <c r="Y23" s="25"/>
      <c r="Z23" s="25"/>
      <c r="AA23" s="25"/>
      <c r="AC23" s="1"/>
      <c r="AD23" s="85" t="s">
        <v>15</v>
      </c>
      <c r="AE23" s="26"/>
      <c r="AF23" s="26"/>
      <c r="AG23" s="26"/>
      <c r="AI23" s="4"/>
      <c r="AJ23" s="83" t="s">
        <v>14</v>
      </c>
      <c r="AK23" s="1"/>
      <c r="AL23" s="126" t="str">
        <f>IF(J19="محتسبة","الموظف يستفيد من التخفيض في فترات الترقية وفقا لإمتيازات الجنوب بمعنى المدة الدنيا : 20 شهر المدة المتوسطة : 24 شهر والمدة القصوى : 36 شهر",IF(J19="مستنفذة","الموظف هنا لا يستفيد من إمتياز تخفيض الجنوب وتحسب الترقية وفق الأمر 06/03 المدة الدنيا :2,5 سنة المدة المتوسطة : 03 سنوات المدة القصوى : 3,5 سنة",""))</f>
        <v>الموظف هنا لا يستفيد من إمتياز تخفيض الجنوب وتحسب الترقية وفق الأمر 06/03 المدة الدنيا :2,5 سنة المدة المتوسطة : 03 سنوات المدة القصوى : 3,5 سنة</v>
      </c>
      <c r="AM23" s="126"/>
    </row>
    <row r="24" spans="1:40" s="18" customFormat="1" ht="21" hidden="1" customHeight="1">
      <c r="C24" s="65"/>
      <c r="D24" s="66"/>
      <c r="E24" s="67"/>
      <c r="F24" s="68"/>
      <c r="G24" s="66"/>
      <c r="H24" s="66"/>
      <c r="I24" s="66"/>
      <c r="J24" s="66"/>
      <c r="K24" s="66"/>
      <c r="L24" s="66"/>
      <c r="M24" s="66"/>
      <c r="N24" s="66"/>
      <c r="O24" s="69"/>
      <c r="P24" s="66"/>
      <c r="W24" s="2"/>
      <c r="X24" s="84">
        <f>IF($J$19="محتسبة",$AI$22/32,IF($J$19="مستنفذة",$AI$22/42,0))</f>
        <v>-0.14285714285714285</v>
      </c>
      <c r="Y24" s="27"/>
      <c r="Z24" s="27"/>
      <c r="AA24" s="27"/>
      <c r="AC24" s="2"/>
      <c r="AD24" s="84">
        <f>IF($J$19="محتسبة",$AI$22/26,IF($J$19="مستنفذة",$AI$22/36,0))</f>
        <v>-0.16666666666666666</v>
      </c>
      <c r="AE24" s="27"/>
      <c r="AF24" s="27"/>
      <c r="AG24" s="27"/>
      <c r="AI24" s="86"/>
      <c r="AJ24" s="84">
        <f>IF($J$19="محتسبة",$AI$22/20,IF($J$19="مستنفذة",$AI$22/30,0))</f>
        <v>-0.2</v>
      </c>
      <c r="AK24" s="2"/>
      <c r="AL24" s="126"/>
      <c r="AM24" s="126"/>
    </row>
    <row r="25" spans="1:40" ht="27" hidden="1" customHeight="1">
      <c r="C25" s="70"/>
      <c r="E25" s="71"/>
      <c r="F25" s="72"/>
      <c r="P25" s="73"/>
      <c r="W25" s="1"/>
      <c r="X25" s="83">
        <f>IF($J$19="محتسبة",MOD($AI$22,32),IF($J$19="مستنفذة",MOD($AI$22,42),0))</f>
        <v>36</v>
      </c>
      <c r="Y25" s="25"/>
      <c r="Z25" s="25"/>
      <c r="AA25" s="25"/>
      <c r="AC25" s="1"/>
      <c r="AD25" s="83">
        <f>IF($J$19="محتسبة",MOD($AI$22,26),IF($J$19="مستنفذة",MOD($AI$22,36),0))</f>
        <v>30</v>
      </c>
      <c r="AE25" s="25"/>
      <c r="AF25" s="25"/>
      <c r="AG25" s="25"/>
      <c r="AI25" s="4">
        <f>IF(AND(J6="موظف جديد",AL22="الدنيا"),AJ26*1,IF(AND(J6="موظف جديد",AL22="المتوسطة"),AD26*1,IF(AND(J6="موظف جديد",AL22="القصوى"),X26*1,IF(AL22="الدنيا",AJ26*J6,IF(AL22="المتوسطة",AD26*J6,IF(AL22="القصوى",X26*J6))))))</f>
        <v>0</v>
      </c>
      <c r="AJ25" s="83">
        <f>IF($J$19="محتسبة",MOD($AI$22,20),IF($J$19="مستنفذة",MOD($AI$22,30),0))</f>
        <v>24</v>
      </c>
      <c r="AK25" s="1" t="s">
        <v>18</v>
      </c>
      <c r="AL25" s="126"/>
      <c r="AM25" s="126"/>
    </row>
    <row r="26" spans="1:40" ht="27" hidden="1" customHeight="1">
      <c r="W26" s="1"/>
      <c r="X26" s="83">
        <f>INT(X24)</f>
        <v>-1</v>
      </c>
      <c r="Y26" s="25"/>
      <c r="Z26" s="25"/>
      <c r="AA26" s="25"/>
      <c r="AD26" s="24">
        <f>INT(AD24)</f>
        <v>-1</v>
      </c>
      <c r="AE26" s="25"/>
      <c r="AF26" s="25"/>
      <c r="AG26" s="25"/>
      <c r="AI26" s="4"/>
      <c r="AJ26" s="83">
        <f>INT(AJ24)</f>
        <v>-1</v>
      </c>
      <c r="AK26" s="1" t="s">
        <v>17</v>
      </c>
      <c r="AL26" s="126"/>
      <c r="AM26" s="126"/>
    </row>
    <row r="27" spans="1:40" ht="46.5" hidden="1" customHeight="1">
      <c r="S27" s="3"/>
      <c r="T27" s="77">
        <v>42</v>
      </c>
      <c r="U27" s="77">
        <v>36</v>
      </c>
      <c r="V27" s="78" t="str">
        <f t="shared" ref="V27" si="2">IF(AND($J$19="محتسبة",$AL$22="القصوى",X27&lt;&gt;"",$AI$22&gt;=U27),(INT(((AI22-U27)/12))&amp;" سنة "&amp;MOD((AI22-U27),12)&amp;" شهر "&amp;$AJ$20&amp;" يوم "),IF(AND($J$19="مستنفذة",$AL$22="القصوى",X27&lt;&gt;"",$AI$22&gt;=T27),(INT(((AI22-T27)/12))&amp;" سنة "&amp;MOD((AI22-T27),12)&amp;" شهر "&amp;$AJ$20&amp;" يوم "),""))</f>
        <v/>
      </c>
      <c r="W27" s="79" t="str">
        <f t="shared" ref="W27:W35" si="3">IF(AND(X27&lt;&gt;"",X27&lt;$L$4),"بالموافقة ويحرر المقرر",IF(AND(X27&lt;&gt;"",X27&gt;$L$4),"مع الموافقة ولكن يؤجل تحرير المقرر نظرا لتجاوز تاريخ سريان المفعول مع تاريخ جلسة اللجنة ",""))</f>
        <v xml:space="preserve">مع الموافقة ولكن يؤجل تحرير المقرر نظرا لتجاوز تاريخ سريان المفعول مع تاريخ جلسة اللجنة </v>
      </c>
      <c r="X27" s="80">
        <f>IF(AND($J$19="محتسبة",AK27&lt;&gt;"",$AL$22="القصوى",$X$26&lt;&gt;0),DATE(YEAR($N$6),MONTH($N$6)+32,DAY($N$6)),IF(AND($J$19="مستنفذة",AK27&lt;&gt;"",$AL$22="القصوى",X26&lt;&gt;0),DATE(YEAR($N$6),MONTH($N$6)+42,DAY($N$6)),""))</f>
        <v>1277</v>
      </c>
      <c r="Y27" s="8"/>
      <c r="Z27" s="77">
        <v>36</v>
      </c>
      <c r="AA27" s="77">
        <v>24</v>
      </c>
      <c r="AB27" s="78" t="str">
        <f t="shared" ref="AB27:AB36" si="4">IF(AND($AL$10="محتسبة",$AL$22="المتوسطة",AD27&lt;&gt;"",$AI$22&gt;=AA27),(INT(($AI$22-AA27)/12)&amp;" سنة "&amp;MOD(($AI$22-AA27),12)&amp;" شهر "&amp;$AJ$20&amp;" يوم "),IF(AND($AL$10="مستنفذة",$AL$22="المتوسطة",AD27&lt;&gt;"",$AI$22&gt;=Z27),(INT(($AI$22-Z27)/12)&amp; "سنة "&amp;MOD(($AI$22-Z27),12)&amp;" شهر "&amp;$AJ$20&amp;" يوم "),""))</f>
        <v/>
      </c>
      <c r="AC27" s="79" t="str">
        <f t="shared" ref="AC27:AC34" si="5">IF(AND(AD27&lt;&gt;"",AD27&lt;$L$4),"بالموافقة ويحرر المقرر",IF(AND(AD27&lt;&gt;"",AD27&gt;$L$4),"مع الموافقة ولكن يؤجل تحرير المقرر نظرا لتجاوز تاريخ سريان المفعول مع تاريخ جلسة اللجنة ",""))</f>
        <v/>
      </c>
      <c r="AD27" s="81" t="str">
        <f>IF(AND($J$19="محتسبة",AK27&lt;&gt;"",$AL$22="المتوسطة",$AD$26&lt;&gt;0),DATE(YEAR($N$6),MONTH($N$6)+26,DAY($N$6)),IF(AND($J$19="مستنفذة",AK27&lt;&gt;"",$AL$22="المتوسطة",$AD$26&lt;&gt;0),DATE(YEAR($N$6),MONTH($N$6)+36,DAY($N$6)),""))</f>
        <v/>
      </c>
      <c r="AE27" s="82"/>
      <c r="AF27" s="77">
        <v>30</v>
      </c>
      <c r="AG27" s="77">
        <v>20</v>
      </c>
      <c r="AH27" s="78" t="str">
        <f t="shared" ref="AH27:AH36" si="6">IF(AND($J$19="محتسبة",$AL$22="الدنيا",AJ27&lt;&gt;"",AG27&gt;=20),(INT((($AI$22-AG27)/12))&amp;" سنة "&amp;MOD(($AI$22-AG27),12)&amp;" شهر "&amp;$AJ$20&amp;" يوم "),IF(AND($J$19="مستنفذة",$AL$22="الدنيا",AJ27&lt;&gt;"",$AI$22&gt;=AF27),(INT((($AI$22-AF27)/12))&amp;" سنة "&amp;MOD(($AI$22-AF27),12)&amp;" شهر "&amp;$AJ$20&amp;" يوم "),""))</f>
        <v/>
      </c>
      <c r="AI27" s="79" t="str">
        <f t="shared" ref="AI27:AI34" si="7">IF(AND(AJ27&lt;&gt;"",AJ27&lt;$L$4),"بالموافقة ويحرر المقرر",IF(AND(AJ27&lt;&gt;"",AJ27&gt;$L$4),"مع الموافقة ولكن يؤجل تحرير المقرر نظرا لتجاوز تاريخ سريان المفعول مع تاريخ جلسة اللجنة ",""))</f>
        <v/>
      </c>
      <c r="AJ27" s="80" t="str">
        <f>IF(AND($J$19="محتسبة",AK27&lt;&gt;"",$AL$22="الدنيا",$AJ$26&lt;&gt;0),DATE(YEAR($N$6),MONTH($N$6)+20,DAY($N$6)),IF(AND($J$19="مستنفذة",AK27&lt;&gt;"",$AL$22="الدنيا",$AJ$26&lt;&gt;0),DATE(YEAR($N$6),MONTH($N$6)+30,DAY($N$6)),""))</f>
        <v/>
      </c>
      <c r="AK27" s="83">
        <f>IF(AND(AL27&lt;&gt;0,J6&lt;&gt;"موظف جديد"),J6+1,1)</f>
        <v>1</v>
      </c>
      <c r="AL27" s="1">
        <f>ROW()</f>
        <v>27</v>
      </c>
      <c r="AM27" s="1">
        <f>IF(AL22="الدنيا",ROW()+AJ26-1,IF(AL22="المتوسطة",ROW()+AD26-1,IF(AL22="القصوى",ROW()+X26-1)))</f>
        <v>25</v>
      </c>
    </row>
    <row r="28" spans="1:40" hidden="1">
      <c r="S28" s="3"/>
      <c r="T28" s="77">
        <f>T27*2</f>
        <v>84</v>
      </c>
      <c r="U28" s="77">
        <f>U27*2</f>
        <v>72</v>
      </c>
      <c r="V28" s="78" t="str">
        <f>IF(AND($J$19="محتسبة",$AL$22="القصوى",X28&lt;&gt;"",$AI$22&gt;=U28),(INT((($AI$22-U28)/12))&amp;" سنة "&amp;MOD(($AI$22-U28),12)&amp;" شهر "&amp;$AJ$20&amp;" يوم "),IF(AND($J$19="مستنفذة",$AL$22="القصوى",X28&lt;&gt;"",$AI$22&gt;=T28),(INT((($AI$22-T28)/12))&amp;" سنة "&amp;MOD(($AI$22-T28),12)&amp;" شهر "&amp;$AJ$20&amp;" يوم "),""))</f>
        <v/>
      </c>
      <c r="W28" s="79" t="str">
        <f t="shared" si="3"/>
        <v/>
      </c>
      <c r="X28" s="80" t="str">
        <f>IF(AND($J$19="محتسبة",AK28&lt;&gt;"",$AL$22="القصوى",$X$26&lt;&gt;0),DATE(YEAR(X27),MONTH(X27)+32,DAY(X27)),IF(AND($J$19="مستنفذة",AK28&lt;&gt;"",$AL$22="القصوى",X27&lt;&gt;0),DATE(YEAR(#REF!),MONTH(X27)+42,DAY(X27)),""))</f>
        <v/>
      </c>
      <c r="Y28" s="8"/>
      <c r="Z28" s="77">
        <f>Z27*2</f>
        <v>72</v>
      </c>
      <c r="AA28" s="77">
        <f>AA27*2</f>
        <v>48</v>
      </c>
      <c r="AB28" s="78" t="str">
        <f>IF(AND($AL$10="محتسبة",$AL$22="المتوسطة",AD28&lt;&gt;"",$AI$22&gt;=AA28),(INT(($AI$22-AA28)/12)&amp;" سنة "&amp;MOD(($AI$22-AA28),12)&amp;" شهر "&amp;$AJ$20&amp;" يوم "),IF(AND($AL$10="مستنفذة",$AL$22="المتوسطة",AD28&lt;&gt;"",$AI$22&gt;=Z28),(INT(($AI$22-Z28)/12)&amp; "سنة "&amp;MOD(($AI$22-Z28),12)&amp;" شهر "&amp;$AJ$20&amp;" يوم "),""))</f>
        <v/>
      </c>
      <c r="AC28" s="79" t="str">
        <f t="shared" si="5"/>
        <v/>
      </c>
      <c r="AD28" s="81" t="str">
        <f t="shared" ref="AD28:AD36" si="8">IF(AND($J$19="محتسبة",AK28&lt;&gt;"",$AL$22="المتوسطة",$AD$26&lt;&gt;0),DATE(YEAR(AD27),MONTH(AD27)+26,DAY(AD27)),IF(AND($J$19="مستنفذة",AK28&lt;&gt;"",$AL$22="المتوسطة",$AD$26&lt;&gt;0),DATE(YEAR(AD27),MONTH(AD27)+36,DAY(AD27)),""))</f>
        <v/>
      </c>
      <c r="AE28" s="82"/>
      <c r="AF28" s="77">
        <f>AF27*2</f>
        <v>60</v>
      </c>
      <c r="AG28" s="77">
        <f>AG27*2</f>
        <v>40</v>
      </c>
      <c r="AH28" s="78" t="str">
        <f t="shared" si="6"/>
        <v/>
      </c>
      <c r="AI28" s="79" t="str">
        <f t="shared" si="7"/>
        <v/>
      </c>
      <c r="AJ28" s="80" t="str">
        <f t="shared" ref="AJ28:AJ36" si="9">IF(AND($J$19="محتسبة",AK28&lt;&gt;"",$AL$22="الدنيا",$AJ$26&lt;&gt;0),DATE(YEAR(AJ27),MONTH(AJ27)+20,DAY(AJ27)),IF(AND($J$19="مستنفذة",AK28&lt;&gt;"",$AL$22="الدنيا",$AJ$26&lt;&gt;0),DATE(YEAR(AJ27),MONTH(AJ27)+30,DAY(AJ27)),""))</f>
        <v/>
      </c>
      <c r="AK28" s="83" t="str">
        <f>IF(AND(AL28&lt;&gt;0,$AI$25&lt;&gt;0),AK27+1,"")</f>
        <v/>
      </c>
      <c r="AL28" s="1">
        <f>IF(ROW()&lt;=$AM$27,ROW(AL27)+1,0)</f>
        <v>0</v>
      </c>
      <c r="AM28" s="1"/>
    </row>
    <row r="29" spans="1:40" ht="23.25" hidden="1" customHeight="1">
      <c r="S29" s="3"/>
      <c r="T29" s="77">
        <f>T28+$T$27</f>
        <v>126</v>
      </c>
      <c r="U29" s="77">
        <f>U28+$U$27</f>
        <v>108</v>
      </c>
      <c r="V29" s="78" t="str">
        <f t="shared" ref="V29:V36" si="10">IF(AND($J$19="محتسبة",$AL$22="القصوى",X29&lt;&gt;"",$AI$22&gt;=U29),(INT((($AI$22-U29)/12))&amp;" سنة "&amp;MOD(($AI$22-U29),12)&amp;" شهر "&amp;$AJ$20&amp;" يوم "),IF(AND($J$19="مستنفذة",$AL$22="القصوى",X29&lt;&gt;"",$AI$22&gt;=T29),(INT((($AI$22-T29)/12))&amp;" سنة "&amp;MOD(($AI$22-T29),12)&amp;" شهر "&amp;$AJ$20&amp;" يوم "),""))</f>
        <v/>
      </c>
      <c r="W29" s="79" t="str">
        <f t="shared" si="3"/>
        <v/>
      </c>
      <c r="X29" s="80" t="str">
        <f>IF(AND($J$19="محتسبة",AK29&lt;&gt;"",$AL$22="القصوى",$X$26&lt;&gt;0),DATE(YEAR(X28),MONTH(X28)+32,DAY(X28)),IF(AND($J$19="مستنفذة",AK29&lt;&gt;"",$AL$22="القصوى",X28&lt;&gt;0),DATE(YEAR(L2),MONTH(X28)+42,DAY(X28)),""))</f>
        <v/>
      </c>
      <c r="Y29" s="8"/>
      <c r="Z29" s="77">
        <f>Z28+$Z$27</f>
        <v>108</v>
      </c>
      <c r="AA29" s="77">
        <f>AA28+$AA$27</f>
        <v>72</v>
      </c>
      <c r="AB29" s="78" t="str">
        <f>IF(AND($AL$10="محتسبة",$AL$22="المتوسطة",AD29&lt;&gt;"",$AI$22&gt;=AA29),(INT(($AI$22-AA29)/12)&amp;" سنة "&amp;MOD(($AI$22-AA29),12)&amp;" شهر "&amp;$AJ$20&amp;" يوم "),IF(AND($AL$10="مستنفذة",$AL$22="المتوسطة",AD29&lt;&gt;"",$AI$22&gt;=Z29),(INT(($AI$22-Z29)/12)&amp; "سنة "&amp;MOD(($AI$22-Z29),12)&amp;" شهر "&amp;$AJ$20&amp;" يوم "),""))</f>
        <v/>
      </c>
      <c r="AC29" s="79" t="str">
        <f t="shared" si="5"/>
        <v/>
      </c>
      <c r="AD29" s="81" t="str">
        <f t="shared" si="8"/>
        <v/>
      </c>
      <c r="AE29" s="82"/>
      <c r="AF29" s="77">
        <f>AF28+$AF$27</f>
        <v>90</v>
      </c>
      <c r="AG29" s="77">
        <f>AG28+$AG$27</f>
        <v>60</v>
      </c>
      <c r="AH29" s="78" t="str">
        <f t="shared" si="6"/>
        <v/>
      </c>
      <c r="AI29" s="79" t="str">
        <f t="shared" si="7"/>
        <v/>
      </c>
      <c r="AJ29" s="80" t="str">
        <f t="shared" si="9"/>
        <v/>
      </c>
      <c r="AK29" s="83" t="str">
        <f t="shared" ref="AK29:AK36" si="11">IF(AND(AL29&lt;&gt;0,$AI$25&lt;&gt;0),AK28+1,"")</f>
        <v/>
      </c>
      <c r="AL29" s="1">
        <f t="shared" ref="AL29:AL36" si="12">IF(ROW()&lt;=$AM$27,ROW(AL28)+1,0)</f>
        <v>0</v>
      </c>
      <c r="AM29" s="1"/>
    </row>
    <row r="30" spans="1:40" hidden="1">
      <c r="S30" s="3"/>
      <c r="T30" s="77">
        <f t="shared" ref="T30:T36" si="13">T29+$T$27</f>
        <v>168</v>
      </c>
      <c r="U30" s="77">
        <f t="shared" ref="U30:U36" si="14">U29+$U$27</f>
        <v>144</v>
      </c>
      <c r="V30" s="78" t="str">
        <f t="shared" si="10"/>
        <v/>
      </c>
      <c r="W30" s="79" t="str">
        <f t="shared" si="3"/>
        <v/>
      </c>
      <c r="X30" s="80" t="str">
        <f>IF(AND($J$19="محتسبة",AK30&lt;&gt;"",$AL$22="القصوى",$X$26&lt;&gt;0),DATE(YEAR(X29),MONTH(X29)+32,DAY(X29)),IF(AND($J$19="مستنفذة",AK30&lt;&gt;"",$AL$22="القصوى",X29&lt;&gt;0),DATE(YEAR(N3),MONTH(X29)+42,DAY(X29)),""))</f>
        <v/>
      </c>
      <c r="Y30" s="8"/>
      <c r="Z30" s="77">
        <f t="shared" ref="Z30:Z36" si="15">Z29+$Z$27</f>
        <v>144</v>
      </c>
      <c r="AA30" s="77">
        <f t="shared" ref="AA30:AA36" si="16">AA29+$AA$27</f>
        <v>96</v>
      </c>
      <c r="AB30" s="78" t="str">
        <f t="shared" si="4"/>
        <v/>
      </c>
      <c r="AC30" s="79" t="str">
        <f t="shared" si="5"/>
        <v/>
      </c>
      <c r="AD30" s="81" t="str">
        <f t="shared" si="8"/>
        <v/>
      </c>
      <c r="AE30" s="82"/>
      <c r="AF30" s="77">
        <f t="shared" ref="AF30:AF36" si="17">AF29+$AF$27</f>
        <v>120</v>
      </c>
      <c r="AG30" s="77">
        <f t="shared" ref="AG30:AG36" si="18">AG29+$AG$27</f>
        <v>80</v>
      </c>
      <c r="AH30" s="78" t="str">
        <f t="shared" si="6"/>
        <v/>
      </c>
      <c r="AI30" s="79" t="str">
        <f t="shared" si="7"/>
        <v/>
      </c>
      <c r="AJ30" s="80" t="str">
        <f t="shared" si="9"/>
        <v/>
      </c>
      <c r="AK30" s="83" t="str">
        <f t="shared" si="11"/>
        <v/>
      </c>
      <c r="AL30" s="1">
        <f t="shared" si="12"/>
        <v>0</v>
      </c>
      <c r="AM30" s="1"/>
    </row>
    <row r="31" spans="1:40" hidden="1">
      <c r="S31" s="3"/>
      <c r="T31" s="77">
        <f t="shared" si="13"/>
        <v>210</v>
      </c>
      <c r="U31" s="77">
        <f t="shared" si="14"/>
        <v>180</v>
      </c>
      <c r="V31" s="78" t="str">
        <f t="shared" si="10"/>
        <v/>
      </c>
      <c r="W31" s="79" t="str">
        <f t="shared" si="3"/>
        <v/>
      </c>
      <c r="X31" s="80" t="str">
        <f>IF(AND($J$19="محتسبة",AK31&lt;&gt;"",$AL$22="القصوى",$X$26&lt;&gt;0),DATE(YEAR(X30),MONTH(X30)+32,DAY(X30)),IF(AND($J$19="مستنفذة",AK31&lt;&gt;"",$AL$22="القصوى",X30&lt;&gt;0),DATE(YEAR(#REF!),MONTH(X30)+42,DAY(X30)),""))</f>
        <v/>
      </c>
      <c r="Y31" s="8"/>
      <c r="Z31" s="77">
        <f t="shared" si="15"/>
        <v>180</v>
      </c>
      <c r="AA31" s="77">
        <f t="shared" si="16"/>
        <v>120</v>
      </c>
      <c r="AB31" s="78" t="str">
        <f t="shared" si="4"/>
        <v/>
      </c>
      <c r="AC31" s="79" t="str">
        <f t="shared" si="5"/>
        <v/>
      </c>
      <c r="AD31" s="81" t="str">
        <f t="shared" si="8"/>
        <v/>
      </c>
      <c r="AE31" s="82"/>
      <c r="AF31" s="77">
        <f t="shared" si="17"/>
        <v>150</v>
      </c>
      <c r="AG31" s="77">
        <f t="shared" si="18"/>
        <v>100</v>
      </c>
      <c r="AH31" s="78" t="str">
        <f t="shared" si="6"/>
        <v/>
      </c>
      <c r="AI31" s="79" t="str">
        <f t="shared" si="7"/>
        <v/>
      </c>
      <c r="AJ31" s="80" t="str">
        <f t="shared" si="9"/>
        <v/>
      </c>
      <c r="AK31" s="83" t="str">
        <f t="shared" si="11"/>
        <v/>
      </c>
      <c r="AL31" s="1">
        <f t="shared" si="12"/>
        <v>0</v>
      </c>
      <c r="AM31" s="1"/>
    </row>
    <row r="32" spans="1:40" ht="23.25" hidden="1" customHeight="1">
      <c r="S32" s="3"/>
      <c r="T32" s="77">
        <f t="shared" si="13"/>
        <v>252</v>
      </c>
      <c r="U32" s="77">
        <f t="shared" si="14"/>
        <v>216</v>
      </c>
      <c r="V32" s="78" t="str">
        <f t="shared" si="10"/>
        <v/>
      </c>
      <c r="W32" s="79" t="str">
        <f t="shared" si="3"/>
        <v/>
      </c>
      <c r="X32" s="80" t="str">
        <f>IF(AND($J$19="محتسبة",AK32&lt;&gt;"",$AL$22="القصوى",$X$26&lt;&gt;0),DATE(YEAR(X31),MONTH(X31)+32,DAY(X31)),IF(AND($J$19="مستنفذة",AK32&lt;&gt;"",$AL$22="القصوى",X31&lt;&gt;0),DATE(YEAR(#REF!),MONTH(X31)+42,DAY(X31)),""))</f>
        <v/>
      </c>
      <c r="Y32" s="8"/>
      <c r="Z32" s="77">
        <f t="shared" si="15"/>
        <v>216</v>
      </c>
      <c r="AA32" s="77">
        <f t="shared" si="16"/>
        <v>144</v>
      </c>
      <c r="AB32" s="78" t="str">
        <f t="shared" si="4"/>
        <v/>
      </c>
      <c r="AC32" s="79" t="str">
        <f t="shared" si="5"/>
        <v/>
      </c>
      <c r="AD32" s="81" t="str">
        <f t="shared" si="8"/>
        <v/>
      </c>
      <c r="AE32" s="82"/>
      <c r="AF32" s="77">
        <f t="shared" si="17"/>
        <v>180</v>
      </c>
      <c r="AG32" s="77">
        <f t="shared" si="18"/>
        <v>120</v>
      </c>
      <c r="AH32" s="78" t="str">
        <f t="shared" si="6"/>
        <v/>
      </c>
      <c r="AI32" s="79" t="str">
        <f t="shared" si="7"/>
        <v/>
      </c>
      <c r="AJ32" s="80" t="str">
        <f t="shared" si="9"/>
        <v/>
      </c>
      <c r="AK32" s="83" t="str">
        <f t="shared" si="11"/>
        <v/>
      </c>
      <c r="AL32" s="1">
        <f t="shared" si="12"/>
        <v>0</v>
      </c>
      <c r="AM32" s="1"/>
    </row>
    <row r="33" spans="1:39" hidden="1">
      <c r="G33" s="9" t="str">
        <f>AK34</f>
        <v/>
      </c>
      <c r="L33" s="13"/>
      <c r="S33" s="3"/>
      <c r="T33" s="77">
        <f t="shared" si="13"/>
        <v>294</v>
      </c>
      <c r="U33" s="77">
        <f t="shared" si="14"/>
        <v>252</v>
      </c>
      <c r="V33" s="78" t="str">
        <f t="shared" si="10"/>
        <v/>
      </c>
      <c r="W33" s="79" t="str">
        <f t="shared" si="3"/>
        <v/>
      </c>
      <c r="X33" s="80" t="str">
        <f>IF(AND($J$19="محتسبة",AK33&lt;&gt;"",$AL$22="القصوى",$X$26&lt;&gt;0),DATE(YEAR(X32),MONTH(X32)+32,DAY(X32)),IF(AND($J$19="مستنفذة",AK33&lt;&gt;"",$AL$22="القصوى",X32&lt;&gt;0),DATE(YEAR(K19),MONTH(X32)+42,DAY(X32)),""))</f>
        <v/>
      </c>
      <c r="Y33" s="8"/>
      <c r="Z33" s="77">
        <f t="shared" si="15"/>
        <v>252</v>
      </c>
      <c r="AA33" s="77">
        <f t="shared" si="16"/>
        <v>168</v>
      </c>
      <c r="AB33" s="78" t="str">
        <f t="shared" si="4"/>
        <v/>
      </c>
      <c r="AC33" s="79" t="str">
        <f t="shared" si="5"/>
        <v/>
      </c>
      <c r="AD33" s="81" t="str">
        <f t="shared" si="8"/>
        <v/>
      </c>
      <c r="AE33" s="82"/>
      <c r="AF33" s="77">
        <f t="shared" si="17"/>
        <v>210</v>
      </c>
      <c r="AG33" s="77">
        <f t="shared" si="18"/>
        <v>140</v>
      </c>
      <c r="AH33" s="78" t="str">
        <f t="shared" si="6"/>
        <v/>
      </c>
      <c r="AI33" s="79" t="str">
        <f t="shared" si="7"/>
        <v/>
      </c>
      <c r="AJ33" s="80" t="str">
        <f t="shared" si="9"/>
        <v/>
      </c>
      <c r="AK33" s="83" t="str">
        <f t="shared" si="11"/>
        <v/>
      </c>
      <c r="AL33" s="1">
        <f t="shared" si="12"/>
        <v>0</v>
      </c>
      <c r="AM33" s="1"/>
    </row>
    <row r="34" spans="1:39" hidden="1">
      <c r="G34" s="9" t="str">
        <f>AK35</f>
        <v/>
      </c>
      <c r="S34" s="3"/>
      <c r="T34" s="77">
        <f t="shared" si="13"/>
        <v>336</v>
      </c>
      <c r="U34" s="77">
        <f t="shared" si="14"/>
        <v>288</v>
      </c>
      <c r="V34" s="78" t="str">
        <f t="shared" si="10"/>
        <v/>
      </c>
      <c r="W34" s="79" t="str">
        <f t="shared" si="3"/>
        <v/>
      </c>
      <c r="X34" s="80" t="str">
        <f>IF(AND($J$19="محتسبة",AK34&lt;&gt;"",$AL$22="القصوى",$X$26&lt;&gt;0),DATE(YEAR(X33),MONTH(X33)+32,DAY(X33)),IF(AND($J$19="مستنفذة",AK34&lt;&gt;"",$AL$22="القصوى",X33&lt;&gt;0),DATE(YEAR(#REF!),MONTH(X33)+42,DAY(X33)),""))</f>
        <v/>
      </c>
      <c r="Y34" s="8"/>
      <c r="Z34" s="77">
        <f t="shared" si="15"/>
        <v>288</v>
      </c>
      <c r="AA34" s="77">
        <f t="shared" si="16"/>
        <v>192</v>
      </c>
      <c r="AB34" s="78" t="str">
        <f t="shared" si="4"/>
        <v/>
      </c>
      <c r="AC34" s="79" t="str">
        <f t="shared" si="5"/>
        <v/>
      </c>
      <c r="AD34" s="81" t="str">
        <f t="shared" si="8"/>
        <v/>
      </c>
      <c r="AE34" s="82"/>
      <c r="AF34" s="77">
        <f t="shared" si="17"/>
        <v>240</v>
      </c>
      <c r="AG34" s="77">
        <f t="shared" si="18"/>
        <v>160</v>
      </c>
      <c r="AH34" s="78" t="str">
        <f t="shared" si="6"/>
        <v/>
      </c>
      <c r="AI34" s="79" t="str">
        <f t="shared" si="7"/>
        <v/>
      </c>
      <c r="AJ34" s="80" t="str">
        <f t="shared" si="9"/>
        <v/>
      </c>
      <c r="AK34" s="83" t="str">
        <f t="shared" si="11"/>
        <v/>
      </c>
      <c r="AL34" s="1">
        <f t="shared" si="12"/>
        <v>0</v>
      </c>
      <c r="AM34" s="1"/>
    </row>
    <row r="35" spans="1:39" hidden="1">
      <c r="G35" s="9" t="str">
        <f t="shared" ref="G35" si="19">AK36</f>
        <v/>
      </c>
      <c r="S35" s="3"/>
      <c r="T35" s="77">
        <f t="shared" si="13"/>
        <v>378</v>
      </c>
      <c r="U35" s="77">
        <f t="shared" si="14"/>
        <v>324</v>
      </c>
      <c r="V35" s="78" t="str">
        <f t="shared" si="10"/>
        <v/>
      </c>
      <c r="W35" s="79" t="str">
        <f t="shared" si="3"/>
        <v/>
      </c>
      <c r="X35" s="80" t="str">
        <f>IF(AND($J$19="محتسبة",AK35&lt;&gt;"",$AL$22="القصوى",$X$26&lt;&gt;0),DATE(YEAR(X34),MONTH(X34)+32,DAY(X34)),IF(AND($J$19="مستنفذة",AK35&lt;&gt;"",$AL$22="القصوى",X34&lt;&gt;0),DATE(YEAR(#REF!),MONTH(X34)+42,DAY(X34)),""))</f>
        <v/>
      </c>
      <c r="Y35" s="8"/>
      <c r="Z35" s="77">
        <f t="shared" si="15"/>
        <v>324</v>
      </c>
      <c r="AA35" s="77">
        <f t="shared" si="16"/>
        <v>216</v>
      </c>
      <c r="AB35" s="78" t="str">
        <f t="shared" si="4"/>
        <v/>
      </c>
      <c r="AC35" s="83"/>
      <c r="AD35" s="81" t="str">
        <f t="shared" si="8"/>
        <v/>
      </c>
      <c r="AE35" s="82"/>
      <c r="AF35" s="77">
        <f t="shared" si="17"/>
        <v>270</v>
      </c>
      <c r="AG35" s="77">
        <f t="shared" si="18"/>
        <v>180</v>
      </c>
      <c r="AH35" s="78" t="str">
        <f t="shared" si="6"/>
        <v/>
      </c>
      <c r="AI35" s="79" t="str">
        <f>IF(AND(AJ35&lt;&gt;"",AJ35&lt;$L$4),"بالموافقة ويحرر المقرر",IF(AND(AJ35&lt;&gt;"",AJ35&gt;$L$4),"مع الموافقة ولكن يؤجل تحرير المقرر نظرا لتجاوز تاريخ سريان المفعول مع جلسة اللجنة ",""))</f>
        <v/>
      </c>
      <c r="AJ35" s="80" t="str">
        <f t="shared" si="9"/>
        <v/>
      </c>
      <c r="AK35" s="83" t="str">
        <f t="shared" si="11"/>
        <v/>
      </c>
      <c r="AL35" s="1">
        <f t="shared" si="12"/>
        <v>0</v>
      </c>
      <c r="AM35" s="1"/>
    </row>
    <row r="36" spans="1:39" hidden="1">
      <c r="E36" s="74"/>
      <c r="F36" s="74"/>
      <c r="S36" s="3"/>
      <c r="T36" s="77">
        <f t="shared" si="13"/>
        <v>420</v>
      </c>
      <c r="U36" s="77">
        <f t="shared" si="14"/>
        <v>360</v>
      </c>
      <c r="V36" s="78" t="str">
        <f t="shared" si="10"/>
        <v/>
      </c>
      <c r="W36" s="79" t="str">
        <f>IF(AND(X36&lt;&gt;"",X36&lt;$L$4),"بالموافقة ويحرر المقرر",IF(AND(X36&lt;&gt;"",X36&gt;$L$4),"مع الموافقة ولكن يؤجل تحرير المقرر نظرا لتجاوز تاريخ سريان المفعول مع جلسة اللجنة ",""))</f>
        <v/>
      </c>
      <c r="X36" s="80" t="str">
        <f>IF(AND($J$19="محتسبة",AK36&lt;&gt;"",$AL$22="القصوى",$X$26&lt;&gt;0),DATE(YEAR(X35),MONTH(X35)+32,DAY(X35)),IF(AND($J$19="مستنفذة",AK36&lt;&gt;"",$AL$22="القصوى",X35&lt;&gt;0),DATE(YEAR(#REF!),MONTH(X35)+42,DAY(X35)),""))</f>
        <v/>
      </c>
      <c r="Y36" s="8"/>
      <c r="Z36" s="77">
        <f t="shared" si="15"/>
        <v>360</v>
      </c>
      <c r="AA36" s="77">
        <f t="shared" si="16"/>
        <v>240</v>
      </c>
      <c r="AB36" s="78" t="str">
        <f t="shared" si="4"/>
        <v/>
      </c>
      <c r="AC36" s="83"/>
      <c r="AD36" s="81" t="str">
        <f t="shared" si="8"/>
        <v/>
      </c>
      <c r="AE36" s="82"/>
      <c r="AF36" s="77">
        <f t="shared" si="17"/>
        <v>300</v>
      </c>
      <c r="AG36" s="77">
        <f t="shared" si="18"/>
        <v>200</v>
      </c>
      <c r="AH36" s="78" t="str">
        <f t="shared" si="6"/>
        <v/>
      </c>
      <c r="AI36" s="83"/>
      <c r="AJ36" s="80" t="str">
        <f t="shared" si="9"/>
        <v/>
      </c>
      <c r="AK36" s="83" t="str">
        <f t="shared" si="11"/>
        <v/>
      </c>
      <c r="AL36" s="1">
        <f t="shared" si="12"/>
        <v>0</v>
      </c>
      <c r="AM36" s="1"/>
    </row>
    <row r="37" spans="1:39" hidden="1">
      <c r="E37" s="74"/>
      <c r="F37" s="74"/>
      <c r="V37" s="28"/>
      <c r="W37" s="28"/>
      <c r="X37" s="28"/>
      <c r="Y37" s="28"/>
      <c r="Z37" s="28"/>
      <c r="AA37" s="28"/>
      <c r="AD37" s="23"/>
      <c r="AE37" s="23"/>
      <c r="AF37" s="23"/>
      <c r="AG37" s="23"/>
      <c r="AH37" s="23"/>
    </row>
    <row r="38" spans="1:39" hidden="1">
      <c r="A38" s="9"/>
      <c r="B38" s="9"/>
      <c r="E38" s="74"/>
      <c r="F38" s="75"/>
      <c r="H38" s="12"/>
      <c r="AD38" s="23"/>
      <c r="AE38" s="23"/>
      <c r="AF38" s="23"/>
      <c r="AG38" s="23"/>
      <c r="AH38" s="23"/>
    </row>
    <row r="39" spans="1:39" hidden="1">
      <c r="A39" s="9"/>
      <c r="B39" s="9"/>
      <c r="E39" s="74"/>
      <c r="F39" s="74"/>
      <c r="H39" s="12"/>
      <c r="AD39" s="23"/>
      <c r="AE39" s="23"/>
      <c r="AF39" s="23"/>
      <c r="AG39" s="23"/>
      <c r="AH39" s="23"/>
    </row>
    <row r="40" spans="1:39" hidden="1">
      <c r="A40" s="9"/>
      <c r="B40" s="9"/>
      <c r="G40" s="70"/>
      <c r="H40" s="12"/>
      <c r="AD40" s="23"/>
      <c r="AE40" s="23"/>
      <c r="AF40" s="23"/>
      <c r="AG40" s="23"/>
      <c r="AH40" s="23"/>
    </row>
    <row r="41" spans="1:39" hidden="1">
      <c r="AD41" s="23"/>
      <c r="AE41" s="23"/>
      <c r="AF41" s="23"/>
      <c r="AG41" s="23"/>
      <c r="AH41" s="23"/>
    </row>
    <row r="42" spans="1:39" hidden="1"/>
    <row r="43" spans="1:39" hidden="1">
      <c r="AD43" s="123" t="s">
        <v>0</v>
      </c>
      <c r="AE43" s="123"/>
      <c r="AF43" s="123"/>
      <c r="AG43" s="123"/>
      <c r="AH43" s="124"/>
      <c r="AI43" s="124"/>
      <c r="AJ43" s="124"/>
      <c r="AK43" s="76"/>
    </row>
    <row r="44" spans="1:39" hidden="1">
      <c r="AD44" s="124"/>
      <c r="AE44" s="124"/>
      <c r="AF44" s="124"/>
      <c r="AG44" s="124"/>
      <c r="AH44" s="124"/>
      <c r="AI44" s="124"/>
      <c r="AJ44" s="124"/>
      <c r="AK44" s="76"/>
    </row>
    <row r="45" spans="1:39" hidden="1">
      <c r="AD45" s="124"/>
      <c r="AE45" s="124"/>
      <c r="AF45" s="124"/>
      <c r="AG45" s="124"/>
      <c r="AH45" s="124"/>
      <c r="AI45" s="124"/>
      <c r="AJ45" s="124"/>
      <c r="AK45" s="76"/>
    </row>
    <row r="46" spans="1:39" hidden="1">
      <c r="AD46" s="124"/>
      <c r="AE46" s="124"/>
      <c r="AF46" s="124"/>
      <c r="AG46" s="124"/>
      <c r="AH46" s="124"/>
      <c r="AI46" s="124"/>
      <c r="AJ46" s="124"/>
      <c r="AK46" s="76"/>
    </row>
    <row r="47" spans="1:39" hidden="1">
      <c r="AD47" s="124"/>
      <c r="AE47" s="124"/>
      <c r="AF47" s="124"/>
      <c r="AG47" s="124"/>
      <c r="AH47" s="124"/>
      <c r="AI47" s="124"/>
      <c r="AJ47" s="124"/>
      <c r="AK47" s="76"/>
    </row>
    <row r="48" spans="1:39" hidden="1">
      <c r="AD48" s="124"/>
      <c r="AE48" s="124"/>
      <c r="AF48" s="124"/>
      <c r="AG48" s="124"/>
      <c r="AH48" s="124"/>
      <c r="AI48" s="124"/>
      <c r="AJ48" s="124"/>
      <c r="AK48" s="76"/>
    </row>
  </sheetData>
  <sheetProtection sheet="1" objects="1" scenarios="1" selectLockedCells="1"/>
  <mergeCells count="43">
    <mergeCell ref="H1:H9"/>
    <mergeCell ref="H10:H13"/>
    <mergeCell ref="H14:H17"/>
    <mergeCell ref="H18:H23"/>
    <mergeCell ref="D18:E18"/>
    <mergeCell ref="D20:E20"/>
    <mergeCell ref="D21:E21"/>
    <mergeCell ref="D22:E22"/>
    <mergeCell ref="L14:P14"/>
    <mergeCell ref="N10:P10"/>
    <mergeCell ref="K19:Q19"/>
    <mergeCell ref="A14:G14"/>
    <mergeCell ref="A16:E17"/>
    <mergeCell ref="A12:C13"/>
    <mergeCell ref="D12:E13"/>
    <mergeCell ref="A19:C19"/>
    <mergeCell ref="A18:C18"/>
    <mergeCell ref="D19:E19"/>
    <mergeCell ref="AD43:AJ48"/>
    <mergeCell ref="L20:P20"/>
    <mergeCell ref="AL23:AM26"/>
    <mergeCell ref="L23:O23"/>
    <mergeCell ref="A20:C20"/>
    <mergeCell ref="J22:P22"/>
    <mergeCell ref="A21:C21"/>
    <mergeCell ref="A22:C22"/>
    <mergeCell ref="A23:C23"/>
    <mergeCell ref="D23:E23"/>
    <mergeCell ref="A2:C3"/>
    <mergeCell ref="A4:C5"/>
    <mergeCell ref="A6:C7"/>
    <mergeCell ref="G1:G13"/>
    <mergeCell ref="D2:E3"/>
    <mergeCell ref="F4:F5"/>
    <mergeCell ref="F6:F7"/>
    <mergeCell ref="F8:F9"/>
    <mergeCell ref="F10:F11"/>
    <mergeCell ref="D4:E5"/>
    <mergeCell ref="D6:E7"/>
    <mergeCell ref="D8:E9"/>
    <mergeCell ref="D10:E11"/>
    <mergeCell ref="A8:C9"/>
    <mergeCell ref="A10:C11"/>
  </mergeCells>
  <conditionalFormatting sqref="Q22 I22">
    <cfRule type="expression" dxfId="24" priority="34">
      <formula>$J$19="مستنفذة"</formula>
    </cfRule>
  </conditionalFormatting>
  <conditionalFormatting sqref="J21 L21">
    <cfRule type="expression" dxfId="23" priority="33">
      <formula>$J$19="مستنفذة"</formula>
    </cfRule>
  </conditionalFormatting>
  <conditionalFormatting sqref="L20:P20">
    <cfRule type="expression" dxfId="22" priority="31">
      <formula>$J$19="مستنفذة"</formula>
    </cfRule>
  </conditionalFormatting>
  <conditionalFormatting sqref="I11:Q13">
    <cfRule type="expression" dxfId="21" priority="29" stopIfTrue="1">
      <formula>$J$10="لا"</formula>
    </cfRule>
  </conditionalFormatting>
  <conditionalFormatting sqref="I16:Q17">
    <cfRule type="expression" dxfId="20" priority="28">
      <formula>$J$14="لا"</formula>
    </cfRule>
  </conditionalFormatting>
  <conditionalFormatting sqref="N15 L15 J15">
    <cfRule type="expression" dxfId="19" priority="27">
      <formula>$J$14="لا"</formula>
    </cfRule>
  </conditionalFormatting>
  <conditionalFormatting sqref="I12:Q13">
    <cfRule type="expression" dxfId="18" priority="26" stopIfTrue="1">
      <formula>$J$10="لا"</formula>
    </cfRule>
  </conditionalFormatting>
  <conditionalFormatting sqref="I22:I23 Q22:Q23 J23:P23">
    <cfRule type="expression" dxfId="17" priority="23">
      <formula>$AL$10="مستنفذة"</formula>
    </cfRule>
  </conditionalFormatting>
  <conditionalFormatting sqref="A15:G23 H18">
    <cfRule type="expression" dxfId="16" priority="22">
      <formula>$AI$22&lt;30</formula>
    </cfRule>
  </conditionalFormatting>
  <conditionalFormatting sqref="A16:G23 H18">
    <cfRule type="expression" dxfId="15" priority="21">
      <formula>$AL$22=0</formula>
    </cfRule>
  </conditionalFormatting>
  <conditionalFormatting sqref="A20:G20">
    <cfRule type="expression" dxfId="14" priority="18" stopIfTrue="1">
      <formula>$AK$28=""</formula>
    </cfRule>
  </conditionalFormatting>
  <conditionalFormatting sqref="A20:G23">
    <cfRule type="expression" dxfId="13" priority="17">
      <formula>$G$20=""</formula>
    </cfRule>
  </conditionalFormatting>
  <conditionalFormatting sqref="A21:G23">
    <cfRule type="expression" dxfId="12" priority="16">
      <formula>$G$21=""</formula>
    </cfRule>
  </conditionalFormatting>
  <conditionalFormatting sqref="A22:G23">
    <cfRule type="expression" dxfId="11" priority="15">
      <formula>$G$22=""</formula>
    </cfRule>
  </conditionalFormatting>
  <conditionalFormatting sqref="A23:G23">
    <cfRule type="expression" dxfId="10" priority="14">
      <formula>$G$23=""</formula>
    </cfRule>
  </conditionalFormatting>
  <conditionalFormatting sqref="F4:F5">
    <cfRule type="expression" dxfId="9" priority="13">
      <formula>$D$4=""</formula>
    </cfRule>
  </conditionalFormatting>
  <conditionalFormatting sqref="A6:F7">
    <cfRule type="expression" dxfId="8" priority="12">
      <formula>$J$10="لا"</formula>
    </cfRule>
  </conditionalFormatting>
  <conditionalFormatting sqref="A8:F9">
    <cfRule type="expression" dxfId="7" priority="11">
      <formula>$J$14="لا"</formula>
    </cfRule>
  </conditionalFormatting>
  <conditionalFormatting sqref="F10:F11">
    <cfRule type="expression" dxfId="6" priority="10">
      <formula>$AL$10="مستنفذة"</formula>
    </cfRule>
  </conditionalFormatting>
  <conditionalFormatting sqref="I22:Q22">
    <cfRule type="expression" dxfId="5" priority="9">
      <formula>$AL$10="مستنفذة"</formula>
    </cfRule>
  </conditionalFormatting>
  <conditionalFormatting sqref="A18:G19">
    <cfRule type="expression" dxfId="4" priority="8">
      <formula>$G$19=""</formula>
    </cfRule>
  </conditionalFormatting>
  <conditionalFormatting sqref="A16:E17">
    <cfRule type="beginsWith" dxfId="3" priority="6" operator="beginsWith" text="الموظف">
      <formula>LEFT(A16,6)="الموظف"</formula>
    </cfRule>
  </conditionalFormatting>
  <conditionalFormatting sqref="A14:G14">
    <cfRule type="beginsWith" dxfId="2" priority="5" operator="beginsWith" text="الموظف">
      <formula>LEFT(A14,6)="الموظف"</formula>
    </cfRule>
    <cfRule type="beginsWith" dxfId="1" priority="4" operator="beginsWith" text="يؤهل">
      <formula>LEFT(A14,4)="يؤهل"</formula>
    </cfRule>
  </conditionalFormatting>
  <conditionalFormatting sqref="I21:Q23">
    <cfRule type="expression" priority="2">
      <formula>$AL$9=""</formula>
    </cfRule>
  </conditionalFormatting>
  <conditionalFormatting sqref="I7:Q9">
    <cfRule type="expression" dxfId="0" priority="1">
      <formula>$J$6="موظف جديد"</formula>
    </cfRule>
  </conditionalFormatting>
  <dataValidations count="8">
    <dataValidation type="date" operator="greaterThan" allowBlank="1" showInputMessage="1" showErrorMessage="1" error="تاريخ الجلسة يجب أن يكون أكبر تمام من تاريخ إيقاف جدول التاهيل للترقية في الدرجة." sqref="L4">
      <formula1>L2</formula1>
    </dataValidation>
    <dataValidation type="list" allowBlank="1" showInputMessage="1" showErrorMessage="1" sqref="C15">
      <formula1>"الدنيا,المتوسطة,القصوى"</formula1>
    </dataValidation>
    <dataValidation type="list" allowBlank="1" showInputMessage="1" showErrorMessage="1" sqref="J19">
      <formula1>"مستنفذة,محتسبة"</formula1>
    </dataValidation>
    <dataValidation type="whole" operator="greaterThanOrEqual" allowBlank="1" showInputMessage="1" showErrorMessage="1" error="خطأ في حجز عدد السنوات لا يجب أن يكون أقل من 0 أي عدد سالب..." sqref="N16 N12 N8">
      <formula1>0</formula1>
    </dataValidation>
    <dataValidation type="whole" allowBlank="1" showInputMessage="1" showErrorMessage="1" error="خطأ في حجز عدد الأيام لا يجب أن يكون أقل من 0 أو أن يفوق 29 يوما ..." sqref="J16 J12 J8">
      <formula1>0</formula1>
      <formula2>29</formula2>
    </dataValidation>
    <dataValidation type="whole" allowBlank="1" showInputMessage="1" showErrorMessage="1" error="خطأ في حجز عدد الأشهر لا يجب أن يكون أقل من 0 أو أن يفوق 11 شهرا ..." sqref="L16 L12 L8">
      <formula1>0</formula1>
      <formula2>11</formula2>
    </dataValidation>
    <dataValidation type="list" allowBlank="1" showInputMessage="1" showErrorMessage="1" sqref="J14 J10">
      <formula1>"نعم,لا"</formula1>
    </dataValidation>
    <dataValidation type="list" allowBlank="1" showInputMessage="1" showErrorMessage="1" error="لا يوجد هذا الرقم في سلم الدرجات وفقا للنصوص التنظيمية المعمول بها .... الرجا منكم إعادة حجز رقم بين 0 و 12 .....الصفر يرمز للموظف الجديد" sqref="J6">
      <formula1>"موظف جديد,1,2,3,4,5,6,7,8,9,10,11,12"</formula1>
    </dataValidation>
  </dataValidations>
  <pageMargins left="0.70866141732283472" right="0.70866141732283472" top="0.74803149606299213" bottom="0.74803149606299213" header="0.31496062992125984" footer="0.31496062992125984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showGridLines="0" zoomScale="80" zoomScaleNormal="80" workbookViewId="0">
      <selection activeCell="N21" sqref="N21"/>
    </sheetView>
  </sheetViews>
  <sheetFormatPr baseColWidth="10" defaultColWidth="0" defaultRowHeight="15" zeroHeight="1"/>
  <cols>
    <col min="1" max="14" width="11.42578125" style="113" customWidth="1"/>
    <col min="15" max="16384" width="11.42578125" style="113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 spans="2:3"/>
    <row r="18" spans="2:3"/>
    <row r="19" spans="2:3">
      <c r="B19" s="151" t="s">
        <v>50</v>
      </c>
      <c r="C19" s="151"/>
    </row>
    <row r="20" spans="2:3">
      <c r="B20" s="151"/>
      <c r="C20" s="151"/>
    </row>
    <row r="21" spans="2:3"/>
  </sheetData>
  <sheetProtection sheet="1" objects="1" scenarios="1" selectLockedCells="1"/>
  <mergeCells count="1">
    <mergeCell ref="B19:C2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Sheet1</vt:lpstr>
      <vt:lpstr>Feuil1</vt:lpstr>
      <vt:lpstr>Sheet1!Impression_des_titres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 tech</cp:lastModifiedBy>
  <cp:lastPrinted>2020-01-29T15:02:56Z</cp:lastPrinted>
  <dcterms:created xsi:type="dcterms:W3CDTF">2019-11-27T17:43:23Z</dcterms:created>
  <dcterms:modified xsi:type="dcterms:W3CDTF">2020-04-16T11:39:45Z</dcterms:modified>
</cp:coreProperties>
</file>